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dtné Nagy Terézia\Desktop\"/>
    </mc:Choice>
  </mc:AlternateContent>
  <bookViews>
    <workbookView xWindow="0" yWindow="0" windowWidth="23040" windowHeight="8508" tabRatio="865" firstSheet="2" activeTab="3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Polg.Hiv." sheetId="5" r:id="rId7"/>
    <sheet name="5. Gólyahír" sheetId="4" r:id="rId8"/>
    <sheet name="6. Csicsergő" sheetId="3" r:id="rId9"/>
    <sheet name="7. WAMKK" sheetId="6" r:id="rId10"/>
    <sheet name="8. Dr Gáspár HSZK" sheetId="2" r:id="rId11"/>
    <sheet name="9. Közp. Konyha" sheetId="7" r:id="rId12"/>
    <sheet name="10_Egyéb műk. tám." sheetId="19" r:id="rId13"/>
    <sheet name="11_Önk Bev részletező" sheetId="22" r:id="rId14"/>
    <sheet name="12_B11" sheetId="21" r:id="rId15"/>
    <sheet name="13_2021-2022." sheetId="23" r:id="rId16"/>
    <sheet name="15_2021_09-2022" sheetId="25" r:id="rId17"/>
  </sheets>
  <definedNames>
    <definedName name="_xlnm.Print_Titles" localSheetId="2">'egységenkénti segédtábla'!$7:$10</definedName>
    <definedName name="_xlnm.Print_Area" localSheetId="4">' 2. Önk. Bevételek'!$A$1:$V$97</definedName>
    <definedName name="_xlnm.Print_Area" localSheetId="3">'1. Sülysáp összesen'!$A$1:$V$41</definedName>
    <definedName name="_xlnm.Print_Area" localSheetId="12">'10_Egyéb műk. tám.'!$A$1:$E$13</definedName>
    <definedName name="_xlnm.Print_Area" localSheetId="13">'11_Önk Bev részletező'!$A$1:$D$22</definedName>
    <definedName name="_xlnm.Print_Area" localSheetId="5">'3. Önk. Kiadások'!$A$1:$V$168</definedName>
    <definedName name="_xlnm.Print_Area" localSheetId="6">'4. Polg.Hiv.'!$A$1:$V$102</definedName>
    <definedName name="_xlnm.Print_Area" localSheetId="7">'5. Gólyahír'!$A$1:$V$102</definedName>
    <definedName name="_xlnm.Print_Area" localSheetId="8">'6. Csicsergő'!$A$1:$V$102</definedName>
    <definedName name="_xlnm.Print_Area" localSheetId="9">'7. WAMKK'!$A$1:$V$102</definedName>
    <definedName name="_xlnm.Print_Area" localSheetId="10">'8. Dr Gáspár HSZK'!$A$1:$V$102</definedName>
    <definedName name="_xlnm.Print_Area" localSheetId="11">'9. Közp. Konyha'!$A$1:$V$102</definedName>
    <definedName name="_xlnm.Print_Area" localSheetId="1">'bevételi segédtábla'!$A$1:$V$145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7" i="11" l="1"/>
  <c r="L37" i="11"/>
  <c r="Q23" i="10" l="1"/>
  <c r="E14" i="11" l="1"/>
  <c r="E10" i="11"/>
  <c r="B7" i="9" l="1"/>
  <c r="E7" i="19" l="1"/>
  <c r="E10" i="19"/>
  <c r="E6" i="19"/>
  <c r="I118" i="16" l="1"/>
  <c r="I117" i="16"/>
  <c r="I116" i="16"/>
  <c r="I115" i="16"/>
  <c r="I114" i="16"/>
  <c r="I113" i="16"/>
  <c r="I112" i="16"/>
  <c r="I98" i="6" l="1"/>
  <c r="I96" i="6"/>
  <c r="I98" i="7"/>
  <c r="I98" i="2"/>
  <c r="D36" i="6"/>
  <c r="E36" i="6"/>
  <c r="I36" i="6"/>
  <c r="M49" i="5"/>
  <c r="I98" i="4"/>
  <c r="I96" i="4"/>
  <c r="E98" i="4"/>
  <c r="I16" i="4"/>
  <c r="E16" i="4"/>
  <c r="I16" i="5"/>
  <c r="E16" i="5"/>
  <c r="I29" i="9" l="1"/>
  <c r="I16" i="9"/>
  <c r="E16" i="9"/>
  <c r="I65" i="10"/>
  <c r="E26" i="10" l="1"/>
  <c r="E27" i="10"/>
  <c r="E29" i="10"/>
  <c r="I25" i="10"/>
  <c r="I17" i="10"/>
  <c r="I87" i="10"/>
  <c r="I81" i="10" s="1"/>
  <c r="E87" i="10"/>
  <c r="E81" i="10" s="1"/>
  <c r="D99" i="10"/>
  <c r="I41" i="10"/>
  <c r="E25" i="10"/>
  <c r="L28" i="11" l="1"/>
  <c r="L30" i="11"/>
  <c r="L34" i="11"/>
  <c r="L35" i="11"/>
  <c r="L36" i="11"/>
  <c r="L14" i="17" l="1"/>
  <c r="L16" i="17"/>
  <c r="L20" i="17"/>
  <c r="L21" i="17"/>
  <c r="L13" i="17"/>
  <c r="L1" i="17" l="1"/>
  <c r="H118" i="16" l="1"/>
  <c r="H117" i="16"/>
  <c r="H116" i="16"/>
  <c r="H115" i="16"/>
  <c r="H114" i="16"/>
  <c r="H113" i="16"/>
  <c r="H112" i="16"/>
  <c r="H98" i="7"/>
  <c r="D97" i="7"/>
  <c r="D72" i="7"/>
  <c r="C105" i="6"/>
  <c r="H98" i="6"/>
  <c r="H96" i="6"/>
  <c r="H98" i="2" l="1"/>
  <c r="C98" i="4"/>
  <c r="H98" i="4"/>
  <c r="H96" i="4"/>
  <c r="D98" i="4"/>
  <c r="D96" i="4"/>
  <c r="H16" i="4"/>
  <c r="H98" i="3"/>
  <c r="H98" i="5"/>
  <c r="H16" i="5"/>
  <c r="D98" i="5"/>
  <c r="D16" i="5"/>
  <c r="H16" i="9" l="1"/>
  <c r="H17" i="10"/>
  <c r="D87" i="10"/>
  <c r="D81" i="10" s="1"/>
  <c r="H87" i="10"/>
  <c r="H81" i="10" s="1"/>
  <c r="H69" i="10"/>
  <c r="H65" i="10"/>
  <c r="H59" i="10"/>
  <c r="H47" i="10"/>
  <c r="H43" i="10"/>
  <c r="H41" i="10"/>
  <c r="H25" i="10"/>
  <c r="D25" i="10"/>
  <c r="D27" i="10"/>
  <c r="D17" i="10"/>
  <c r="D107" i="9"/>
  <c r="E35" i="25" l="1"/>
  <c r="E32" i="25"/>
  <c r="G31" i="25"/>
  <c r="G30" i="25"/>
  <c r="G29" i="25"/>
  <c r="G28" i="25"/>
  <c r="G27" i="25"/>
  <c r="G26" i="25"/>
  <c r="G25" i="25"/>
  <c r="G24" i="25"/>
  <c r="G23" i="25"/>
  <c r="F32" i="25"/>
  <c r="G21" i="25"/>
  <c r="E18" i="25"/>
  <c r="G17" i="25"/>
  <c r="G16" i="25"/>
  <c r="G15" i="25"/>
  <c r="G14" i="25"/>
  <c r="G13" i="25"/>
  <c r="G12" i="25"/>
  <c r="G11" i="25"/>
  <c r="G10" i="25"/>
  <c r="F18" i="25"/>
  <c r="F35" i="25" l="1"/>
  <c r="G9" i="25"/>
  <c r="G18" i="25" s="1"/>
  <c r="G22" i="25"/>
  <c r="G32" i="25" s="1"/>
  <c r="G35" i="25" l="1"/>
  <c r="C118" i="9" l="1"/>
  <c r="D12" i="22"/>
  <c r="C6" i="21" l="1"/>
  <c r="D6" i="21"/>
  <c r="E6" i="21"/>
  <c r="G6" i="21"/>
  <c r="F6" i="21"/>
  <c r="G12" i="21"/>
  <c r="G11" i="21"/>
  <c r="C89" i="2" l="1"/>
  <c r="C64" i="6"/>
  <c r="C84" i="2"/>
  <c r="D20" i="22" l="1"/>
  <c r="C49" i="6" l="1"/>
  <c r="C36" i="4"/>
  <c r="F24" i="21" l="1"/>
  <c r="F23" i="21"/>
  <c r="F22" i="21"/>
  <c r="F21" i="21"/>
  <c r="F19" i="21"/>
  <c r="F18" i="21"/>
  <c r="F9" i="21"/>
  <c r="F8" i="21"/>
  <c r="F7" i="21"/>
  <c r="C15" i="10" s="1"/>
  <c r="C30" i="6" l="1"/>
  <c r="C27" i="9"/>
  <c r="D8" i="23" l="1"/>
  <c r="D11" i="23"/>
  <c r="D12" i="23"/>
  <c r="C24" i="3" l="1"/>
  <c r="C107" i="7" l="1"/>
  <c r="C72" i="7"/>
  <c r="C96" i="4"/>
  <c r="C27" i="10"/>
  <c r="G19" i="21"/>
  <c r="G20" i="21"/>
  <c r="G21" i="21"/>
  <c r="G22" i="21"/>
  <c r="G23" i="21"/>
  <c r="G24" i="21"/>
  <c r="G25" i="21"/>
  <c r="G26" i="21"/>
  <c r="G18" i="21"/>
  <c r="E27" i="21" l="1"/>
  <c r="F27" i="21"/>
  <c r="G27" i="21" s="1"/>
  <c r="E9" i="21"/>
  <c r="C16" i="10"/>
  <c r="C17" i="10"/>
  <c r="C18" i="10"/>
  <c r="G8" i="21"/>
  <c r="G9" i="21"/>
  <c r="G10" i="21"/>
  <c r="G7" i="21"/>
  <c r="C41" i="10" l="1"/>
  <c r="D6" i="22" l="1"/>
  <c r="D26" i="23" l="1"/>
  <c r="A1" i="19"/>
  <c r="J1" i="9"/>
  <c r="D19" i="22"/>
  <c r="C35" i="10"/>
  <c r="C107" i="5" l="1"/>
  <c r="C97" i="7" l="1"/>
  <c r="E8" i="23" l="1"/>
  <c r="E11" i="23"/>
  <c r="E12" i="23"/>
  <c r="E26" i="23"/>
  <c r="C29" i="23"/>
  <c r="C15" i="23" l="1"/>
  <c r="D11" i="22" l="1"/>
  <c r="C52" i="10" s="1"/>
  <c r="C69" i="10" l="1"/>
  <c r="D6" i="19" l="1"/>
  <c r="C116" i="9" s="1"/>
  <c r="C23" i="21" l="1"/>
  <c r="C24" i="21"/>
  <c r="D27" i="21"/>
  <c r="C27" i="21" l="1"/>
  <c r="E95" i="3"/>
  <c r="D95" i="3"/>
  <c r="C95" i="3"/>
  <c r="C59" i="10" l="1"/>
  <c r="C26" i="4" l="1"/>
  <c r="D43" i="10" l="1"/>
  <c r="J80" i="10" l="1"/>
  <c r="D80" i="10"/>
  <c r="E80" i="10"/>
  <c r="J81" i="10"/>
  <c r="J87" i="10"/>
  <c r="I80" i="10"/>
  <c r="H80" i="10"/>
  <c r="J146" i="9"/>
  <c r="J145" i="9" s="1"/>
  <c r="I146" i="9"/>
  <c r="I145" i="9" s="1"/>
  <c r="H146" i="9"/>
  <c r="H145" i="9" s="1"/>
  <c r="D146" i="9"/>
  <c r="D145" i="9" s="1"/>
  <c r="E146" i="9"/>
  <c r="E145" i="9" s="1"/>
  <c r="J147" i="9"/>
  <c r="I147" i="9"/>
  <c r="H147" i="9"/>
  <c r="J153" i="9"/>
  <c r="I153" i="9"/>
  <c r="H153" i="9"/>
  <c r="D153" i="9"/>
  <c r="E153" i="9"/>
  <c r="C153" i="9"/>
  <c r="E147" i="9"/>
  <c r="D147" i="9"/>
  <c r="C147" i="9"/>
  <c r="S106" i="16"/>
  <c r="S105" i="16"/>
  <c r="S104" i="16"/>
  <c r="S103" i="16"/>
  <c r="S102" i="16"/>
  <c r="S101" i="16"/>
  <c r="S94" i="16"/>
  <c r="S93" i="16"/>
  <c r="S92" i="16"/>
  <c r="S91" i="16"/>
  <c r="S90" i="16"/>
  <c r="S89" i="16"/>
  <c r="S82" i="16"/>
  <c r="S81" i="16"/>
  <c r="S80" i="16"/>
  <c r="S79" i="16"/>
  <c r="S78" i="16"/>
  <c r="S77" i="16"/>
  <c r="S58" i="16"/>
  <c r="S57" i="16"/>
  <c r="S56" i="16"/>
  <c r="S55" i="16"/>
  <c r="S54" i="16"/>
  <c r="S53" i="16"/>
  <c r="S46" i="16"/>
  <c r="S45" i="16"/>
  <c r="S44" i="16"/>
  <c r="S43" i="16"/>
  <c r="S42" i="16"/>
  <c r="S41" i="16"/>
  <c r="S39" i="16"/>
  <c r="S34" i="16"/>
  <c r="S33" i="16"/>
  <c r="S31" i="16"/>
  <c r="S30" i="16"/>
  <c r="S29" i="16"/>
  <c r="N106" i="16"/>
  <c r="M106" i="16"/>
  <c r="L106" i="16"/>
  <c r="N105" i="16"/>
  <c r="M105" i="16"/>
  <c r="L105" i="16"/>
  <c r="N104" i="16"/>
  <c r="M104" i="16"/>
  <c r="L104" i="16"/>
  <c r="N103" i="16"/>
  <c r="M103" i="16"/>
  <c r="L103" i="16"/>
  <c r="N102" i="16"/>
  <c r="M102" i="16"/>
  <c r="L102" i="16"/>
  <c r="N101" i="16"/>
  <c r="M101" i="16"/>
  <c r="L101" i="16"/>
  <c r="N94" i="16"/>
  <c r="M94" i="16"/>
  <c r="L94" i="16"/>
  <c r="N93" i="16"/>
  <c r="M93" i="16"/>
  <c r="L93" i="16"/>
  <c r="N92" i="16"/>
  <c r="M92" i="16"/>
  <c r="L92" i="16"/>
  <c r="N91" i="16"/>
  <c r="M91" i="16"/>
  <c r="L91" i="16"/>
  <c r="N90" i="16"/>
  <c r="M90" i="16"/>
  <c r="L90" i="16"/>
  <c r="N89" i="16"/>
  <c r="M89" i="16"/>
  <c r="L89" i="16"/>
  <c r="N82" i="16"/>
  <c r="M82" i="16"/>
  <c r="L82" i="16"/>
  <c r="N81" i="16"/>
  <c r="M81" i="16"/>
  <c r="L81" i="16"/>
  <c r="N80" i="16"/>
  <c r="M80" i="16"/>
  <c r="L80" i="16"/>
  <c r="N79" i="16"/>
  <c r="M79" i="16"/>
  <c r="L79" i="16"/>
  <c r="N78" i="16"/>
  <c r="M78" i="16"/>
  <c r="L78" i="16"/>
  <c r="N77" i="16"/>
  <c r="M77" i="16"/>
  <c r="L77" i="16"/>
  <c r="N58" i="16"/>
  <c r="M58" i="16"/>
  <c r="L58" i="16"/>
  <c r="N57" i="16"/>
  <c r="M57" i="16"/>
  <c r="L57" i="16"/>
  <c r="N56" i="16"/>
  <c r="M56" i="16"/>
  <c r="L56" i="16"/>
  <c r="N55" i="16"/>
  <c r="M55" i="16"/>
  <c r="L55" i="16"/>
  <c r="N54" i="16"/>
  <c r="M54" i="16"/>
  <c r="L54" i="16"/>
  <c r="N53" i="16"/>
  <c r="M53" i="16"/>
  <c r="L53" i="16"/>
  <c r="N46" i="16"/>
  <c r="M46" i="16"/>
  <c r="L46" i="16"/>
  <c r="N45" i="16"/>
  <c r="M45" i="16"/>
  <c r="L45" i="16"/>
  <c r="N44" i="16"/>
  <c r="M44" i="16"/>
  <c r="L44" i="16"/>
  <c r="N43" i="16"/>
  <c r="M43" i="16"/>
  <c r="L43" i="16"/>
  <c r="N42" i="16"/>
  <c r="M42" i="16"/>
  <c r="L42" i="16"/>
  <c r="N41" i="16"/>
  <c r="M41" i="16"/>
  <c r="L41" i="16"/>
  <c r="S95" i="10"/>
  <c r="S93" i="10"/>
  <c r="S92" i="10"/>
  <c r="S91" i="10"/>
  <c r="S78" i="10"/>
  <c r="S74" i="10"/>
  <c r="S73" i="10"/>
  <c r="S71" i="10"/>
  <c r="S68" i="10"/>
  <c r="S66" i="10"/>
  <c r="S64" i="10"/>
  <c r="S61" i="10"/>
  <c r="S60" i="10"/>
  <c r="S58" i="10"/>
  <c r="S57" i="10"/>
  <c r="S56" i="10"/>
  <c r="S55" i="10"/>
  <c r="S54" i="10"/>
  <c r="S49" i="10"/>
  <c r="S34" i="10"/>
  <c r="S32" i="10"/>
  <c r="S24" i="10"/>
  <c r="S23" i="10"/>
  <c r="S22" i="10"/>
  <c r="N95" i="10"/>
  <c r="M95" i="10"/>
  <c r="L95" i="10"/>
  <c r="N94" i="10"/>
  <c r="M94" i="10"/>
  <c r="L94" i="10"/>
  <c r="N93" i="10"/>
  <c r="M93" i="10"/>
  <c r="L93" i="10"/>
  <c r="N92" i="10"/>
  <c r="M92" i="10"/>
  <c r="L92" i="10"/>
  <c r="N91" i="10"/>
  <c r="M91" i="10"/>
  <c r="L91" i="10"/>
  <c r="N90" i="10"/>
  <c r="M90" i="10"/>
  <c r="L90" i="10"/>
  <c r="N89" i="10"/>
  <c r="M89" i="10"/>
  <c r="L89" i="10"/>
  <c r="N88" i="10"/>
  <c r="M88" i="10"/>
  <c r="N87" i="10"/>
  <c r="M87" i="10"/>
  <c r="N86" i="10"/>
  <c r="M86" i="10"/>
  <c r="L86" i="10"/>
  <c r="N85" i="10"/>
  <c r="M85" i="10"/>
  <c r="L85" i="10"/>
  <c r="N84" i="10"/>
  <c r="M84" i="10"/>
  <c r="L84" i="10"/>
  <c r="N83" i="10"/>
  <c r="M83" i="10"/>
  <c r="L83" i="10"/>
  <c r="N82" i="10"/>
  <c r="M82" i="10"/>
  <c r="L82" i="10"/>
  <c r="N81" i="10"/>
  <c r="N79" i="10"/>
  <c r="M79" i="10"/>
  <c r="L79" i="10"/>
  <c r="N78" i="10"/>
  <c r="M78" i="10"/>
  <c r="L78" i="10"/>
  <c r="N77" i="10"/>
  <c r="M77" i="10"/>
  <c r="L77" i="10"/>
  <c r="N76" i="10"/>
  <c r="N75" i="10"/>
  <c r="M75" i="10"/>
  <c r="L75" i="10"/>
  <c r="N74" i="10"/>
  <c r="M74" i="10"/>
  <c r="L74" i="10"/>
  <c r="N73" i="10"/>
  <c r="M73" i="10"/>
  <c r="L73" i="10"/>
  <c r="N72" i="10"/>
  <c r="N71" i="10"/>
  <c r="M71" i="10"/>
  <c r="L71" i="10"/>
  <c r="N70" i="10"/>
  <c r="M70" i="10"/>
  <c r="L70" i="10"/>
  <c r="N69" i="10"/>
  <c r="M69" i="10"/>
  <c r="L69" i="10"/>
  <c r="N68" i="10"/>
  <c r="M68" i="10"/>
  <c r="L68" i="10"/>
  <c r="N67" i="10"/>
  <c r="N66" i="10"/>
  <c r="M66" i="10"/>
  <c r="L66" i="10"/>
  <c r="N65" i="10"/>
  <c r="M65" i="10"/>
  <c r="L65" i="10"/>
  <c r="N64" i="10"/>
  <c r="M64" i="10"/>
  <c r="L64" i="10"/>
  <c r="N63" i="10"/>
  <c r="M63" i="10"/>
  <c r="L63" i="10"/>
  <c r="N62" i="10"/>
  <c r="M62" i="10"/>
  <c r="L62" i="10"/>
  <c r="N61" i="10"/>
  <c r="M61" i="10"/>
  <c r="L61" i="10"/>
  <c r="N60" i="10"/>
  <c r="M60" i="10"/>
  <c r="L60" i="10"/>
  <c r="N59" i="10"/>
  <c r="M59" i="10"/>
  <c r="L59" i="10"/>
  <c r="N58" i="10"/>
  <c r="M58" i="10"/>
  <c r="L58" i="10"/>
  <c r="N57" i="10"/>
  <c r="M57" i="10"/>
  <c r="L57" i="10"/>
  <c r="N56" i="10"/>
  <c r="M56" i="10"/>
  <c r="L56" i="10"/>
  <c r="N55" i="10"/>
  <c r="M55" i="10"/>
  <c r="L55" i="10"/>
  <c r="N54" i="10"/>
  <c r="M54" i="10"/>
  <c r="L54" i="10"/>
  <c r="N53" i="10"/>
  <c r="M53" i="10"/>
  <c r="L53" i="10"/>
  <c r="N52" i="10"/>
  <c r="M52" i="10"/>
  <c r="L52" i="10"/>
  <c r="N51" i="10"/>
  <c r="M51" i="10"/>
  <c r="L51" i="10"/>
  <c r="N50" i="10"/>
  <c r="N49" i="10"/>
  <c r="M49" i="10"/>
  <c r="L49" i="10"/>
  <c r="N48" i="10"/>
  <c r="M48" i="10"/>
  <c r="L48" i="10"/>
  <c r="N47" i="10"/>
  <c r="N46" i="10"/>
  <c r="M46" i="10"/>
  <c r="L46" i="10"/>
  <c r="N45" i="10"/>
  <c r="M45" i="10"/>
  <c r="L45" i="10"/>
  <c r="N44" i="10"/>
  <c r="M44" i="10"/>
  <c r="L44" i="10"/>
  <c r="N43" i="10"/>
  <c r="N42" i="10"/>
  <c r="N41" i="10"/>
  <c r="M41" i="10"/>
  <c r="L41" i="10"/>
  <c r="N40" i="10"/>
  <c r="N39" i="10"/>
  <c r="N35" i="10"/>
  <c r="M35" i="10"/>
  <c r="L35" i="10"/>
  <c r="N34" i="10"/>
  <c r="M34" i="10"/>
  <c r="L34" i="10"/>
  <c r="N33" i="10"/>
  <c r="M33" i="10"/>
  <c r="L33" i="10"/>
  <c r="N32" i="10"/>
  <c r="M32" i="10"/>
  <c r="L32" i="10"/>
  <c r="N31" i="10"/>
  <c r="M31" i="10"/>
  <c r="L31" i="10"/>
  <c r="N30" i="10"/>
  <c r="N29" i="10"/>
  <c r="M29" i="10"/>
  <c r="L29" i="10"/>
  <c r="N28" i="10"/>
  <c r="M28" i="10"/>
  <c r="L28" i="10"/>
  <c r="N27" i="10"/>
  <c r="M27" i="10"/>
  <c r="L27" i="10"/>
  <c r="N26" i="10"/>
  <c r="M26" i="10"/>
  <c r="L26" i="10"/>
  <c r="N25" i="10"/>
  <c r="M25" i="10"/>
  <c r="N24" i="10"/>
  <c r="M24" i="10"/>
  <c r="L24" i="10"/>
  <c r="N23" i="10"/>
  <c r="M23" i="10"/>
  <c r="L23" i="10"/>
  <c r="N22" i="10"/>
  <c r="M22" i="10"/>
  <c r="L22" i="10"/>
  <c r="N21" i="10"/>
  <c r="M21" i="10"/>
  <c r="L21" i="10"/>
  <c r="N20" i="10"/>
  <c r="M20" i="10"/>
  <c r="L20" i="10"/>
  <c r="N19" i="10"/>
  <c r="M19" i="10"/>
  <c r="L19" i="10"/>
  <c r="N18" i="10"/>
  <c r="M18" i="10"/>
  <c r="L18" i="10"/>
  <c r="N17" i="10"/>
  <c r="M17" i="10"/>
  <c r="L17" i="10"/>
  <c r="N16" i="10"/>
  <c r="M16" i="10"/>
  <c r="L16" i="10"/>
  <c r="N15" i="10"/>
  <c r="M15" i="10"/>
  <c r="L15" i="10"/>
  <c r="N14" i="10"/>
  <c r="P160" i="9"/>
  <c r="Q160" i="9"/>
  <c r="S160" i="9" s="1"/>
  <c r="R160" i="9"/>
  <c r="T160" i="9"/>
  <c r="Q161" i="9"/>
  <c r="R161" i="9"/>
  <c r="P162" i="9"/>
  <c r="Q162" i="9"/>
  <c r="S162" i="9" s="1"/>
  <c r="R162" i="9"/>
  <c r="T162" i="9"/>
  <c r="P163" i="9"/>
  <c r="Q163" i="9"/>
  <c r="R163" i="9"/>
  <c r="T163" i="9"/>
  <c r="P164" i="9"/>
  <c r="Q164" i="9"/>
  <c r="R164" i="9"/>
  <c r="S164" i="9"/>
  <c r="T164" i="9"/>
  <c r="P165" i="9"/>
  <c r="S165" i="9" s="1"/>
  <c r="Q165" i="9"/>
  <c r="R165" i="9"/>
  <c r="T165" i="9"/>
  <c r="P166" i="9"/>
  <c r="Q166" i="9"/>
  <c r="S166" i="9" s="1"/>
  <c r="R166" i="9"/>
  <c r="T166" i="9"/>
  <c r="L162" i="9"/>
  <c r="M162" i="9"/>
  <c r="L163" i="9"/>
  <c r="M163" i="9"/>
  <c r="L164" i="9"/>
  <c r="M164" i="9"/>
  <c r="L165" i="9"/>
  <c r="M165" i="9"/>
  <c r="L166" i="9"/>
  <c r="M166" i="9"/>
  <c r="N161" i="9"/>
  <c r="M161" i="9"/>
  <c r="N160" i="9"/>
  <c r="M160" i="9"/>
  <c r="L160" i="9"/>
  <c r="N159" i="9"/>
  <c r="M159" i="9"/>
  <c r="L159" i="9"/>
  <c r="N158" i="9"/>
  <c r="M158" i="9"/>
  <c r="L158" i="9"/>
  <c r="N157" i="9"/>
  <c r="M157" i="9"/>
  <c r="L157" i="9"/>
  <c r="N156" i="9"/>
  <c r="M156" i="9"/>
  <c r="L156" i="9"/>
  <c r="N155" i="9"/>
  <c r="M155" i="9"/>
  <c r="L155" i="9"/>
  <c r="N154" i="9"/>
  <c r="M154" i="9"/>
  <c r="L154" i="9"/>
  <c r="N153" i="9"/>
  <c r="M153" i="9"/>
  <c r="L153" i="9"/>
  <c r="N152" i="9"/>
  <c r="M152" i="9"/>
  <c r="L152" i="9"/>
  <c r="N151" i="9"/>
  <c r="M151" i="9"/>
  <c r="L151" i="9"/>
  <c r="N150" i="9"/>
  <c r="M150" i="9"/>
  <c r="L150" i="9"/>
  <c r="N149" i="9"/>
  <c r="M149" i="9"/>
  <c r="L149" i="9"/>
  <c r="N148" i="9"/>
  <c r="M148" i="9"/>
  <c r="L148" i="9"/>
  <c r="N147" i="9"/>
  <c r="M147" i="9"/>
  <c r="L147" i="9"/>
  <c r="N146" i="9"/>
  <c r="M146" i="9"/>
  <c r="N141" i="9"/>
  <c r="M141" i="9"/>
  <c r="L141" i="9"/>
  <c r="N140" i="9"/>
  <c r="M140" i="9"/>
  <c r="L140" i="9"/>
  <c r="N139" i="9"/>
  <c r="M139" i="9"/>
  <c r="L139" i="9"/>
  <c r="N138" i="9"/>
  <c r="M138" i="9"/>
  <c r="L138" i="9"/>
  <c r="N137" i="9"/>
  <c r="M137" i="9"/>
  <c r="L137" i="9"/>
  <c r="N136" i="9"/>
  <c r="M136" i="9"/>
  <c r="L136" i="9"/>
  <c r="N135" i="9"/>
  <c r="N133" i="9"/>
  <c r="M133" i="9"/>
  <c r="N132" i="9"/>
  <c r="M132" i="9"/>
  <c r="L132" i="9"/>
  <c r="N131" i="9"/>
  <c r="M131" i="9"/>
  <c r="L131" i="9"/>
  <c r="N130" i="9"/>
  <c r="M130" i="9"/>
  <c r="N129" i="9"/>
  <c r="N127" i="9"/>
  <c r="M127" i="9"/>
  <c r="L127" i="9"/>
  <c r="N126" i="9"/>
  <c r="M126" i="9"/>
  <c r="L126" i="9"/>
  <c r="N125" i="9"/>
  <c r="M125" i="9"/>
  <c r="L125" i="9"/>
  <c r="N124" i="9"/>
  <c r="M124" i="9"/>
  <c r="L124" i="9"/>
  <c r="N123" i="9"/>
  <c r="M123" i="9"/>
  <c r="L123" i="9"/>
  <c r="N122" i="9"/>
  <c r="M122" i="9"/>
  <c r="N121" i="9"/>
  <c r="M121" i="9"/>
  <c r="L121" i="9"/>
  <c r="N120" i="9"/>
  <c r="N118" i="9"/>
  <c r="M118" i="9"/>
  <c r="L118" i="9"/>
  <c r="N117" i="9"/>
  <c r="M117" i="9"/>
  <c r="L117" i="9"/>
  <c r="N116" i="9"/>
  <c r="M116" i="9"/>
  <c r="N115" i="9"/>
  <c r="M115" i="9"/>
  <c r="L115" i="9"/>
  <c r="N114" i="9"/>
  <c r="M114" i="9"/>
  <c r="L114" i="9"/>
  <c r="N113" i="9"/>
  <c r="M113" i="9"/>
  <c r="L113" i="9"/>
  <c r="N112" i="9"/>
  <c r="M112" i="9"/>
  <c r="L112" i="9"/>
  <c r="N111" i="9"/>
  <c r="M111" i="9"/>
  <c r="L111" i="9"/>
  <c r="N110" i="9"/>
  <c r="M110" i="9"/>
  <c r="L110" i="9"/>
  <c r="N109" i="9"/>
  <c r="M109" i="9"/>
  <c r="L109" i="9"/>
  <c r="N108" i="9"/>
  <c r="M108" i="9"/>
  <c r="L108" i="9"/>
  <c r="N107" i="9"/>
  <c r="M107" i="9"/>
  <c r="L107" i="9"/>
  <c r="N92" i="9"/>
  <c r="M92" i="9"/>
  <c r="L92" i="9"/>
  <c r="N91" i="9"/>
  <c r="M91" i="9"/>
  <c r="L91" i="9"/>
  <c r="N90" i="9"/>
  <c r="M90" i="9"/>
  <c r="L90" i="9"/>
  <c r="N89" i="9"/>
  <c r="M89" i="9"/>
  <c r="L89" i="9"/>
  <c r="N88" i="9"/>
  <c r="M88" i="9"/>
  <c r="L88" i="9"/>
  <c r="N87" i="9"/>
  <c r="M87" i="9"/>
  <c r="L87" i="9"/>
  <c r="N86" i="9"/>
  <c r="M86" i="9"/>
  <c r="L86" i="9"/>
  <c r="N85" i="9"/>
  <c r="M85" i="9"/>
  <c r="L85" i="9"/>
  <c r="N84" i="9"/>
  <c r="M84" i="9"/>
  <c r="L84" i="9"/>
  <c r="N83" i="9"/>
  <c r="M83" i="9"/>
  <c r="L83" i="9"/>
  <c r="N82" i="9"/>
  <c r="M82" i="9"/>
  <c r="L82" i="9"/>
  <c r="N81" i="9"/>
  <c r="N78" i="9"/>
  <c r="M78" i="9"/>
  <c r="L78" i="9"/>
  <c r="N77" i="9"/>
  <c r="M77" i="9"/>
  <c r="L77" i="9"/>
  <c r="N76" i="9"/>
  <c r="M76" i="9"/>
  <c r="L76" i="9"/>
  <c r="N75" i="9"/>
  <c r="M75" i="9"/>
  <c r="L75" i="9"/>
  <c r="N74" i="9"/>
  <c r="M74" i="9"/>
  <c r="L74" i="9"/>
  <c r="N72" i="9"/>
  <c r="M72" i="9"/>
  <c r="L72" i="9"/>
  <c r="N71" i="9"/>
  <c r="M71" i="9"/>
  <c r="L71" i="9"/>
  <c r="N70" i="9"/>
  <c r="M70" i="9"/>
  <c r="L70" i="9"/>
  <c r="N69" i="9"/>
  <c r="M69" i="9"/>
  <c r="L69" i="9"/>
  <c r="N68" i="9"/>
  <c r="M68" i="9"/>
  <c r="L68" i="9"/>
  <c r="N67" i="9"/>
  <c r="M67" i="9"/>
  <c r="L67" i="9"/>
  <c r="N66" i="9"/>
  <c r="M66" i="9"/>
  <c r="L66" i="9"/>
  <c r="N65" i="9"/>
  <c r="M65" i="9"/>
  <c r="L65" i="9"/>
  <c r="N64" i="9"/>
  <c r="M64" i="9"/>
  <c r="L64" i="9"/>
  <c r="N63" i="9"/>
  <c r="M63" i="9"/>
  <c r="L63" i="9"/>
  <c r="N62" i="9"/>
  <c r="M62" i="9"/>
  <c r="L62" i="9"/>
  <c r="N61" i="9"/>
  <c r="M61" i="9"/>
  <c r="L61" i="9"/>
  <c r="N60" i="9"/>
  <c r="M60" i="9"/>
  <c r="L60" i="9"/>
  <c r="N59" i="9"/>
  <c r="M59" i="9"/>
  <c r="L59" i="9"/>
  <c r="N58" i="9"/>
  <c r="M58" i="9"/>
  <c r="L58" i="9"/>
  <c r="N56" i="9"/>
  <c r="M56" i="9"/>
  <c r="L56" i="9"/>
  <c r="N54" i="9"/>
  <c r="M54" i="9"/>
  <c r="L54" i="9"/>
  <c r="N51" i="9"/>
  <c r="M51" i="9"/>
  <c r="L51" i="9"/>
  <c r="N47" i="9"/>
  <c r="M47" i="9"/>
  <c r="L47" i="9"/>
  <c r="N44" i="9"/>
  <c r="M44" i="9"/>
  <c r="L44" i="9"/>
  <c r="N43" i="9"/>
  <c r="M43" i="9"/>
  <c r="L43" i="9"/>
  <c r="N42" i="9"/>
  <c r="M42" i="9"/>
  <c r="L42" i="9"/>
  <c r="N41" i="9"/>
  <c r="M41" i="9"/>
  <c r="L41" i="9"/>
  <c r="N40" i="9"/>
  <c r="M40" i="9"/>
  <c r="L40" i="9"/>
  <c r="N36" i="9"/>
  <c r="M36" i="9"/>
  <c r="L36" i="9"/>
  <c r="N34" i="9"/>
  <c r="M34" i="9"/>
  <c r="L34" i="9"/>
  <c r="N33" i="9"/>
  <c r="M33" i="9"/>
  <c r="L33" i="9"/>
  <c r="N32" i="9"/>
  <c r="N27" i="9"/>
  <c r="M27" i="9"/>
  <c r="L27" i="9"/>
  <c r="N26" i="9"/>
  <c r="M26" i="9"/>
  <c r="L26" i="9"/>
  <c r="N25" i="9"/>
  <c r="M25" i="9"/>
  <c r="L25" i="9"/>
  <c r="N24" i="9"/>
  <c r="M24" i="9"/>
  <c r="L24" i="9"/>
  <c r="N23" i="9"/>
  <c r="M23" i="9"/>
  <c r="L23" i="9"/>
  <c r="N22" i="9"/>
  <c r="M22" i="9"/>
  <c r="L22" i="9"/>
  <c r="N21" i="9"/>
  <c r="M21" i="9"/>
  <c r="L21" i="9"/>
  <c r="N20" i="9"/>
  <c r="M20" i="9"/>
  <c r="L20" i="9"/>
  <c r="N19" i="9"/>
  <c r="M19" i="9"/>
  <c r="L19" i="9"/>
  <c r="N18" i="9"/>
  <c r="M18" i="9"/>
  <c r="L18" i="9"/>
  <c r="N17" i="9"/>
  <c r="M17" i="9"/>
  <c r="L17" i="9"/>
  <c r="N16" i="9"/>
  <c r="M16" i="9"/>
  <c r="L16" i="9"/>
  <c r="N15" i="9"/>
  <c r="M15" i="9"/>
  <c r="L15" i="9"/>
  <c r="S140" i="9"/>
  <c r="S139" i="9"/>
  <c r="S138" i="9"/>
  <c r="S137" i="9"/>
  <c r="S136" i="9"/>
  <c r="S117" i="9"/>
  <c r="S114" i="9"/>
  <c r="S113" i="9"/>
  <c r="S111" i="9"/>
  <c r="S110" i="9"/>
  <c r="S109" i="9"/>
  <c r="S108" i="9"/>
  <c r="S103" i="9"/>
  <c r="S102" i="9"/>
  <c r="S101" i="9"/>
  <c r="S100" i="9"/>
  <c r="S99" i="9"/>
  <c r="S98" i="9"/>
  <c r="S97" i="9"/>
  <c r="S96" i="9"/>
  <c r="S95" i="9"/>
  <c r="S94" i="9"/>
  <c r="S93" i="9"/>
  <c r="S91" i="9"/>
  <c r="S90" i="9"/>
  <c r="S89" i="9"/>
  <c r="S88" i="9"/>
  <c r="S87" i="9"/>
  <c r="S86" i="9"/>
  <c r="S85" i="9"/>
  <c r="S84" i="9"/>
  <c r="S83" i="9"/>
  <c r="S33" i="9"/>
  <c r="S24" i="9"/>
  <c r="S14" i="9"/>
  <c r="S94" i="2"/>
  <c r="S93" i="2"/>
  <c r="S87" i="2"/>
  <c r="S86" i="2"/>
  <c r="S82" i="2"/>
  <c r="S81" i="2"/>
  <c r="S70" i="2"/>
  <c r="S69" i="2"/>
  <c r="S68" i="2"/>
  <c r="S47" i="2"/>
  <c r="S40" i="2"/>
  <c r="S39" i="2"/>
  <c r="S38" i="2"/>
  <c r="S27" i="2"/>
  <c r="S26" i="2"/>
  <c r="S25" i="2"/>
  <c r="S24" i="2"/>
  <c r="S14" i="2"/>
  <c r="S97" i="3"/>
  <c r="S96" i="3"/>
  <c r="S94" i="3"/>
  <c r="S93" i="3"/>
  <c r="S89" i="3"/>
  <c r="S88" i="3"/>
  <c r="S87" i="3"/>
  <c r="S86" i="3"/>
  <c r="S80" i="3"/>
  <c r="S79" i="3"/>
  <c r="S78" i="3"/>
  <c r="S77" i="3"/>
  <c r="S76" i="3"/>
  <c r="S71" i="3"/>
  <c r="S66" i="3"/>
  <c r="S64" i="3"/>
  <c r="S62" i="3"/>
  <c r="S61" i="3"/>
  <c r="S60" i="3"/>
  <c r="S58" i="3"/>
  <c r="S55" i="3"/>
  <c r="S53" i="3"/>
  <c r="S52" i="3"/>
  <c r="S51" i="3"/>
  <c r="S29" i="3"/>
  <c r="S14" i="3"/>
  <c r="S94" i="4"/>
  <c r="S93" i="4"/>
  <c r="S88" i="4"/>
  <c r="S87" i="4"/>
  <c r="S86" i="4"/>
  <c r="S85" i="4"/>
  <c r="S82" i="4"/>
  <c r="S81" i="4"/>
  <c r="S70" i="4"/>
  <c r="S69" i="4"/>
  <c r="S68" i="4"/>
  <c r="S61" i="4"/>
  <c r="S59" i="4"/>
  <c r="S55" i="4"/>
  <c r="S54" i="4"/>
  <c r="S53" i="4"/>
  <c r="S52" i="4"/>
  <c r="S51" i="4"/>
  <c r="S50" i="4"/>
  <c r="S47" i="4"/>
  <c r="S40" i="4"/>
  <c r="S39" i="4"/>
  <c r="S38" i="4"/>
  <c r="S28" i="4"/>
  <c r="S14" i="4"/>
  <c r="S94" i="7"/>
  <c r="S93" i="7"/>
  <c r="S86" i="7"/>
  <c r="S85" i="7"/>
  <c r="S82" i="7"/>
  <c r="S81" i="7"/>
  <c r="S70" i="7"/>
  <c r="S69" i="7"/>
  <c r="S68" i="7"/>
  <c r="S65" i="7"/>
  <c r="S57" i="7"/>
  <c r="S56" i="7"/>
  <c r="S55" i="7"/>
  <c r="S54" i="7"/>
  <c r="S53" i="7"/>
  <c r="S52" i="7"/>
  <c r="S51" i="7"/>
  <c r="S50" i="7"/>
  <c r="S47" i="7"/>
  <c r="S40" i="7"/>
  <c r="S39" i="7"/>
  <c r="S38" i="7"/>
  <c r="S37" i="7"/>
  <c r="S31" i="7"/>
  <c r="S28" i="7"/>
  <c r="S14" i="7"/>
  <c r="S94" i="6"/>
  <c r="S93" i="6"/>
  <c r="S88" i="6"/>
  <c r="S87" i="6"/>
  <c r="S86" i="6"/>
  <c r="S85" i="6"/>
  <c r="S82" i="6"/>
  <c r="S68" i="6"/>
  <c r="S65" i="6"/>
  <c r="S47" i="6"/>
  <c r="S45" i="6"/>
  <c r="S44" i="6"/>
  <c r="S43" i="6"/>
  <c r="S40" i="6"/>
  <c r="S39" i="6"/>
  <c r="S38" i="6"/>
  <c r="S37" i="6"/>
  <c r="S31" i="6"/>
  <c r="S28" i="6"/>
  <c r="S14" i="6"/>
  <c r="S97" i="5"/>
  <c r="S96" i="5"/>
  <c r="S88" i="5"/>
  <c r="S87" i="5"/>
  <c r="S86" i="5"/>
  <c r="S85" i="5"/>
  <c r="S82" i="5"/>
  <c r="S81" i="5"/>
  <c r="S70" i="5"/>
  <c r="S65" i="5"/>
  <c r="S61" i="5"/>
  <c r="S59" i="5"/>
  <c r="S47" i="5"/>
  <c r="S40" i="5"/>
  <c r="S39" i="5"/>
  <c r="S14" i="5"/>
  <c r="N102" i="4"/>
  <c r="N101" i="4"/>
  <c r="M101" i="4"/>
  <c r="L101" i="4"/>
  <c r="N100" i="4"/>
  <c r="M100" i="4"/>
  <c r="N99" i="4"/>
  <c r="N98" i="4"/>
  <c r="M98" i="4"/>
  <c r="L98" i="4"/>
  <c r="N97" i="4"/>
  <c r="M97" i="4"/>
  <c r="L97" i="4"/>
  <c r="N96" i="4"/>
  <c r="M96" i="4"/>
  <c r="L96" i="4"/>
  <c r="N95" i="4"/>
  <c r="N94" i="4"/>
  <c r="M94" i="4"/>
  <c r="L94" i="4"/>
  <c r="N93" i="4"/>
  <c r="M93" i="4"/>
  <c r="L93" i="4"/>
  <c r="N88" i="4"/>
  <c r="M88" i="4"/>
  <c r="L88" i="4"/>
  <c r="N87" i="4"/>
  <c r="M87" i="4"/>
  <c r="L87" i="4"/>
  <c r="N86" i="4"/>
  <c r="M86" i="4"/>
  <c r="L86" i="4"/>
  <c r="N85" i="4"/>
  <c r="M85" i="4"/>
  <c r="L85" i="4"/>
  <c r="N84" i="4"/>
  <c r="M84" i="4"/>
  <c r="L84" i="4"/>
  <c r="N83" i="4"/>
  <c r="N82" i="4"/>
  <c r="M82" i="4"/>
  <c r="L82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M74" i="4"/>
  <c r="L74" i="4"/>
  <c r="N73" i="4"/>
  <c r="M73" i="4"/>
  <c r="L73" i="4"/>
  <c r="N72" i="4"/>
  <c r="M72" i="4"/>
  <c r="L72" i="4"/>
  <c r="N71" i="4"/>
  <c r="N70" i="4"/>
  <c r="M70" i="4"/>
  <c r="L70" i="4"/>
  <c r="N69" i="4"/>
  <c r="M69" i="4"/>
  <c r="L69" i="4"/>
  <c r="N68" i="4"/>
  <c r="M68" i="4"/>
  <c r="L68" i="4"/>
  <c r="N67" i="4"/>
  <c r="M67" i="4"/>
  <c r="L67" i="4"/>
  <c r="N65" i="4"/>
  <c r="M65" i="4"/>
  <c r="L65" i="4"/>
  <c r="N64" i="4"/>
  <c r="M64" i="4"/>
  <c r="L64" i="4"/>
  <c r="N63" i="4"/>
  <c r="M63" i="4"/>
  <c r="L63" i="4"/>
  <c r="N62" i="4"/>
  <c r="M62" i="4"/>
  <c r="L62" i="4"/>
  <c r="N61" i="4"/>
  <c r="M61" i="4"/>
  <c r="L61" i="4"/>
  <c r="N60" i="4"/>
  <c r="M60" i="4"/>
  <c r="L60" i="4"/>
  <c r="N59" i="4"/>
  <c r="M59" i="4"/>
  <c r="L59" i="4"/>
  <c r="N58" i="4"/>
  <c r="M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M53" i="4"/>
  <c r="L53" i="4"/>
  <c r="N52" i="4"/>
  <c r="M52" i="4"/>
  <c r="L52" i="4"/>
  <c r="N51" i="4"/>
  <c r="M51" i="4"/>
  <c r="L51" i="4"/>
  <c r="N50" i="4"/>
  <c r="M50" i="4"/>
  <c r="L50" i="4"/>
  <c r="N49" i="4"/>
  <c r="M49" i="4"/>
  <c r="L49" i="4"/>
  <c r="N48" i="4"/>
  <c r="N47" i="4"/>
  <c r="M47" i="4"/>
  <c r="L47" i="4"/>
  <c r="N46" i="4"/>
  <c r="M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1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4" i="4"/>
  <c r="M34" i="4"/>
  <c r="L34" i="4"/>
  <c r="N33" i="4"/>
  <c r="N30" i="4"/>
  <c r="M30" i="4"/>
  <c r="L30" i="4"/>
  <c r="N29" i="4"/>
  <c r="N27" i="4"/>
  <c r="M27" i="4"/>
  <c r="L27" i="4"/>
  <c r="N26" i="4"/>
  <c r="M26" i="4"/>
  <c r="L26" i="4"/>
  <c r="N25" i="4"/>
  <c r="M25" i="4"/>
  <c r="L25" i="4"/>
  <c r="N24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6" i="4"/>
  <c r="M16" i="4"/>
  <c r="L16" i="4"/>
  <c r="N15" i="4"/>
  <c r="M15" i="4"/>
  <c r="L15" i="4"/>
  <c r="N14" i="4"/>
  <c r="M14" i="4"/>
  <c r="L14" i="4"/>
  <c r="N13" i="4"/>
  <c r="N102" i="5"/>
  <c r="N101" i="5"/>
  <c r="M101" i="5"/>
  <c r="L101" i="5"/>
  <c r="N100" i="5"/>
  <c r="M100" i="5"/>
  <c r="L100" i="5"/>
  <c r="N99" i="5"/>
  <c r="N98" i="5"/>
  <c r="M98" i="5"/>
  <c r="L98" i="5"/>
  <c r="N97" i="5"/>
  <c r="M97" i="5"/>
  <c r="L97" i="5"/>
  <c r="N96" i="5"/>
  <c r="M96" i="5"/>
  <c r="L96" i="5"/>
  <c r="N95" i="5"/>
  <c r="N94" i="5"/>
  <c r="M94" i="5"/>
  <c r="L94" i="5"/>
  <c r="N93" i="5"/>
  <c r="N89" i="5"/>
  <c r="N87" i="5"/>
  <c r="M87" i="5"/>
  <c r="L87" i="5"/>
  <c r="N86" i="5"/>
  <c r="M86" i="5"/>
  <c r="L86" i="5"/>
  <c r="N84" i="5"/>
  <c r="M84" i="5"/>
  <c r="L84" i="5"/>
  <c r="N83" i="5"/>
  <c r="N82" i="5"/>
  <c r="M82" i="5"/>
  <c r="L82" i="5"/>
  <c r="N80" i="5"/>
  <c r="M80" i="5"/>
  <c r="L80" i="5"/>
  <c r="N74" i="5"/>
  <c r="M74" i="5"/>
  <c r="L74" i="5"/>
  <c r="N72" i="5"/>
  <c r="M72" i="5"/>
  <c r="L72" i="5"/>
  <c r="N71" i="5"/>
  <c r="N69" i="5"/>
  <c r="M69" i="5"/>
  <c r="L69" i="5"/>
  <c r="N67" i="5"/>
  <c r="M67" i="5"/>
  <c r="L67" i="5"/>
  <c r="N66" i="5"/>
  <c r="N64" i="5"/>
  <c r="M64" i="5"/>
  <c r="L64" i="5"/>
  <c r="N62" i="5"/>
  <c r="M62" i="5"/>
  <c r="L62" i="5"/>
  <c r="N60" i="5"/>
  <c r="M60" i="5"/>
  <c r="L60" i="5"/>
  <c r="N58" i="5"/>
  <c r="M58" i="5"/>
  <c r="L58" i="5"/>
  <c r="N56" i="5"/>
  <c r="M56" i="5"/>
  <c r="L56" i="5"/>
  <c r="N53" i="5"/>
  <c r="M53" i="5"/>
  <c r="L53" i="5"/>
  <c r="N49" i="5"/>
  <c r="L49" i="5"/>
  <c r="N48" i="5"/>
  <c r="N46" i="5"/>
  <c r="M46" i="5"/>
  <c r="L46" i="5"/>
  <c r="N45" i="5"/>
  <c r="M45" i="5"/>
  <c r="L45" i="5"/>
  <c r="N42" i="5"/>
  <c r="M42" i="5"/>
  <c r="L42" i="5"/>
  <c r="N41" i="5"/>
  <c r="N36" i="5"/>
  <c r="M36" i="5"/>
  <c r="L36" i="5"/>
  <c r="N34" i="5"/>
  <c r="M34" i="5"/>
  <c r="L34" i="5"/>
  <c r="N33" i="5"/>
  <c r="N32" i="5"/>
  <c r="N30" i="5"/>
  <c r="M30" i="5"/>
  <c r="L30" i="5"/>
  <c r="N29" i="5"/>
  <c r="N27" i="5"/>
  <c r="M27" i="5"/>
  <c r="L27" i="5"/>
  <c r="N26" i="5"/>
  <c r="M26" i="5"/>
  <c r="L26" i="5"/>
  <c r="N25" i="5"/>
  <c r="M25" i="5"/>
  <c r="L25" i="5"/>
  <c r="N24" i="5"/>
  <c r="M24" i="5"/>
  <c r="L24" i="5"/>
  <c r="N23" i="5"/>
  <c r="M23" i="5"/>
  <c r="L23" i="5"/>
  <c r="N22" i="5"/>
  <c r="M22" i="5"/>
  <c r="L22" i="5"/>
  <c r="N21" i="5"/>
  <c r="M21" i="5"/>
  <c r="L21" i="5"/>
  <c r="N20" i="5"/>
  <c r="M20" i="5"/>
  <c r="L20" i="5"/>
  <c r="N19" i="5"/>
  <c r="M19" i="5"/>
  <c r="L19" i="5"/>
  <c r="N18" i="5"/>
  <c r="M18" i="5"/>
  <c r="L18" i="5"/>
  <c r="N17" i="5"/>
  <c r="M17" i="5"/>
  <c r="L17" i="5"/>
  <c r="N16" i="5"/>
  <c r="M16" i="5"/>
  <c r="L16" i="5"/>
  <c r="N15" i="5"/>
  <c r="M15" i="5"/>
  <c r="L15" i="5"/>
  <c r="N102" i="6"/>
  <c r="N101" i="6"/>
  <c r="M101" i="6"/>
  <c r="L101" i="6"/>
  <c r="N100" i="6"/>
  <c r="M100" i="6"/>
  <c r="N99" i="6"/>
  <c r="N98" i="6"/>
  <c r="M98" i="6"/>
  <c r="L98" i="6"/>
  <c r="N97" i="6"/>
  <c r="M97" i="6"/>
  <c r="L97" i="6"/>
  <c r="N96" i="6"/>
  <c r="M96" i="6"/>
  <c r="L96" i="6"/>
  <c r="N95" i="6"/>
  <c r="N94" i="6"/>
  <c r="L94" i="6"/>
  <c r="N93" i="6"/>
  <c r="N89" i="6"/>
  <c r="N88" i="6"/>
  <c r="M88" i="6"/>
  <c r="L88" i="6"/>
  <c r="N87" i="6"/>
  <c r="M87" i="6"/>
  <c r="L87" i="6"/>
  <c r="N86" i="6"/>
  <c r="M86" i="6"/>
  <c r="L86" i="6"/>
  <c r="N85" i="6"/>
  <c r="M85" i="6"/>
  <c r="L85" i="6"/>
  <c r="N84" i="6"/>
  <c r="M84" i="6"/>
  <c r="L84" i="6"/>
  <c r="N83" i="6"/>
  <c r="N80" i="6"/>
  <c r="M80" i="6"/>
  <c r="L80" i="6"/>
  <c r="N79" i="6"/>
  <c r="M79" i="6"/>
  <c r="L79" i="6"/>
  <c r="N78" i="6"/>
  <c r="M78" i="6"/>
  <c r="L78" i="6"/>
  <c r="N77" i="6"/>
  <c r="M77" i="6"/>
  <c r="L77" i="6"/>
  <c r="N76" i="6"/>
  <c r="M76" i="6"/>
  <c r="L76" i="6"/>
  <c r="N75" i="6"/>
  <c r="M75" i="6"/>
  <c r="L75" i="6"/>
  <c r="N74" i="6"/>
  <c r="M74" i="6"/>
  <c r="L74" i="6"/>
  <c r="N73" i="6"/>
  <c r="M73" i="6"/>
  <c r="L73" i="6"/>
  <c r="N72" i="6"/>
  <c r="M72" i="6"/>
  <c r="L72" i="6"/>
  <c r="N71" i="6"/>
  <c r="N70" i="6"/>
  <c r="M70" i="6"/>
  <c r="L70" i="6"/>
  <c r="N69" i="6"/>
  <c r="M69" i="6"/>
  <c r="L69" i="6"/>
  <c r="N68" i="6"/>
  <c r="M68" i="6"/>
  <c r="L68" i="6"/>
  <c r="N67" i="6"/>
  <c r="M67" i="6"/>
  <c r="L67" i="6"/>
  <c r="N66" i="6"/>
  <c r="N65" i="6"/>
  <c r="M65" i="6"/>
  <c r="L65" i="6"/>
  <c r="N64" i="6"/>
  <c r="M64" i="6"/>
  <c r="L64" i="6"/>
  <c r="N63" i="6"/>
  <c r="M63" i="6"/>
  <c r="L63" i="6"/>
  <c r="N62" i="6"/>
  <c r="M62" i="6"/>
  <c r="L62" i="6"/>
  <c r="N61" i="6"/>
  <c r="M61" i="6"/>
  <c r="L61" i="6"/>
  <c r="N60" i="6"/>
  <c r="M60" i="6"/>
  <c r="L60" i="6"/>
  <c r="N59" i="6"/>
  <c r="M59" i="6"/>
  <c r="L59" i="6"/>
  <c r="N58" i="6"/>
  <c r="M58" i="6"/>
  <c r="L58" i="6"/>
  <c r="N57" i="6"/>
  <c r="M57" i="6"/>
  <c r="L57" i="6"/>
  <c r="N56" i="6"/>
  <c r="M56" i="6"/>
  <c r="L56" i="6"/>
  <c r="N55" i="6"/>
  <c r="M55" i="6"/>
  <c r="L55" i="6"/>
  <c r="N54" i="6"/>
  <c r="M54" i="6"/>
  <c r="L54" i="6"/>
  <c r="N53" i="6"/>
  <c r="M53" i="6"/>
  <c r="L53" i="6"/>
  <c r="N52" i="6"/>
  <c r="M52" i="6"/>
  <c r="L52" i="6"/>
  <c r="N51" i="6"/>
  <c r="M51" i="6"/>
  <c r="L51" i="6"/>
  <c r="N50" i="6"/>
  <c r="M50" i="6"/>
  <c r="L50" i="6"/>
  <c r="N49" i="6"/>
  <c r="M49" i="6"/>
  <c r="L49" i="6"/>
  <c r="N48" i="6"/>
  <c r="N47" i="6"/>
  <c r="M47" i="6"/>
  <c r="L47" i="6"/>
  <c r="N46" i="6"/>
  <c r="M46" i="6"/>
  <c r="L46" i="6"/>
  <c r="L43" i="6"/>
  <c r="M43" i="6"/>
  <c r="N43" i="6"/>
  <c r="L44" i="6"/>
  <c r="M44" i="6"/>
  <c r="N44" i="6"/>
  <c r="L45" i="6"/>
  <c r="M45" i="6"/>
  <c r="N45" i="6"/>
  <c r="L37" i="6"/>
  <c r="M37" i="6"/>
  <c r="N37" i="6"/>
  <c r="L38" i="6"/>
  <c r="M38" i="6"/>
  <c r="N38" i="6"/>
  <c r="L39" i="6"/>
  <c r="M39" i="6"/>
  <c r="N39" i="6"/>
  <c r="L40" i="6"/>
  <c r="M40" i="6"/>
  <c r="N40" i="6"/>
  <c r="R47" i="6"/>
  <c r="Q47" i="6"/>
  <c r="P47" i="6"/>
  <c r="R46" i="6"/>
  <c r="Q46" i="6"/>
  <c r="P46" i="6"/>
  <c r="S46" i="6" s="1"/>
  <c r="R45" i="6"/>
  <c r="Q45" i="6"/>
  <c r="P45" i="6"/>
  <c r="R44" i="6"/>
  <c r="Q44" i="6"/>
  <c r="P44" i="6"/>
  <c r="R43" i="6"/>
  <c r="Q43" i="6"/>
  <c r="P43" i="6"/>
  <c r="R42" i="6"/>
  <c r="Q42" i="6"/>
  <c r="P42" i="6"/>
  <c r="N42" i="6"/>
  <c r="M42" i="6"/>
  <c r="L42" i="6"/>
  <c r="N41" i="6"/>
  <c r="R40" i="6"/>
  <c r="Q40" i="6"/>
  <c r="P40" i="6"/>
  <c r="R39" i="6"/>
  <c r="Q39" i="6"/>
  <c r="P39" i="6"/>
  <c r="R38" i="6"/>
  <c r="Q38" i="6"/>
  <c r="P38" i="6"/>
  <c r="R37" i="6"/>
  <c r="Q37" i="6"/>
  <c r="P37" i="6"/>
  <c r="R36" i="6"/>
  <c r="Q36" i="6"/>
  <c r="P36" i="6"/>
  <c r="N36" i="6"/>
  <c r="M36" i="6"/>
  <c r="L36" i="6"/>
  <c r="R35" i="6"/>
  <c r="Q35" i="6"/>
  <c r="P35" i="6"/>
  <c r="S35" i="6" s="1"/>
  <c r="N35" i="6"/>
  <c r="M35" i="6"/>
  <c r="L35" i="6"/>
  <c r="R34" i="6"/>
  <c r="Q34" i="6"/>
  <c r="P34" i="6"/>
  <c r="S34" i="6" s="1"/>
  <c r="N34" i="6"/>
  <c r="M34" i="6"/>
  <c r="L34" i="6"/>
  <c r="N33" i="6"/>
  <c r="N32" i="6"/>
  <c r="R30" i="6"/>
  <c r="Q30" i="6"/>
  <c r="P30" i="6"/>
  <c r="S30" i="6" s="1"/>
  <c r="N30" i="6"/>
  <c r="M30" i="6"/>
  <c r="L30" i="6"/>
  <c r="N29" i="6"/>
  <c r="L16" i="6"/>
  <c r="M16" i="6"/>
  <c r="N16" i="6"/>
  <c r="L17" i="6"/>
  <c r="M17" i="6"/>
  <c r="N17" i="6"/>
  <c r="L18" i="6"/>
  <c r="M18" i="6"/>
  <c r="N18" i="6"/>
  <c r="L19" i="6"/>
  <c r="M19" i="6"/>
  <c r="N19" i="6"/>
  <c r="L20" i="6"/>
  <c r="M20" i="6"/>
  <c r="N20" i="6"/>
  <c r="L21" i="6"/>
  <c r="M21" i="6"/>
  <c r="N21" i="6"/>
  <c r="L22" i="6"/>
  <c r="M22" i="6"/>
  <c r="N22" i="6"/>
  <c r="L23" i="6"/>
  <c r="M23" i="6"/>
  <c r="N23" i="6"/>
  <c r="L24" i="6"/>
  <c r="M24" i="6"/>
  <c r="N24" i="6"/>
  <c r="L25" i="6"/>
  <c r="M25" i="6"/>
  <c r="N25" i="6"/>
  <c r="L26" i="6"/>
  <c r="M26" i="6"/>
  <c r="N26" i="6"/>
  <c r="L27" i="6"/>
  <c r="M27" i="6"/>
  <c r="N27" i="6"/>
  <c r="L28" i="6"/>
  <c r="M28" i="6"/>
  <c r="N28" i="6"/>
  <c r="P15" i="6"/>
  <c r="Q15" i="6"/>
  <c r="R15" i="6"/>
  <c r="P16" i="6"/>
  <c r="Q16" i="6"/>
  <c r="R16" i="6"/>
  <c r="T16" i="6"/>
  <c r="P17" i="6"/>
  <c r="S17" i="6" s="1"/>
  <c r="V17" i="6" s="1"/>
  <c r="Q17" i="6"/>
  <c r="R17" i="6"/>
  <c r="T17" i="6"/>
  <c r="P18" i="6"/>
  <c r="Q18" i="6"/>
  <c r="R18" i="6"/>
  <c r="S18" i="6" s="1"/>
  <c r="V18" i="6" s="1"/>
  <c r="T18" i="6"/>
  <c r="P19" i="6"/>
  <c r="Q19" i="6"/>
  <c r="R19" i="6"/>
  <c r="P20" i="6"/>
  <c r="Q20" i="6"/>
  <c r="R20" i="6"/>
  <c r="P21" i="6"/>
  <c r="Q21" i="6"/>
  <c r="R21" i="6"/>
  <c r="P22" i="6"/>
  <c r="Q22" i="6"/>
  <c r="R22" i="6"/>
  <c r="S22" i="6" s="1"/>
  <c r="V22" i="6" s="1"/>
  <c r="T22" i="6"/>
  <c r="P23" i="6"/>
  <c r="Q23" i="6"/>
  <c r="R23" i="6"/>
  <c r="N15" i="6"/>
  <c r="M15" i="6"/>
  <c r="L15" i="6"/>
  <c r="N14" i="6"/>
  <c r="M14" i="6"/>
  <c r="L14" i="6"/>
  <c r="N13" i="6"/>
  <c r="P31" i="7"/>
  <c r="N93" i="7"/>
  <c r="M93" i="7"/>
  <c r="L93" i="7"/>
  <c r="N84" i="7"/>
  <c r="M84" i="7"/>
  <c r="L84" i="7"/>
  <c r="N102" i="7"/>
  <c r="N101" i="7"/>
  <c r="M101" i="7"/>
  <c r="L101" i="7"/>
  <c r="N100" i="7"/>
  <c r="M100" i="7"/>
  <c r="N99" i="7"/>
  <c r="N98" i="7"/>
  <c r="M98" i="7"/>
  <c r="L98" i="7"/>
  <c r="N97" i="7"/>
  <c r="M97" i="7"/>
  <c r="L97" i="7"/>
  <c r="N96" i="7"/>
  <c r="M96" i="7"/>
  <c r="L96" i="7"/>
  <c r="N95" i="7"/>
  <c r="N86" i="7"/>
  <c r="M86" i="7"/>
  <c r="L86" i="7"/>
  <c r="N80" i="7"/>
  <c r="M80" i="7"/>
  <c r="L80" i="7"/>
  <c r="N79" i="7"/>
  <c r="M79" i="7"/>
  <c r="L79" i="7"/>
  <c r="N78" i="7"/>
  <c r="M78" i="7"/>
  <c r="L78" i="7"/>
  <c r="N77" i="7"/>
  <c r="M77" i="7"/>
  <c r="L77" i="7"/>
  <c r="N76" i="7"/>
  <c r="M76" i="7"/>
  <c r="L76" i="7"/>
  <c r="N75" i="7"/>
  <c r="M75" i="7"/>
  <c r="L75" i="7"/>
  <c r="N74" i="7"/>
  <c r="M74" i="7"/>
  <c r="L74" i="7"/>
  <c r="N73" i="7"/>
  <c r="M73" i="7"/>
  <c r="L73" i="7"/>
  <c r="N72" i="7"/>
  <c r="M72" i="7"/>
  <c r="L72" i="7"/>
  <c r="N70" i="7"/>
  <c r="M70" i="7"/>
  <c r="L70" i="7"/>
  <c r="N69" i="7"/>
  <c r="M69" i="7"/>
  <c r="L69" i="7"/>
  <c r="N68" i="7"/>
  <c r="M68" i="7"/>
  <c r="L68" i="7"/>
  <c r="N67" i="7"/>
  <c r="M67" i="7"/>
  <c r="L67" i="7"/>
  <c r="N71" i="7"/>
  <c r="N66" i="7"/>
  <c r="L51" i="7"/>
  <c r="M51" i="7"/>
  <c r="N51" i="7"/>
  <c r="L52" i="7"/>
  <c r="M52" i="7"/>
  <c r="N52" i="7"/>
  <c r="L53" i="7"/>
  <c r="M53" i="7"/>
  <c r="N53" i="7"/>
  <c r="L54" i="7"/>
  <c r="M54" i="7"/>
  <c r="N54" i="7"/>
  <c r="L55" i="7"/>
  <c r="M55" i="7"/>
  <c r="N55" i="7"/>
  <c r="L56" i="7"/>
  <c r="M56" i="7"/>
  <c r="N56" i="7"/>
  <c r="L57" i="7"/>
  <c r="M57" i="7"/>
  <c r="N57" i="7"/>
  <c r="L58" i="7"/>
  <c r="M58" i="7"/>
  <c r="N58" i="7"/>
  <c r="L59" i="7"/>
  <c r="M59" i="7"/>
  <c r="N59" i="7"/>
  <c r="L60" i="7"/>
  <c r="M60" i="7"/>
  <c r="N60" i="7"/>
  <c r="L61" i="7"/>
  <c r="M61" i="7"/>
  <c r="N61" i="7"/>
  <c r="L62" i="7"/>
  <c r="M62" i="7"/>
  <c r="N62" i="7"/>
  <c r="L63" i="7"/>
  <c r="M63" i="7"/>
  <c r="N63" i="7"/>
  <c r="L64" i="7"/>
  <c r="M64" i="7"/>
  <c r="N64" i="7"/>
  <c r="L65" i="7"/>
  <c r="M65" i="7"/>
  <c r="N65" i="7"/>
  <c r="L43" i="7"/>
  <c r="M43" i="7"/>
  <c r="N43" i="7"/>
  <c r="L44" i="7"/>
  <c r="M44" i="7"/>
  <c r="N44" i="7"/>
  <c r="L45" i="7"/>
  <c r="M45" i="7"/>
  <c r="N45" i="7"/>
  <c r="L46" i="7"/>
  <c r="M46" i="7"/>
  <c r="N46" i="7"/>
  <c r="L47" i="7"/>
  <c r="M47" i="7"/>
  <c r="N47" i="7"/>
  <c r="N48" i="7"/>
  <c r="L49" i="7"/>
  <c r="M49" i="7"/>
  <c r="N49" i="7"/>
  <c r="L50" i="7"/>
  <c r="M50" i="7"/>
  <c r="N50" i="7"/>
  <c r="N42" i="7"/>
  <c r="M42" i="7"/>
  <c r="L42" i="7"/>
  <c r="N41" i="7"/>
  <c r="N40" i="7"/>
  <c r="M40" i="7"/>
  <c r="L40" i="7"/>
  <c r="N39" i="7"/>
  <c r="M39" i="7"/>
  <c r="L39" i="7"/>
  <c r="N38" i="7"/>
  <c r="M38" i="7"/>
  <c r="L38" i="7"/>
  <c r="N37" i="7"/>
  <c r="M37" i="7"/>
  <c r="L37" i="7"/>
  <c r="N36" i="7"/>
  <c r="M36" i="7"/>
  <c r="L36" i="7"/>
  <c r="N35" i="7"/>
  <c r="M35" i="7"/>
  <c r="L35" i="7"/>
  <c r="N34" i="7"/>
  <c r="M34" i="7"/>
  <c r="L34" i="7"/>
  <c r="N33" i="7"/>
  <c r="N30" i="7"/>
  <c r="M30" i="7"/>
  <c r="L30" i="7"/>
  <c r="N27" i="7"/>
  <c r="M27" i="7"/>
  <c r="L27" i="7"/>
  <c r="N26" i="7"/>
  <c r="M26" i="7"/>
  <c r="L26" i="7"/>
  <c r="N25" i="7"/>
  <c r="M25" i="7"/>
  <c r="L25" i="7"/>
  <c r="N24" i="7"/>
  <c r="M24" i="7"/>
  <c r="L24" i="7"/>
  <c r="N23" i="7"/>
  <c r="M23" i="7"/>
  <c r="L23" i="7"/>
  <c r="N22" i="7"/>
  <c r="M22" i="7"/>
  <c r="L22" i="7"/>
  <c r="N21" i="7"/>
  <c r="M21" i="7"/>
  <c r="L21" i="7"/>
  <c r="N20" i="7"/>
  <c r="M20" i="7"/>
  <c r="L20" i="7"/>
  <c r="N19" i="7"/>
  <c r="M19" i="7"/>
  <c r="L19" i="7"/>
  <c r="N18" i="7"/>
  <c r="M18" i="7"/>
  <c r="L18" i="7"/>
  <c r="N17" i="7"/>
  <c r="M17" i="7"/>
  <c r="L17" i="7"/>
  <c r="N16" i="7"/>
  <c r="M16" i="7"/>
  <c r="L16" i="7"/>
  <c r="N15" i="7"/>
  <c r="M15" i="7"/>
  <c r="L15" i="7"/>
  <c r="R57" i="17"/>
  <c r="Q57" i="17"/>
  <c r="P57" i="17"/>
  <c r="S57" i="17" s="1"/>
  <c r="T57" i="17" s="1"/>
  <c r="R56" i="17"/>
  <c r="Q56" i="17"/>
  <c r="P56" i="17"/>
  <c r="S56" i="17" s="1"/>
  <c r="R55" i="17"/>
  <c r="Q55" i="17"/>
  <c r="P55" i="17"/>
  <c r="S55" i="17" s="1"/>
  <c r="R53" i="17"/>
  <c r="Q53" i="17"/>
  <c r="P53" i="17"/>
  <c r="S53" i="17" s="1"/>
  <c r="R52" i="17"/>
  <c r="Q52" i="17"/>
  <c r="P52" i="17"/>
  <c r="S52" i="17" s="1"/>
  <c r="R51" i="17"/>
  <c r="Q51" i="17"/>
  <c r="P51" i="17"/>
  <c r="S51" i="17" s="1"/>
  <c r="S48" i="17"/>
  <c r="S47" i="17"/>
  <c r="S46" i="17"/>
  <c r="S44" i="17"/>
  <c r="P43" i="17"/>
  <c r="S43" i="17" s="1"/>
  <c r="P44" i="17"/>
  <c r="P46" i="17"/>
  <c r="P47" i="17"/>
  <c r="P48" i="17"/>
  <c r="R48" i="17"/>
  <c r="Q48" i="17"/>
  <c r="R47" i="17"/>
  <c r="Q47" i="17"/>
  <c r="R46" i="17"/>
  <c r="Q46" i="17"/>
  <c r="R44" i="17"/>
  <c r="Q44" i="17"/>
  <c r="R43" i="17"/>
  <c r="Q43" i="17"/>
  <c r="N192" i="17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6" i="17"/>
  <c r="M186" i="17"/>
  <c r="L186" i="17"/>
  <c r="N183" i="17"/>
  <c r="M183" i="17"/>
  <c r="L183" i="17"/>
  <c r="N182" i="17"/>
  <c r="M182" i="17"/>
  <c r="L182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9" i="17"/>
  <c r="M159" i="17"/>
  <c r="L159" i="17"/>
  <c r="N156" i="17"/>
  <c r="M156" i="17"/>
  <c r="L156" i="17"/>
  <c r="N155" i="17"/>
  <c r="M155" i="17"/>
  <c r="L155" i="17"/>
  <c r="N154" i="17"/>
  <c r="M154" i="17"/>
  <c r="L154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32" i="17"/>
  <c r="N129" i="17"/>
  <c r="M129" i="17"/>
  <c r="L129" i="17"/>
  <c r="N128" i="17"/>
  <c r="M128" i="17"/>
  <c r="L128" i="17"/>
  <c r="N127" i="17"/>
  <c r="M127" i="17"/>
  <c r="L127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5" i="17"/>
  <c r="M105" i="17"/>
  <c r="L105" i="17"/>
  <c r="N102" i="17"/>
  <c r="M102" i="17"/>
  <c r="L102" i="17"/>
  <c r="N101" i="17"/>
  <c r="M101" i="17"/>
  <c r="L101" i="17"/>
  <c r="N100" i="17"/>
  <c r="M100" i="17"/>
  <c r="L100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1" i="17"/>
  <c r="N80" i="17"/>
  <c r="M80" i="17"/>
  <c r="L80" i="17"/>
  <c r="N79" i="17"/>
  <c r="M79" i="17"/>
  <c r="L79" i="17"/>
  <c r="N78" i="17"/>
  <c r="M78" i="17"/>
  <c r="L78" i="17"/>
  <c r="N75" i="17"/>
  <c r="M75" i="17"/>
  <c r="L75" i="17"/>
  <c r="N74" i="17"/>
  <c r="M74" i="17"/>
  <c r="L74" i="17"/>
  <c r="N73" i="17"/>
  <c r="M73" i="17"/>
  <c r="L73" i="17"/>
  <c r="N71" i="17"/>
  <c r="M71" i="17"/>
  <c r="L71" i="17"/>
  <c r="N70" i="17"/>
  <c r="M70" i="17"/>
  <c r="L70" i="17"/>
  <c r="N67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51" i="17"/>
  <c r="M51" i="17"/>
  <c r="L51" i="17"/>
  <c r="N48" i="17"/>
  <c r="M48" i="17"/>
  <c r="L48" i="17"/>
  <c r="N47" i="17"/>
  <c r="M47" i="17"/>
  <c r="L47" i="17"/>
  <c r="N46" i="17"/>
  <c r="M46" i="17"/>
  <c r="L46" i="17"/>
  <c r="N44" i="17"/>
  <c r="M44" i="17"/>
  <c r="L44" i="17"/>
  <c r="N43" i="17"/>
  <c r="M43" i="17"/>
  <c r="L43" i="17"/>
  <c r="N41" i="17"/>
  <c r="N40" i="17"/>
  <c r="N29" i="17"/>
  <c r="N28" i="17"/>
  <c r="N27" i="17"/>
  <c r="N25" i="17"/>
  <c r="N20" i="17"/>
  <c r="P93" i="9"/>
  <c r="P94" i="9"/>
  <c r="S36" i="6" l="1"/>
  <c r="S19" i="6"/>
  <c r="S15" i="6"/>
  <c r="S42" i="6"/>
  <c r="S21" i="6"/>
  <c r="T21" i="6" s="1"/>
  <c r="S23" i="6"/>
  <c r="S16" i="6"/>
  <c r="V16" i="6" s="1"/>
  <c r="S20" i="6"/>
  <c r="T20" i="6" s="1"/>
  <c r="M81" i="10"/>
  <c r="S163" i="9"/>
  <c r="T19" i="6"/>
  <c r="V19" i="6"/>
  <c r="T15" i="6"/>
  <c r="V15" i="6"/>
  <c r="V21" i="6" l="1"/>
  <c r="V20" i="6"/>
  <c r="V23" i="6"/>
  <c r="T23" i="6"/>
  <c r="I86" i="7"/>
  <c r="I71" i="7"/>
  <c r="I66" i="7"/>
  <c r="M66" i="7" s="1"/>
  <c r="I48" i="7"/>
  <c r="I41" i="7"/>
  <c r="M41" i="7" s="1"/>
  <c r="I33" i="7"/>
  <c r="M33" i="7" s="1"/>
  <c r="I32" i="7" l="1"/>
  <c r="I43" i="10"/>
  <c r="M43" i="10" s="1"/>
  <c r="I40" i="10"/>
  <c r="E43" i="10"/>
  <c r="E14" i="10"/>
  <c r="H71" i="7" l="1"/>
  <c r="L71" i="7" s="1"/>
  <c r="H66" i="7"/>
  <c r="L66" i="7" s="1"/>
  <c r="H48" i="7"/>
  <c r="L48" i="7" s="1"/>
  <c r="H41" i="7"/>
  <c r="L41" i="7" s="1"/>
  <c r="H33" i="7"/>
  <c r="D33" i="7"/>
  <c r="E33" i="7"/>
  <c r="F33" i="7"/>
  <c r="D41" i="7"/>
  <c r="E41" i="7"/>
  <c r="F41" i="7"/>
  <c r="D48" i="7"/>
  <c r="M48" i="7" s="1"/>
  <c r="E48" i="7"/>
  <c r="F48" i="7"/>
  <c r="D66" i="7"/>
  <c r="E66" i="7"/>
  <c r="F66" i="7"/>
  <c r="D71" i="7"/>
  <c r="M71" i="7" s="1"/>
  <c r="E71" i="7"/>
  <c r="F71" i="7"/>
  <c r="D83" i="7"/>
  <c r="E83" i="7"/>
  <c r="F83" i="7"/>
  <c r="D32" i="7" l="1"/>
  <c r="F32" i="7"/>
  <c r="E32" i="7"/>
  <c r="H32" i="7"/>
  <c r="D32" i="9"/>
  <c r="C95" i="6" l="1"/>
  <c r="C43" i="10" l="1"/>
  <c r="J1" i="6" l="1"/>
  <c r="L122" i="9" l="1"/>
  <c r="L116" i="9"/>
  <c r="C25" i="10" l="1"/>
  <c r="L25" i="10" s="1"/>
  <c r="C33" i="7" l="1"/>
  <c r="L33" i="7" s="1"/>
  <c r="C41" i="7"/>
  <c r="C48" i="7"/>
  <c r="C66" i="7"/>
  <c r="C71" i="7"/>
  <c r="C32" i="7" l="1"/>
  <c r="C83" i="6"/>
  <c r="C95" i="5"/>
  <c r="H93" i="5" l="1"/>
  <c r="L93" i="5" s="1"/>
  <c r="D67" i="3" l="1"/>
  <c r="E67" i="3"/>
  <c r="F67" i="3"/>
  <c r="C67" i="3"/>
  <c r="I135" i="9" l="1"/>
  <c r="M135" i="9" s="1"/>
  <c r="E135" i="9"/>
  <c r="E33" i="6" l="1"/>
  <c r="I99" i="5"/>
  <c r="M99" i="5" s="1"/>
  <c r="E99" i="5"/>
  <c r="I95" i="3"/>
  <c r="H95" i="3"/>
  <c r="N98" i="3"/>
  <c r="M98" i="3"/>
  <c r="L98" i="3"/>
  <c r="I67" i="3"/>
  <c r="H67" i="3"/>
  <c r="E34" i="3"/>
  <c r="N29" i="3"/>
  <c r="I83" i="2"/>
  <c r="D93" i="5" l="1"/>
  <c r="E93" i="5"/>
  <c r="H99" i="5"/>
  <c r="L99" i="5" s="1"/>
  <c r="D99" i="5"/>
  <c r="H135" i="9"/>
  <c r="L135" i="9" s="1"/>
  <c r="D135" i="9"/>
  <c r="T82" i="5" l="1"/>
  <c r="I107" i="15"/>
  <c r="D107" i="15"/>
  <c r="C86" i="7"/>
  <c r="C107" i="15" s="1"/>
  <c r="D86" i="7"/>
  <c r="D181" i="17" s="1"/>
  <c r="L181" i="17" s="1"/>
  <c r="E86" i="7"/>
  <c r="E181" i="17" s="1"/>
  <c r="M181" i="17" s="1"/>
  <c r="F86" i="7"/>
  <c r="F181" i="17" s="1"/>
  <c r="N181" i="17" s="1"/>
  <c r="H86" i="7"/>
  <c r="J86" i="7"/>
  <c r="L88" i="7"/>
  <c r="M88" i="7"/>
  <c r="N88" i="7"/>
  <c r="T88" i="7"/>
  <c r="T85" i="7"/>
  <c r="J83" i="7"/>
  <c r="I83" i="7"/>
  <c r="H83" i="7"/>
  <c r="F180" i="17"/>
  <c r="N180" i="17" s="1"/>
  <c r="E180" i="17"/>
  <c r="D180" i="17"/>
  <c r="C83" i="7"/>
  <c r="C180" i="17" s="1"/>
  <c r="T94" i="7"/>
  <c r="T93" i="7"/>
  <c r="J93" i="7"/>
  <c r="J34" i="16" s="1"/>
  <c r="I93" i="7"/>
  <c r="I34" i="16" s="1"/>
  <c r="H93" i="7"/>
  <c r="H34" i="16" s="1"/>
  <c r="F93" i="7"/>
  <c r="F186" i="17" s="1"/>
  <c r="E93" i="7"/>
  <c r="E34" i="16" s="1"/>
  <c r="M34" i="16" s="1"/>
  <c r="D93" i="7"/>
  <c r="D34" i="16" s="1"/>
  <c r="L34" i="16" s="1"/>
  <c r="C93" i="7"/>
  <c r="C34" i="16" s="1"/>
  <c r="V90" i="7"/>
  <c r="V90" i="6"/>
  <c r="F105" i="15"/>
  <c r="J106" i="15"/>
  <c r="H106" i="15"/>
  <c r="C94" i="15"/>
  <c r="J154" i="17"/>
  <c r="E154" i="17"/>
  <c r="C154" i="17"/>
  <c r="C153" i="17"/>
  <c r="J86" i="6"/>
  <c r="I86" i="6"/>
  <c r="I154" i="17" s="1"/>
  <c r="H86" i="6"/>
  <c r="H154" i="17" s="1"/>
  <c r="F86" i="6"/>
  <c r="F106" i="15" s="1"/>
  <c r="E86" i="6"/>
  <c r="E106" i="15" s="1"/>
  <c r="D86" i="6"/>
  <c r="D154" i="17" s="1"/>
  <c r="C86" i="6"/>
  <c r="C106" i="15" s="1"/>
  <c r="J83" i="6"/>
  <c r="I83" i="6"/>
  <c r="H83" i="6"/>
  <c r="F83" i="6"/>
  <c r="F153" i="17" s="1"/>
  <c r="N153" i="17" s="1"/>
  <c r="E83" i="6"/>
  <c r="E153" i="17" s="1"/>
  <c r="D83" i="6"/>
  <c r="D153" i="17" s="1"/>
  <c r="T82" i="6"/>
  <c r="V90" i="5"/>
  <c r="C93" i="15"/>
  <c r="T88" i="5"/>
  <c r="N88" i="5"/>
  <c r="M88" i="5"/>
  <c r="L88" i="5"/>
  <c r="T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J83" i="5"/>
  <c r="J126" i="17" s="1"/>
  <c r="I83" i="5"/>
  <c r="H83" i="5"/>
  <c r="F83" i="5"/>
  <c r="F126" i="17" s="1"/>
  <c r="N126" i="17" s="1"/>
  <c r="E83" i="5"/>
  <c r="E93" i="15" s="1"/>
  <c r="D83" i="5"/>
  <c r="D93" i="15" s="1"/>
  <c r="C83" i="5"/>
  <c r="C126" i="17" s="1"/>
  <c r="D31" i="16"/>
  <c r="L31" i="16" s="1"/>
  <c r="T94" i="4"/>
  <c r="J93" i="4"/>
  <c r="I93" i="4"/>
  <c r="H93" i="4"/>
  <c r="H105" i="17" s="1"/>
  <c r="F93" i="4"/>
  <c r="E93" i="4"/>
  <c r="E31" i="16" s="1"/>
  <c r="M31" i="16" s="1"/>
  <c r="D93" i="4"/>
  <c r="D105" i="17" s="1"/>
  <c r="C93" i="4"/>
  <c r="T93" i="4" s="1"/>
  <c r="J86" i="4"/>
  <c r="I86" i="4"/>
  <c r="H86" i="4"/>
  <c r="F86" i="4"/>
  <c r="F100" i="17" s="1"/>
  <c r="D86" i="4"/>
  <c r="D104" i="15" s="1"/>
  <c r="C86" i="4"/>
  <c r="C104" i="15" s="1"/>
  <c r="J83" i="4"/>
  <c r="I83" i="4"/>
  <c r="H83" i="4"/>
  <c r="L83" i="4" s="1"/>
  <c r="F83" i="4"/>
  <c r="F99" i="17" s="1"/>
  <c r="N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F94" i="15" l="1"/>
  <c r="H153" i="17"/>
  <c r="L153" i="17" s="1"/>
  <c r="L83" i="6"/>
  <c r="I153" i="17"/>
  <c r="M153" i="17" s="1"/>
  <c r="M83" i="6"/>
  <c r="H93" i="15"/>
  <c r="L83" i="5"/>
  <c r="I93" i="15"/>
  <c r="M83" i="5"/>
  <c r="I92" i="15"/>
  <c r="M83" i="4"/>
  <c r="L45" i="17"/>
  <c r="Q45" i="17"/>
  <c r="R45" i="17"/>
  <c r="N45" i="17"/>
  <c r="J95" i="15"/>
  <c r="N83" i="7"/>
  <c r="I95" i="15"/>
  <c r="M83" i="7"/>
  <c r="H180" i="17"/>
  <c r="L180" i="17" s="1"/>
  <c r="L83" i="7"/>
  <c r="J180" i="17"/>
  <c r="J92" i="15"/>
  <c r="I106" i="15"/>
  <c r="H186" i="17"/>
  <c r="H104" i="15"/>
  <c r="J94" i="15"/>
  <c r="C99" i="17"/>
  <c r="F154" i="17"/>
  <c r="F90" i="15"/>
  <c r="D100" i="17"/>
  <c r="J153" i="17"/>
  <c r="D106" i="15"/>
  <c r="J99" i="17"/>
  <c r="I105" i="17"/>
  <c r="C95" i="15"/>
  <c r="J45" i="17"/>
  <c r="F46" i="17"/>
  <c r="C45" i="17"/>
  <c r="P45" i="17" s="1"/>
  <c r="H46" i="17"/>
  <c r="F29" i="16"/>
  <c r="N29" i="16" s="1"/>
  <c r="E102" i="15"/>
  <c r="C46" i="17"/>
  <c r="D46" i="17"/>
  <c r="J46" i="17"/>
  <c r="J102" i="15"/>
  <c r="J90" i="15"/>
  <c r="C51" i="17"/>
  <c r="J29" i="16"/>
  <c r="H181" i="17"/>
  <c r="E107" i="15"/>
  <c r="J107" i="15"/>
  <c r="F95" i="15"/>
  <c r="I181" i="17"/>
  <c r="F107" i="15"/>
  <c r="C181" i="17"/>
  <c r="J181" i="17"/>
  <c r="H107" i="15"/>
  <c r="D186" i="17"/>
  <c r="I186" i="17"/>
  <c r="F34" i="16"/>
  <c r="N34" i="16" s="1"/>
  <c r="E186" i="17"/>
  <c r="J186" i="17"/>
  <c r="C186" i="17"/>
  <c r="I30" i="16"/>
  <c r="F30" i="16"/>
  <c r="N30" i="16" s="1"/>
  <c r="J78" i="17"/>
  <c r="C100" i="17"/>
  <c r="H100" i="17"/>
  <c r="C31" i="16"/>
  <c r="H92" i="15"/>
  <c r="F104" i="15"/>
  <c r="I100" i="17"/>
  <c r="I31" i="16"/>
  <c r="F92" i="15"/>
  <c r="J104" i="15"/>
  <c r="H99" i="17"/>
  <c r="J100" i="17"/>
  <c r="H31" i="16"/>
  <c r="I104" i="15"/>
  <c r="E105" i="17"/>
  <c r="J105" i="17"/>
  <c r="F105" i="17"/>
  <c r="F31" i="16"/>
  <c r="N31" i="16" s="1"/>
  <c r="C105" i="17"/>
  <c r="J31" i="16"/>
  <c r="E95" i="15"/>
  <c r="D90" i="15"/>
  <c r="I180" i="17"/>
  <c r="M180" i="17" s="1"/>
  <c r="I94" i="15"/>
  <c r="E94" i="15"/>
  <c r="I99" i="17"/>
  <c r="C73" i="17"/>
  <c r="H73" i="17"/>
  <c r="H30" i="16"/>
  <c r="D73" i="17"/>
  <c r="I73" i="17"/>
  <c r="J103" i="15"/>
  <c r="H103" i="15"/>
  <c r="J30" i="16"/>
  <c r="E90" i="15"/>
  <c r="H95" i="15"/>
  <c r="D95" i="15"/>
  <c r="H94" i="15"/>
  <c r="D94" i="15"/>
  <c r="H126" i="17"/>
  <c r="H90" i="15"/>
  <c r="C127" i="17"/>
  <c r="D126" i="17"/>
  <c r="I105" i="15"/>
  <c r="D105" i="15"/>
  <c r="H127" i="17"/>
  <c r="F93" i="15"/>
  <c r="I126" i="17"/>
  <c r="J105" i="15"/>
  <c r="E105" i="15"/>
  <c r="T86" i="6"/>
  <c r="T87" i="6"/>
  <c r="T88" i="6"/>
  <c r="T85" i="6"/>
  <c r="J93" i="15"/>
  <c r="E126" i="17"/>
  <c r="C105" i="15"/>
  <c r="D83" i="4"/>
  <c r="H51" i="17"/>
  <c r="I51" i="17"/>
  <c r="J51" i="17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L13" i="6" s="1"/>
  <c r="J13" i="6"/>
  <c r="E13" i="5"/>
  <c r="F13" i="5"/>
  <c r="H13" i="5"/>
  <c r="J13" i="5"/>
  <c r="C13" i="5"/>
  <c r="D13" i="4"/>
  <c r="E13" i="4"/>
  <c r="F13" i="4"/>
  <c r="H13" i="4"/>
  <c r="L13" i="4" s="1"/>
  <c r="J13" i="4"/>
  <c r="K13" i="4"/>
  <c r="C13" i="4"/>
  <c r="E13" i="3"/>
  <c r="F13" i="3"/>
  <c r="H13" i="3"/>
  <c r="J13" i="3"/>
  <c r="F13" i="2"/>
  <c r="H13" i="2"/>
  <c r="J13" i="2"/>
  <c r="C13" i="2"/>
  <c r="M126" i="17" l="1"/>
  <c r="L126" i="17"/>
  <c r="S45" i="17"/>
  <c r="D92" i="15"/>
  <c r="D99" i="17"/>
  <c r="L99" i="17" s="1"/>
  <c r="E73" i="17"/>
  <c r="E103" i="15"/>
  <c r="C30" i="16"/>
  <c r="C78" i="17"/>
  <c r="M86" i="2"/>
  <c r="I102" i="15"/>
  <c r="I46" i="17"/>
  <c r="M83" i="2"/>
  <c r="I45" i="17"/>
  <c r="M45" i="17" s="1"/>
  <c r="I90" i="15"/>
  <c r="E83" i="4"/>
  <c r="E86" i="4"/>
  <c r="D29" i="16"/>
  <c r="L29" i="16" s="1"/>
  <c r="D51" i="17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H72" i="17"/>
  <c r="F72" i="17"/>
  <c r="N72" i="17" s="1"/>
  <c r="E72" i="17"/>
  <c r="D72" i="17"/>
  <c r="C72" i="17"/>
  <c r="J175" i="17"/>
  <c r="H175" i="17"/>
  <c r="F175" i="17"/>
  <c r="N175" i="17" s="1"/>
  <c r="J148" i="17"/>
  <c r="H148" i="17"/>
  <c r="F148" i="17"/>
  <c r="N148" i="17" s="1"/>
  <c r="E148" i="17"/>
  <c r="J121" i="17"/>
  <c r="H121" i="17"/>
  <c r="F121" i="17"/>
  <c r="N121" i="17" s="1"/>
  <c r="E121" i="17"/>
  <c r="C121" i="17"/>
  <c r="J94" i="17"/>
  <c r="H94" i="17"/>
  <c r="F94" i="17"/>
  <c r="N94" i="17" s="1"/>
  <c r="E94" i="17"/>
  <c r="D94" i="17"/>
  <c r="C94" i="17"/>
  <c r="J67" i="17"/>
  <c r="H67" i="17"/>
  <c r="F67" i="17"/>
  <c r="E67" i="17"/>
  <c r="J40" i="17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N194" i="17" s="1"/>
  <c r="E194" i="17"/>
  <c r="D194" i="17"/>
  <c r="L194" i="17" s="1"/>
  <c r="C194" i="17"/>
  <c r="J167" i="17"/>
  <c r="I167" i="17"/>
  <c r="H167" i="17"/>
  <c r="F167" i="17"/>
  <c r="N167" i="17" s="1"/>
  <c r="E167" i="17"/>
  <c r="D167" i="17"/>
  <c r="C167" i="17"/>
  <c r="J140" i="17"/>
  <c r="I140" i="17"/>
  <c r="H140" i="17"/>
  <c r="F140" i="17"/>
  <c r="N140" i="17" s="1"/>
  <c r="E140" i="17"/>
  <c r="D140" i="17"/>
  <c r="J113" i="17"/>
  <c r="I113" i="17"/>
  <c r="H113" i="17"/>
  <c r="F113" i="17"/>
  <c r="N113" i="17" s="1"/>
  <c r="C113" i="17"/>
  <c r="J86" i="17"/>
  <c r="I86" i="17"/>
  <c r="H86" i="17"/>
  <c r="F86" i="17"/>
  <c r="N86" i="17" s="1"/>
  <c r="J59" i="17"/>
  <c r="I59" i="17"/>
  <c r="H59" i="17"/>
  <c r="F59" i="17"/>
  <c r="C59" i="17"/>
  <c r="J32" i="17"/>
  <c r="I32" i="17"/>
  <c r="H32" i="17"/>
  <c r="F32" i="17"/>
  <c r="N32" i="17" s="1"/>
  <c r="E32" i="17"/>
  <c r="C135" i="17"/>
  <c r="C159" i="17"/>
  <c r="J132" i="17"/>
  <c r="H132" i="17"/>
  <c r="F132" i="17"/>
  <c r="E132" i="17"/>
  <c r="D132" i="17"/>
  <c r="L132" i="17" s="1"/>
  <c r="G24" i="17"/>
  <c r="C68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N130" i="16" s="1"/>
  <c r="F129" i="16"/>
  <c r="N129" i="16" s="1"/>
  <c r="F128" i="16"/>
  <c r="N128" i="16" s="1"/>
  <c r="F127" i="16"/>
  <c r="N127" i="16" s="1"/>
  <c r="F126" i="16"/>
  <c r="N126" i="16" s="1"/>
  <c r="F125" i="16"/>
  <c r="N125" i="16" s="1"/>
  <c r="F124" i="16"/>
  <c r="N124" i="16" s="1"/>
  <c r="E130" i="16"/>
  <c r="D130" i="16"/>
  <c r="L130" i="16" s="1"/>
  <c r="E129" i="16"/>
  <c r="M129" i="16" s="1"/>
  <c r="D129" i="16"/>
  <c r="E128" i="16"/>
  <c r="M128" i="16" s="1"/>
  <c r="D128" i="16"/>
  <c r="E124" i="16"/>
  <c r="M124" i="16" s="1"/>
  <c r="A132" i="16"/>
  <c r="C130" i="16"/>
  <c r="C129" i="16"/>
  <c r="C127" i="16"/>
  <c r="C125" i="16"/>
  <c r="A120" i="16"/>
  <c r="B99" i="16"/>
  <c r="A108" i="16"/>
  <c r="A96" i="16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L32" i="16" s="1"/>
  <c r="E32" i="16"/>
  <c r="F32" i="16"/>
  <c r="N32" i="16" s="1"/>
  <c r="C33" i="16"/>
  <c r="B27" i="16"/>
  <c r="J142" i="16"/>
  <c r="I142" i="16"/>
  <c r="H142" i="16"/>
  <c r="F142" i="16"/>
  <c r="N142" i="16" s="1"/>
  <c r="E142" i="16"/>
  <c r="M142" i="16" s="1"/>
  <c r="J141" i="16"/>
  <c r="I141" i="16"/>
  <c r="H141" i="16"/>
  <c r="F141" i="16"/>
  <c r="N141" i="16" s="1"/>
  <c r="E141" i="16"/>
  <c r="D141" i="16"/>
  <c r="J140" i="16"/>
  <c r="I140" i="16"/>
  <c r="H140" i="16"/>
  <c r="F140" i="16"/>
  <c r="N140" i="16" s="1"/>
  <c r="J139" i="16"/>
  <c r="I139" i="16"/>
  <c r="H139" i="16"/>
  <c r="F139" i="16"/>
  <c r="N139" i="16" s="1"/>
  <c r="E139" i="16"/>
  <c r="D139" i="16"/>
  <c r="L139" i="16" s="1"/>
  <c r="J138" i="16"/>
  <c r="I138" i="16"/>
  <c r="H138" i="16"/>
  <c r="F138" i="16"/>
  <c r="N138" i="16" s="1"/>
  <c r="J137" i="16"/>
  <c r="I137" i="16"/>
  <c r="H137" i="16"/>
  <c r="F137" i="16"/>
  <c r="N137" i="16" s="1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H40" i="10"/>
  <c r="L40" i="10" s="1"/>
  <c r="D40" i="10"/>
  <c r="M40" i="10" s="1"/>
  <c r="E40" i="10"/>
  <c r="F40" i="10"/>
  <c r="C40" i="10"/>
  <c r="J14" i="10"/>
  <c r="I14" i="10"/>
  <c r="H14" i="10"/>
  <c r="F14" i="10"/>
  <c r="C14" i="10"/>
  <c r="M167" i="17" l="1"/>
  <c r="M140" i="17"/>
  <c r="L167" i="17"/>
  <c r="L129" i="16"/>
  <c r="L94" i="17"/>
  <c r="L72" i="17"/>
  <c r="L140" i="17"/>
  <c r="P20" i="17"/>
  <c r="M20" i="17"/>
  <c r="Q20" i="17"/>
  <c r="N59" i="17"/>
  <c r="C13" i="10"/>
  <c r="L14" i="10"/>
  <c r="M32" i="17"/>
  <c r="R32" i="17"/>
  <c r="M139" i="16"/>
  <c r="L141" i="16"/>
  <c r="M141" i="16"/>
  <c r="L128" i="16"/>
  <c r="E104" i="15"/>
  <c r="E100" i="17"/>
  <c r="E92" i="15"/>
  <c r="E99" i="17"/>
  <c r="M99" i="17" s="1"/>
  <c r="D30" i="16"/>
  <c r="L30" i="16" s="1"/>
  <c r="D78" i="17"/>
  <c r="E51" i="17"/>
  <c r="E29" i="16"/>
  <c r="M29" i="16" s="1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F132" i="16"/>
  <c r="N132" i="16" s="1"/>
  <c r="H132" i="16"/>
  <c r="J132" i="16"/>
  <c r="H144" i="16"/>
  <c r="H21" i="16" s="1"/>
  <c r="I144" i="16"/>
  <c r="I21" i="16" s="1"/>
  <c r="J144" i="16"/>
  <c r="J21" i="16" s="1"/>
  <c r="F144" i="16"/>
  <c r="F48" i="4"/>
  <c r="C48" i="4"/>
  <c r="J48" i="4"/>
  <c r="H48" i="4"/>
  <c r="L48" i="4" s="1"/>
  <c r="F21" i="16" l="1"/>
  <c r="N21" i="16" s="1"/>
  <c r="N144" i="16"/>
  <c r="E30" i="16"/>
  <c r="M30" i="16" s="1"/>
  <c r="E78" i="17"/>
  <c r="T94" i="3"/>
  <c r="T93" i="2"/>
  <c r="B186" i="17"/>
  <c r="B84" i="17"/>
  <c r="B111" i="17" s="1"/>
  <c r="B138" i="17" s="1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E117" i="16" s="1"/>
  <c r="F99" i="6"/>
  <c r="H99" i="6"/>
  <c r="I99" i="6"/>
  <c r="M99" i="6" s="1"/>
  <c r="J99" i="6"/>
  <c r="D29" i="6"/>
  <c r="E29" i="6"/>
  <c r="F29" i="6"/>
  <c r="R29" i="6" s="1"/>
  <c r="H29" i="6"/>
  <c r="L29" i="6" s="1"/>
  <c r="J29" i="6"/>
  <c r="C29" i="6"/>
  <c r="D33" i="6"/>
  <c r="F33" i="6"/>
  <c r="R33" i="6" s="1"/>
  <c r="H33" i="6"/>
  <c r="L33" i="6" s="1"/>
  <c r="J33" i="6"/>
  <c r="C33" i="6"/>
  <c r="D41" i="6"/>
  <c r="P41" i="6" s="1"/>
  <c r="E41" i="6"/>
  <c r="F41" i="6"/>
  <c r="R41" i="6" s="1"/>
  <c r="H41" i="6"/>
  <c r="L41" i="6" s="1"/>
  <c r="I41" i="6"/>
  <c r="M41" i="6" s="1"/>
  <c r="J41" i="6"/>
  <c r="C41" i="6"/>
  <c r="D48" i="6"/>
  <c r="E48" i="6"/>
  <c r="F48" i="6"/>
  <c r="H48" i="6"/>
  <c r="L48" i="6" s="1"/>
  <c r="J48" i="6"/>
  <c r="C48" i="6"/>
  <c r="D66" i="6"/>
  <c r="E66" i="6"/>
  <c r="F66" i="6"/>
  <c r="J66" i="6"/>
  <c r="C66" i="6"/>
  <c r="E71" i="6"/>
  <c r="F71" i="6"/>
  <c r="H71" i="6"/>
  <c r="L71" i="6" s="1"/>
  <c r="J71" i="6"/>
  <c r="C71" i="6"/>
  <c r="D33" i="5"/>
  <c r="E33" i="5"/>
  <c r="F33" i="5"/>
  <c r="H33" i="5"/>
  <c r="L33" i="5" s="1"/>
  <c r="J33" i="5"/>
  <c r="C33" i="5"/>
  <c r="E71" i="5"/>
  <c r="F71" i="5"/>
  <c r="H71" i="5"/>
  <c r="L71" i="5" s="1"/>
  <c r="J71" i="5"/>
  <c r="C71" i="5"/>
  <c r="D66" i="5"/>
  <c r="E66" i="5"/>
  <c r="F66" i="5"/>
  <c r="H66" i="5"/>
  <c r="L66" i="5" s="1"/>
  <c r="J66" i="5"/>
  <c r="C66" i="5"/>
  <c r="D48" i="5"/>
  <c r="E48" i="5"/>
  <c r="F48" i="5"/>
  <c r="H48" i="5"/>
  <c r="L48" i="5" s="1"/>
  <c r="J48" i="5"/>
  <c r="C48" i="5"/>
  <c r="D41" i="5"/>
  <c r="E41" i="5"/>
  <c r="F41" i="5"/>
  <c r="H41" i="5"/>
  <c r="L41" i="5" s="1"/>
  <c r="J41" i="5"/>
  <c r="C41" i="5"/>
  <c r="D29" i="5"/>
  <c r="D122" i="17" s="1"/>
  <c r="E29" i="5"/>
  <c r="E224" i="9" s="1"/>
  <c r="F29" i="5"/>
  <c r="H29" i="5"/>
  <c r="L29" i="5" s="1"/>
  <c r="J29" i="5"/>
  <c r="C29" i="5"/>
  <c r="C45" i="15" s="1"/>
  <c r="F99" i="4"/>
  <c r="H99" i="4"/>
  <c r="I99" i="4"/>
  <c r="M99" i="4" s="1"/>
  <c r="J99" i="4"/>
  <c r="F71" i="4"/>
  <c r="H71" i="4"/>
  <c r="L71" i="4" s="1"/>
  <c r="J71" i="4"/>
  <c r="C71" i="4"/>
  <c r="D41" i="4"/>
  <c r="E41" i="4"/>
  <c r="F41" i="4"/>
  <c r="H41" i="4"/>
  <c r="L41" i="4" s="1"/>
  <c r="J41" i="4"/>
  <c r="C41" i="4"/>
  <c r="J33" i="4"/>
  <c r="H33" i="4"/>
  <c r="L33" i="4" s="1"/>
  <c r="E33" i="4"/>
  <c r="F33" i="4"/>
  <c r="C33" i="4"/>
  <c r="J29" i="4"/>
  <c r="J44" i="15" s="1"/>
  <c r="H29" i="4"/>
  <c r="L29" i="4" s="1"/>
  <c r="F29" i="4"/>
  <c r="C29" i="4"/>
  <c r="C44" i="15" s="1"/>
  <c r="J99" i="3"/>
  <c r="I99" i="3"/>
  <c r="H99" i="3"/>
  <c r="H102" i="3" s="1"/>
  <c r="F99" i="3"/>
  <c r="J95" i="3"/>
  <c r="J102" i="3" s="1"/>
  <c r="F95" i="3"/>
  <c r="J29" i="2"/>
  <c r="J41" i="17" s="1"/>
  <c r="H29" i="2"/>
  <c r="D29" i="2"/>
  <c r="D41" i="17" s="1"/>
  <c r="E29" i="2"/>
  <c r="E42" i="15" s="1"/>
  <c r="F29" i="2"/>
  <c r="F221" i="9" s="1"/>
  <c r="C29" i="2"/>
  <c r="C221" i="9" s="1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6" i="9"/>
  <c r="C215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Q48" i="6" l="1"/>
  <c r="H44" i="15"/>
  <c r="C42" i="15"/>
  <c r="P48" i="6"/>
  <c r="P29" i="6"/>
  <c r="F225" i="9"/>
  <c r="E149" i="17"/>
  <c r="Q29" i="6"/>
  <c r="H225" i="9"/>
  <c r="P33" i="6"/>
  <c r="Q33" i="6"/>
  <c r="Q41" i="6"/>
  <c r="S41" i="6" s="1"/>
  <c r="R48" i="6"/>
  <c r="D224" i="9"/>
  <c r="L41" i="17"/>
  <c r="D42" i="15"/>
  <c r="D221" i="9"/>
  <c r="J32" i="5"/>
  <c r="J123" i="17" s="1"/>
  <c r="F32" i="6"/>
  <c r="F89" i="6" s="1"/>
  <c r="F32" i="5"/>
  <c r="F123" i="17" s="1"/>
  <c r="N123" i="17" s="1"/>
  <c r="J149" i="17"/>
  <c r="F102" i="3"/>
  <c r="C32" i="6"/>
  <c r="C150" i="17" s="1"/>
  <c r="F149" i="17"/>
  <c r="N149" i="17" s="1"/>
  <c r="J32" i="6"/>
  <c r="J150" i="17" s="1"/>
  <c r="C224" i="9"/>
  <c r="J42" i="15"/>
  <c r="J221" i="9"/>
  <c r="J223" i="9"/>
  <c r="E32" i="6"/>
  <c r="E45" i="15"/>
  <c r="I102" i="3"/>
  <c r="E32" i="5"/>
  <c r="E123" i="17" s="1"/>
  <c r="E40" i="17"/>
  <c r="C41" i="17"/>
  <c r="P41" i="17" s="1"/>
  <c r="C32" i="5"/>
  <c r="C123" i="17" s="1"/>
  <c r="D45" i="15"/>
  <c r="H32" i="5"/>
  <c r="C189" i="17"/>
  <c r="C70" i="16"/>
  <c r="J118" i="16"/>
  <c r="J193" i="17"/>
  <c r="E193" i="17"/>
  <c r="D70" i="16"/>
  <c r="D189" i="17"/>
  <c r="H193" i="17"/>
  <c r="F102" i="7"/>
  <c r="F70" i="16"/>
  <c r="N70" i="16" s="1"/>
  <c r="F189" i="17"/>
  <c r="N189" i="17" s="1"/>
  <c r="F118" i="16"/>
  <c r="N118" i="16" s="1"/>
  <c r="F193" i="17"/>
  <c r="N193" i="17" s="1"/>
  <c r="J102" i="7"/>
  <c r="J189" i="17"/>
  <c r="J70" i="16"/>
  <c r="E102" i="7"/>
  <c r="E189" i="17"/>
  <c r="E70" i="16"/>
  <c r="M117" i="16"/>
  <c r="I166" i="17"/>
  <c r="C225" i="9"/>
  <c r="C149" i="17"/>
  <c r="J117" i="16"/>
  <c r="J166" i="17"/>
  <c r="E166" i="17"/>
  <c r="M166" i="17" s="1"/>
  <c r="J46" i="15"/>
  <c r="D225" i="9"/>
  <c r="D149" i="17"/>
  <c r="H166" i="17"/>
  <c r="L117" i="16"/>
  <c r="J157" i="17"/>
  <c r="D166" i="17"/>
  <c r="L166" i="17" s="1"/>
  <c r="E225" i="9"/>
  <c r="J225" i="9"/>
  <c r="E46" i="15"/>
  <c r="H46" i="15"/>
  <c r="H149" i="17"/>
  <c r="F166" i="17"/>
  <c r="N166" i="17" s="1"/>
  <c r="F117" i="16"/>
  <c r="N117" i="16" s="1"/>
  <c r="F45" i="15"/>
  <c r="F122" i="17"/>
  <c r="N122" i="17" s="1"/>
  <c r="J224" i="9"/>
  <c r="J89" i="5"/>
  <c r="J122" i="17"/>
  <c r="E122" i="17"/>
  <c r="H45" i="15"/>
  <c r="H122" i="17"/>
  <c r="L122" i="17" s="1"/>
  <c r="H224" i="9"/>
  <c r="C122" i="17"/>
  <c r="C223" i="9"/>
  <c r="J95" i="17"/>
  <c r="C95" i="17"/>
  <c r="F44" i="15"/>
  <c r="F95" i="17"/>
  <c r="N95" i="17" s="1"/>
  <c r="J115" i="16"/>
  <c r="J112" i="17"/>
  <c r="H223" i="9"/>
  <c r="H95" i="17"/>
  <c r="F115" i="16"/>
  <c r="N115" i="16" s="1"/>
  <c r="F112" i="17"/>
  <c r="N112" i="17" s="1"/>
  <c r="I112" i="17"/>
  <c r="F223" i="9"/>
  <c r="H112" i="17"/>
  <c r="T93" i="3"/>
  <c r="J145" i="15"/>
  <c r="J36" i="11" s="1"/>
  <c r="F114" i="16"/>
  <c r="N114" i="16" s="1"/>
  <c r="F85" i="17"/>
  <c r="N85" i="17" s="1"/>
  <c r="E66" i="16"/>
  <c r="E81" i="17"/>
  <c r="J66" i="16"/>
  <c r="J81" i="17"/>
  <c r="J85" i="17"/>
  <c r="J114" i="16"/>
  <c r="D81" i="17"/>
  <c r="L81" i="17" s="1"/>
  <c r="D66" i="16"/>
  <c r="L66" i="16" s="1"/>
  <c r="C81" i="17"/>
  <c r="C66" i="16"/>
  <c r="H81" i="17"/>
  <c r="H66" i="16"/>
  <c r="H85" i="17"/>
  <c r="F81" i="17"/>
  <c r="F66" i="16"/>
  <c r="N66" i="16" s="1"/>
  <c r="I81" i="17"/>
  <c r="I66" i="16"/>
  <c r="I85" i="17"/>
  <c r="H145" i="15"/>
  <c r="H22" i="15" s="1"/>
  <c r="F145" i="15"/>
  <c r="I145" i="15"/>
  <c r="I58" i="17"/>
  <c r="E221" i="9"/>
  <c r="E41" i="17"/>
  <c r="F113" i="16"/>
  <c r="N113" i="16" s="1"/>
  <c r="F58" i="17"/>
  <c r="J113" i="16"/>
  <c r="J58" i="17"/>
  <c r="H221" i="9"/>
  <c r="H41" i="17"/>
  <c r="H58" i="17"/>
  <c r="F42" i="15"/>
  <c r="F41" i="17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M66" i="16" l="1"/>
  <c r="M81" i="17"/>
  <c r="L149" i="17"/>
  <c r="S29" i="6"/>
  <c r="S48" i="6"/>
  <c r="S33" i="6"/>
  <c r="F150" i="17"/>
  <c r="R32" i="6"/>
  <c r="H123" i="17"/>
  <c r="H130" i="17" s="1"/>
  <c r="L32" i="5"/>
  <c r="N58" i="17"/>
  <c r="R41" i="17"/>
  <c r="Q41" i="17"/>
  <c r="R40" i="17"/>
  <c r="F130" i="17"/>
  <c r="N130" i="17" s="1"/>
  <c r="J89" i="6"/>
  <c r="F89" i="5"/>
  <c r="J195" i="17"/>
  <c r="J130" i="17"/>
  <c r="E89" i="5"/>
  <c r="C89" i="5"/>
  <c r="E150" i="17"/>
  <c r="E89" i="6"/>
  <c r="E130" i="17"/>
  <c r="C130" i="17"/>
  <c r="H89" i="5"/>
  <c r="L89" i="5" s="1"/>
  <c r="E195" i="17"/>
  <c r="F195" i="17"/>
  <c r="N195" i="17" s="1"/>
  <c r="F87" i="17"/>
  <c r="N87" i="17" s="1"/>
  <c r="I87" i="17"/>
  <c r="J87" i="17"/>
  <c r="H87" i="17"/>
  <c r="B192" i="17"/>
  <c r="H36" i="11"/>
  <c r="J22" i="15"/>
  <c r="I36" i="11"/>
  <c r="I22" i="15"/>
  <c r="F36" i="11"/>
  <c r="N36" i="11" s="1"/>
  <c r="F22" i="15"/>
  <c r="S41" i="17" l="1"/>
  <c r="N150" i="17"/>
  <c r="F157" i="17"/>
  <c r="N157" i="17" s="1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2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5" i="7"/>
  <c r="T76" i="7"/>
  <c r="T77" i="7"/>
  <c r="T78" i="7"/>
  <c r="T79" i="7"/>
  <c r="T81" i="7"/>
  <c r="T82" i="7"/>
  <c r="T95" i="7"/>
  <c r="T96" i="7"/>
  <c r="J32" i="7"/>
  <c r="J29" i="7"/>
  <c r="F29" i="7"/>
  <c r="J1" i="7"/>
  <c r="T14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5" i="6"/>
  <c r="T76" i="6"/>
  <c r="T77" i="6"/>
  <c r="T78" i="6"/>
  <c r="T79" i="6"/>
  <c r="T81" i="6"/>
  <c r="T93" i="6"/>
  <c r="T94" i="6"/>
  <c r="J95" i="6"/>
  <c r="J93" i="6"/>
  <c r="F95" i="6"/>
  <c r="F93" i="6"/>
  <c r="J1" i="5"/>
  <c r="T14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6" i="5"/>
  <c r="F99" i="5"/>
  <c r="F95" i="5"/>
  <c r="J1" i="4"/>
  <c r="T14" i="4"/>
  <c r="T73" i="4"/>
  <c r="T75" i="4"/>
  <c r="J66" i="4"/>
  <c r="N66" i="4" s="1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18" i="4"/>
  <c r="T17" i="4"/>
  <c r="T97" i="3"/>
  <c r="T96" i="3"/>
  <c r="F95" i="4"/>
  <c r="F102" i="4" s="1"/>
  <c r="F66" i="4"/>
  <c r="F89" i="7" l="1"/>
  <c r="F5" i="7" s="1"/>
  <c r="F184" i="9" s="1"/>
  <c r="J89" i="7"/>
  <c r="C28" i="16"/>
  <c r="C24" i="17"/>
  <c r="F176" i="17"/>
  <c r="N176" i="17" s="1"/>
  <c r="F226" i="9"/>
  <c r="F47" i="15"/>
  <c r="J177" i="17"/>
  <c r="J59" i="15"/>
  <c r="J234" i="9"/>
  <c r="F177" i="17"/>
  <c r="N177" i="17" s="1"/>
  <c r="F234" i="9"/>
  <c r="F59" i="15"/>
  <c r="J176" i="17"/>
  <c r="J47" i="15"/>
  <c r="J226" i="9"/>
  <c r="F33" i="16"/>
  <c r="N33" i="16" s="1"/>
  <c r="F159" i="17"/>
  <c r="J159" i="17"/>
  <c r="J33" i="16"/>
  <c r="F69" i="16"/>
  <c r="N69" i="16" s="1"/>
  <c r="F162" i="17"/>
  <c r="N162" i="17" s="1"/>
  <c r="J69" i="16"/>
  <c r="J162" i="17"/>
  <c r="F135" i="17"/>
  <c r="N135" i="17" s="1"/>
  <c r="F68" i="16"/>
  <c r="N68" i="16" s="1"/>
  <c r="F102" i="5"/>
  <c r="F6" i="5" s="1"/>
  <c r="F116" i="16"/>
  <c r="N116" i="16" s="1"/>
  <c r="F139" i="17"/>
  <c r="N139" i="17" s="1"/>
  <c r="F67" i="16"/>
  <c r="N67" i="16" s="1"/>
  <c r="F108" i="17"/>
  <c r="J58" i="15"/>
  <c r="J233" i="9"/>
  <c r="F233" i="9"/>
  <c r="F58" i="15"/>
  <c r="F232" i="9"/>
  <c r="F57" i="15"/>
  <c r="J6" i="7"/>
  <c r="F6" i="7"/>
  <c r="J102" i="6"/>
  <c r="F102" i="6"/>
  <c r="F6" i="4"/>
  <c r="F32" i="4"/>
  <c r="F114" i="17" l="1"/>
  <c r="N114" i="17" s="1"/>
  <c r="N108" i="17"/>
  <c r="J5" i="7"/>
  <c r="N89" i="7"/>
  <c r="J168" i="17"/>
  <c r="F184" i="17"/>
  <c r="J184" i="17"/>
  <c r="J7" i="7"/>
  <c r="F168" i="17"/>
  <c r="F141" i="17"/>
  <c r="F18" i="11"/>
  <c r="F96" i="17"/>
  <c r="F89" i="4"/>
  <c r="F5" i="4" s="1"/>
  <c r="F181" i="9" s="1"/>
  <c r="N5" i="7"/>
  <c r="J184" i="9"/>
  <c r="F7" i="7"/>
  <c r="N6" i="7"/>
  <c r="F231" i="9"/>
  <c r="F56" i="15"/>
  <c r="J5" i="6"/>
  <c r="F5" i="6"/>
  <c r="F183" i="9" s="1"/>
  <c r="F6" i="6"/>
  <c r="J6" i="6"/>
  <c r="F5" i="5"/>
  <c r="V14" i="3"/>
  <c r="F170" i="17" l="1"/>
  <c r="N170" i="17" s="1"/>
  <c r="N168" i="17"/>
  <c r="F143" i="17"/>
  <c r="N143" i="17" s="1"/>
  <c r="N141" i="17"/>
  <c r="F103" i="17"/>
  <c r="N96" i="17"/>
  <c r="F116" i="17"/>
  <c r="N116" i="17" s="1"/>
  <c r="N103" i="17"/>
  <c r="F197" i="17"/>
  <c r="N197" i="17" s="1"/>
  <c r="N184" i="17"/>
  <c r="J170" i="17"/>
  <c r="J197" i="17"/>
  <c r="N5" i="6"/>
  <c r="J183" i="9"/>
  <c r="F7" i="6"/>
  <c r="F7" i="5"/>
  <c r="F182" i="9"/>
  <c r="F7" i="4"/>
  <c r="J7" i="6"/>
  <c r="N6" i="6"/>
  <c r="N13" i="3"/>
  <c r="K13" i="3"/>
  <c r="O13" i="3"/>
  <c r="N95" i="3"/>
  <c r="M95" i="3"/>
  <c r="T82" i="3"/>
  <c r="T80" i="3"/>
  <c r="T79" i="3"/>
  <c r="T78" i="3"/>
  <c r="T77" i="3"/>
  <c r="T76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T32" i="10"/>
  <c r="T34" i="10"/>
  <c r="T95" i="10"/>
  <c r="T94" i="10"/>
  <c r="T93" i="10"/>
  <c r="T92" i="10"/>
  <c r="T91" i="10"/>
  <c r="T89" i="10"/>
  <c r="T86" i="10"/>
  <c r="T85" i="10"/>
  <c r="T84" i="10"/>
  <c r="T83" i="10"/>
  <c r="T82" i="10"/>
  <c r="T79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20" i="10"/>
  <c r="T21" i="10"/>
  <c r="T22" i="10"/>
  <c r="T23" i="10"/>
  <c r="T24" i="10"/>
  <c r="N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47" i="10"/>
  <c r="F35" i="10"/>
  <c r="F30" i="10" s="1"/>
  <c r="J30" i="17" l="1"/>
  <c r="J100" i="16"/>
  <c r="J108" i="16" s="1"/>
  <c r="J19" i="16" s="1"/>
  <c r="J88" i="16"/>
  <c r="J96" i="16" s="1"/>
  <c r="J18" i="16" s="1"/>
  <c r="J29" i="17"/>
  <c r="F76" i="16"/>
  <c r="F28" i="17"/>
  <c r="F88" i="16"/>
  <c r="F29" i="17"/>
  <c r="J28" i="17"/>
  <c r="J76" i="16"/>
  <c r="J84" i="16" s="1"/>
  <c r="J17" i="16" s="1"/>
  <c r="F30" i="17"/>
  <c r="F100" i="16"/>
  <c r="F112" i="16"/>
  <c r="F31" i="17"/>
  <c r="N31" i="17" s="1"/>
  <c r="J112" i="16"/>
  <c r="J31" i="17"/>
  <c r="J25" i="17"/>
  <c r="J40" i="16"/>
  <c r="J48" i="16" s="1"/>
  <c r="J14" i="16" s="1"/>
  <c r="F40" i="16"/>
  <c r="F25" i="17"/>
  <c r="J64" i="16"/>
  <c r="J27" i="17"/>
  <c r="F27" i="17"/>
  <c r="F64" i="16"/>
  <c r="N64" i="16" s="1"/>
  <c r="L95" i="3"/>
  <c r="J13" i="10"/>
  <c r="N13" i="10" s="1"/>
  <c r="J39" i="10"/>
  <c r="F13" i="10"/>
  <c r="F39" i="10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5" i="2"/>
  <c r="T26" i="2"/>
  <c r="T27" i="2"/>
  <c r="T158" i="9"/>
  <c r="T157" i="9"/>
  <c r="T156" i="9"/>
  <c r="T155" i="9"/>
  <c r="T154" i="9"/>
  <c r="T153" i="9"/>
  <c r="T152" i="9"/>
  <c r="T151" i="9"/>
  <c r="T150" i="9"/>
  <c r="T149" i="9"/>
  <c r="T148" i="9"/>
  <c r="T147" i="9"/>
  <c r="T143" i="9"/>
  <c r="T142" i="9"/>
  <c r="T140" i="9"/>
  <c r="T139" i="9"/>
  <c r="T138" i="9"/>
  <c r="T137" i="9"/>
  <c r="T136" i="9"/>
  <c r="T135" i="9"/>
  <c r="T131" i="9"/>
  <c r="T123" i="9"/>
  <c r="T121" i="9"/>
  <c r="T115" i="9"/>
  <c r="T113" i="9"/>
  <c r="T111" i="9"/>
  <c r="T110" i="9"/>
  <c r="T109" i="9"/>
  <c r="T108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66" i="9"/>
  <c r="N165" i="9"/>
  <c r="N164" i="9"/>
  <c r="N163" i="9"/>
  <c r="N162" i="9"/>
  <c r="N143" i="9"/>
  <c r="N142" i="9"/>
  <c r="N145" i="9"/>
  <c r="J129" i="9"/>
  <c r="J120" i="9"/>
  <c r="J106" i="9"/>
  <c r="N106" i="9" s="1"/>
  <c r="J81" i="9"/>
  <c r="J32" i="9"/>
  <c r="J29" i="9"/>
  <c r="J13" i="9"/>
  <c r="N13" i="9" s="1"/>
  <c r="F145" i="9"/>
  <c r="F129" i="9"/>
  <c r="F120" i="9"/>
  <c r="F106" i="9"/>
  <c r="F81" i="9"/>
  <c r="F32" i="9"/>
  <c r="F29" i="9"/>
  <c r="F13" i="9"/>
  <c r="S135" i="9" l="1"/>
  <c r="N30" i="17"/>
  <c r="F96" i="16"/>
  <c r="N88" i="16"/>
  <c r="F120" i="16"/>
  <c r="N112" i="16"/>
  <c r="F84" i="16"/>
  <c r="N76" i="16"/>
  <c r="F108" i="16"/>
  <c r="N100" i="16"/>
  <c r="F48" i="16"/>
  <c r="N40" i="16"/>
  <c r="J28" i="16"/>
  <c r="J36" i="16" s="1"/>
  <c r="J13" i="16" s="1"/>
  <c r="J24" i="17"/>
  <c r="J15" i="11"/>
  <c r="J14" i="11"/>
  <c r="J16" i="11"/>
  <c r="F28" i="16"/>
  <c r="F24" i="17"/>
  <c r="N24" i="17" s="1"/>
  <c r="F52" i="16"/>
  <c r="F26" i="17"/>
  <c r="N26" i="17" s="1"/>
  <c r="J52" i="16"/>
  <c r="J60" i="16" s="1"/>
  <c r="J15" i="16" s="1"/>
  <c r="J26" i="17"/>
  <c r="J11" i="11"/>
  <c r="F54" i="17"/>
  <c r="F65" i="16"/>
  <c r="R29" i="9"/>
  <c r="F14" i="17"/>
  <c r="N14" i="17" s="1"/>
  <c r="F41" i="15"/>
  <c r="R32" i="9"/>
  <c r="F15" i="17"/>
  <c r="N15" i="17" s="1"/>
  <c r="F53" i="15"/>
  <c r="R13" i="9"/>
  <c r="F13" i="17"/>
  <c r="F29" i="15"/>
  <c r="F37" i="15" s="1"/>
  <c r="F13" i="15" s="1"/>
  <c r="F27" i="11" s="1"/>
  <c r="R106" i="9"/>
  <c r="F17" i="17"/>
  <c r="N17" i="17" s="1"/>
  <c r="F77" i="15"/>
  <c r="J13" i="17"/>
  <c r="J29" i="15"/>
  <c r="J37" i="15" s="1"/>
  <c r="J13" i="15" s="1"/>
  <c r="J17" i="17"/>
  <c r="J77" i="15"/>
  <c r="Q113" i="15"/>
  <c r="Q121" i="15" s="1"/>
  <c r="F18" i="17"/>
  <c r="N18" i="17" s="1"/>
  <c r="F89" i="15"/>
  <c r="F97" i="15" s="1"/>
  <c r="F18" i="15" s="1"/>
  <c r="F32" i="11" s="1"/>
  <c r="R20" i="17"/>
  <c r="S20" i="17" s="1"/>
  <c r="T20" i="17" s="1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R81" i="9"/>
  <c r="F16" i="17"/>
  <c r="N16" i="17" s="1"/>
  <c r="F65" i="15"/>
  <c r="F21" i="17"/>
  <c r="N21" i="17" s="1"/>
  <c r="F125" i="15"/>
  <c r="J16" i="17"/>
  <c r="J65" i="15"/>
  <c r="J21" i="17"/>
  <c r="J125" i="15"/>
  <c r="P113" i="15"/>
  <c r="P121" i="15" s="1"/>
  <c r="J195" i="9"/>
  <c r="J197" i="9"/>
  <c r="R145" i="9"/>
  <c r="R21" i="17" s="1"/>
  <c r="F197" i="9"/>
  <c r="R120" i="9"/>
  <c r="F194" i="9"/>
  <c r="R129" i="9"/>
  <c r="F195" i="9"/>
  <c r="J96" i="10"/>
  <c r="F96" i="10"/>
  <c r="F9" i="10" s="1"/>
  <c r="F32" i="2"/>
  <c r="F42" i="17" s="1"/>
  <c r="N42" i="17" s="1"/>
  <c r="J168" i="9"/>
  <c r="F168" i="9"/>
  <c r="R168" i="9" s="1"/>
  <c r="F33" i="17" l="1"/>
  <c r="N33" i="17" s="1"/>
  <c r="N13" i="17"/>
  <c r="F60" i="17"/>
  <c r="N60" i="17" s="1"/>
  <c r="N54" i="17"/>
  <c r="J9" i="10"/>
  <c r="N96" i="10"/>
  <c r="F19" i="16"/>
  <c r="N108" i="16"/>
  <c r="F17" i="16"/>
  <c r="N84" i="16"/>
  <c r="F20" i="16"/>
  <c r="N120" i="16"/>
  <c r="F60" i="16"/>
  <c r="N52" i="16"/>
  <c r="F36" i="16"/>
  <c r="N28" i="16"/>
  <c r="F72" i="16"/>
  <c r="N65" i="16"/>
  <c r="F14" i="16"/>
  <c r="N48" i="16"/>
  <c r="F18" i="16"/>
  <c r="N96" i="16"/>
  <c r="J10" i="11"/>
  <c r="J12" i="11"/>
  <c r="J33" i="17"/>
  <c r="F49" i="17"/>
  <c r="N49" i="17" s="1"/>
  <c r="F89" i="2"/>
  <c r="F5" i="2" s="1"/>
  <c r="F179" i="9" s="1"/>
  <c r="R16" i="17"/>
  <c r="R65" i="15"/>
  <c r="R73" i="15" s="1"/>
  <c r="R195" i="9"/>
  <c r="R19" i="17"/>
  <c r="R101" i="15"/>
  <c r="V135" i="9"/>
  <c r="S113" i="15"/>
  <c r="S121" i="15" s="1"/>
  <c r="J133" i="15"/>
  <c r="J21" i="15" s="1"/>
  <c r="F85" i="15"/>
  <c r="F17" i="15" s="1"/>
  <c r="F31" i="11" s="1"/>
  <c r="F22" i="17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29" i="15"/>
  <c r="F73" i="15"/>
  <c r="F16" i="15" s="1"/>
  <c r="F30" i="11" s="1"/>
  <c r="J85" i="15"/>
  <c r="J17" i="15" s="1"/>
  <c r="J22" i="17"/>
  <c r="R14" i="17"/>
  <c r="R41" i="15"/>
  <c r="R197" i="9"/>
  <c r="R125" i="15"/>
  <c r="R133" i="15" s="1"/>
  <c r="F54" i="15"/>
  <c r="F229" i="9"/>
  <c r="J32" i="2"/>
  <c r="N13" i="2"/>
  <c r="F6" i="2"/>
  <c r="J9" i="9"/>
  <c r="F9" i="9"/>
  <c r="R9" i="9" s="1"/>
  <c r="L30" i="9"/>
  <c r="I32" i="9"/>
  <c r="M32" i="9" s="1"/>
  <c r="H129" i="9"/>
  <c r="H120" i="9"/>
  <c r="H106" i="9"/>
  <c r="H81" i="9"/>
  <c r="L81" i="9" s="1"/>
  <c r="H32" i="9"/>
  <c r="H29" i="9"/>
  <c r="H13" i="9"/>
  <c r="L13" i="9" s="1"/>
  <c r="E84" i="9"/>
  <c r="E85" i="9"/>
  <c r="E86" i="9"/>
  <c r="F17" i="11" l="1"/>
  <c r="N20" i="16"/>
  <c r="F14" i="11"/>
  <c r="N14" i="11" s="1"/>
  <c r="N17" i="16"/>
  <c r="F15" i="11"/>
  <c r="N15" i="11" s="1"/>
  <c r="N18" i="16"/>
  <c r="F16" i="16"/>
  <c r="N72" i="16"/>
  <c r="F15" i="16"/>
  <c r="N60" i="16"/>
  <c r="F16" i="11"/>
  <c r="N16" i="11" s="1"/>
  <c r="N19" i="16"/>
  <c r="F13" i="16"/>
  <c r="N36" i="16"/>
  <c r="F11" i="11"/>
  <c r="N11" i="11" s="1"/>
  <c r="N14" i="16"/>
  <c r="F35" i="17"/>
  <c r="N35" i="17" s="1"/>
  <c r="N22" i="17"/>
  <c r="F62" i="17"/>
  <c r="N62" i="17" s="1"/>
  <c r="J35" i="17"/>
  <c r="J42" i="17"/>
  <c r="J89" i="2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F7" i="2"/>
  <c r="E81" i="9"/>
  <c r="N16" i="16" l="1"/>
  <c r="F13" i="11"/>
  <c r="F10" i="11"/>
  <c r="N10" i="11" s="1"/>
  <c r="N13" i="16"/>
  <c r="F22" i="16"/>
  <c r="F12" i="11"/>
  <c r="N12" i="11" s="1"/>
  <c r="N15" i="16"/>
  <c r="J49" i="17"/>
  <c r="H27" i="11"/>
  <c r="L27" i="11" s="1"/>
  <c r="H73" i="15"/>
  <c r="H16" i="15" s="1"/>
  <c r="H109" i="15"/>
  <c r="H19" i="15" s="1"/>
  <c r="E16" i="17"/>
  <c r="E65" i="15"/>
  <c r="H85" i="15"/>
  <c r="H17" i="15" s="1"/>
  <c r="H32" i="11"/>
  <c r="E42" i="10"/>
  <c r="E30" i="10"/>
  <c r="I30" i="10"/>
  <c r="E47" i="10"/>
  <c r="E50" i="10"/>
  <c r="E67" i="10"/>
  <c r="E72" i="10"/>
  <c r="E76" i="10"/>
  <c r="I76" i="10"/>
  <c r="C72" i="10"/>
  <c r="H72" i="10"/>
  <c r="L72" i="10" s="1"/>
  <c r="I72" i="10"/>
  <c r="H67" i="10"/>
  <c r="D67" i="10"/>
  <c r="I67" i="10"/>
  <c r="I50" i="10"/>
  <c r="C47" i="10"/>
  <c r="L47" i="10" s="1"/>
  <c r="I47" i="10"/>
  <c r="I42" i="10"/>
  <c r="H76" i="10"/>
  <c r="L76" i="10" s="1"/>
  <c r="M67" i="10" l="1"/>
  <c r="H42" i="10"/>
  <c r="L43" i="10"/>
  <c r="F9" i="16"/>
  <c r="N9" i="16" s="1"/>
  <c r="N22" i="16"/>
  <c r="F19" i="1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E30" i="17"/>
  <c r="E100" i="16"/>
  <c r="E29" i="17"/>
  <c r="E88" i="16"/>
  <c r="E76" i="16"/>
  <c r="E28" i="17"/>
  <c r="E27" i="17"/>
  <c r="E64" i="16"/>
  <c r="E40" i="16"/>
  <c r="E25" i="17"/>
  <c r="D76" i="16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H13" i="10"/>
  <c r="L13" i="10" s="1"/>
  <c r="H50" i="10"/>
  <c r="L50" i="10" s="1"/>
  <c r="H30" i="10"/>
  <c r="I13" i="10"/>
  <c r="E39" i="10"/>
  <c r="E13" i="10"/>
  <c r="M112" i="16" l="1"/>
  <c r="M30" i="17"/>
  <c r="R30" i="17"/>
  <c r="M29" i="17"/>
  <c r="R29" i="17"/>
  <c r="R27" i="17"/>
  <c r="M27" i="17"/>
  <c r="M28" i="17"/>
  <c r="R28" i="17"/>
  <c r="Q28" i="17"/>
  <c r="L28" i="17"/>
  <c r="R25" i="17"/>
  <c r="M25" i="17"/>
  <c r="R31" i="17"/>
  <c r="M31" i="17"/>
  <c r="E96" i="16"/>
  <c r="M88" i="16"/>
  <c r="D84" i="16"/>
  <c r="L76" i="16"/>
  <c r="E108" i="16"/>
  <c r="M100" i="16"/>
  <c r="E84" i="16"/>
  <c r="M76" i="16"/>
  <c r="E48" i="16"/>
  <c r="M40" i="16"/>
  <c r="M64" i="16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H24" i="17"/>
  <c r="H28" i="16"/>
  <c r="I28" i="16"/>
  <c r="I24" i="17"/>
  <c r="E24" i="17"/>
  <c r="E28" i="16"/>
  <c r="E26" i="17"/>
  <c r="E52" i="16"/>
  <c r="E96" i="10"/>
  <c r="E99" i="10" s="1"/>
  <c r="E29" i="7"/>
  <c r="E13" i="7"/>
  <c r="E95" i="6"/>
  <c r="E93" i="6"/>
  <c r="E95" i="5"/>
  <c r="E71" i="4"/>
  <c r="E66" i="4"/>
  <c r="E48" i="4"/>
  <c r="E72" i="3"/>
  <c r="E49" i="3"/>
  <c r="D48" i="2"/>
  <c r="M28" i="16" l="1"/>
  <c r="R26" i="17"/>
  <c r="R24" i="17"/>
  <c r="M24" i="17"/>
  <c r="E17" i="16"/>
  <c r="M84" i="16"/>
  <c r="D17" i="16"/>
  <c r="L84" i="16"/>
  <c r="E19" i="16"/>
  <c r="M108" i="16"/>
  <c r="E60" i="16"/>
  <c r="E14" i="16"/>
  <c r="M48" i="16"/>
  <c r="E18" i="16"/>
  <c r="M96" i="16"/>
  <c r="H96" i="10"/>
  <c r="H9" i="10" s="1"/>
  <c r="H26" i="17"/>
  <c r="H33" i="17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135" i="17"/>
  <c r="E68" i="16"/>
  <c r="E213" i="9"/>
  <c r="E30" i="15"/>
  <c r="E233" i="9"/>
  <c r="E58" i="15"/>
  <c r="E232" i="9"/>
  <c r="E57" i="15"/>
  <c r="N13" i="7"/>
  <c r="E32" i="4"/>
  <c r="E96" i="17" s="1"/>
  <c r="N41" i="2"/>
  <c r="N66" i="2"/>
  <c r="N71" i="2"/>
  <c r="N33" i="2"/>
  <c r="E9" i="10"/>
  <c r="N9" i="10" s="1"/>
  <c r="E102" i="6"/>
  <c r="E89" i="7"/>
  <c r="L17" i="16" l="1"/>
  <c r="D14" i="11"/>
  <c r="L14" i="11" s="1"/>
  <c r="E36" i="16"/>
  <c r="M33" i="16"/>
  <c r="E15" i="16"/>
  <c r="M19" i="16"/>
  <c r="E16" i="11"/>
  <c r="R19" i="16"/>
  <c r="R16" i="11" s="1"/>
  <c r="M18" i="16"/>
  <c r="R18" i="16"/>
  <c r="R15" i="11" s="1"/>
  <c r="E15" i="11"/>
  <c r="M14" i="16"/>
  <c r="R14" i="16"/>
  <c r="R11" i="11" s="1"/>
  <c r="E11" i="11"/>
  <c r="M17" i="16"/>
  <c r="R17" i="16"/>
  <c r="R14" i="11" s="1"/>
  <c r="E168" i="17"/>
  <c r="E177" i="17"/>
  <c r="E59" i="15"/>
  <c r="E234" i="9"/>
  <c r="E219" i="9"/>
  <c r="E140" i="16"/>
  <c r="M140" i="16" s="1"/>
  <c r="E141" i="15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70" i="17" l="1"/>
  <c r="R15" i="16"/>
  <c r="R12" i="11" s="1"/>
  <c r="E12" i="11"/>
  <c r="E13" i="16"/>
  <c r="E184" i="17"/>
  <c r="E42" i="17"/>
  <c r="E89" i="2"/>
  <c r="E139" i="17"/>
  <c r="E67" i="16"/>
  <c r="E108" i="17"/>
  <c r="E54" i="17"/>
  <c r="E65" i="16"/>
  <c r="E5" i="7"/>
  <c r="E184" i="9" s="1"/>
  <c r="E182" i="9"/>
  <c r="E54" i="15"/>
  <c r="E229" i="9"/>
  <c r="E7" i="6"/>
  <c r="E102" i="5"/>
  <c r="E6" i="5" s="1"/>
  <c r="E7" i="5" s="1"/>
  <c r="N32" i="2"/>
  <c r="I66" i="6"/>
  <c r="M66" i="6" s="1"/>
  <c r="I71" i="6"/>
  <c r="M71" i="6" s="1"/>
  <c r="I41" i="4"/>
  <c r="M41" i="4" s="1"/>
  <c r="M65" i="3"/>
  <c r="M63" i="3"/>
  <c r="M50" i="3"/>
  <c r="M73" i="3"/>
  <c r="I53" i="4"/>
  <c r="I71" i="2"/>
  <c r="M64" i="2"/>
  <c r="M53" i="2"/>
  <c r="M46" i="2"/>
  <c r="I66" i="5"/>
  <c r="M66" i="5" s="1"/>
  <c r="E141" i="17" l="1"/>
  <c r="E143" i="17"/>
  <c r="R54" i="17"/>
  <c r="R42" i="17"/>
  <c r="R13" i="16"/>
  <c r="R10" i="11" s="1"/>
  <c r="E197" i="17"/>
  <c r="I71" i="5"/>
  <c r="M71" i="5" s="1"/>
  <c r="I71" i="4"/>
  <c r="E49" i="17"/>
  <c r="H66" i="6"/>
  <c r="I33" i="6"/>
  <c r="M33" i="6" s="1"/>
  <c r="I48" i="6"/>
  <c r="M48" i="6" s="1"/>
  <c r="I41" i="5"/>
  <c r="M41" i="5" s="1"/>
  <c r="I33" i="5"/>
  <c r="M33" i="5" s="1"/>
  <c r="I48" i="5"/>
  <c r="M48" i="5" s="1"/>
  <c r="I189" i="9"/>
  <c r="E72" i="16"/>
  <c r="I48" i="4"/>
  <c r="I33" i="4"/>
  <c r="M33" i="4" s="1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I66" i="4"/>
  <c r="M66" i="4" s="1"/>
  <c r="N84" i="3"/>
  <c r="M84" i="3"/>
  <c r="N37" i="3"/>
  <c r="M37" i="3"/>
  <c r="N59" i="3"/>
  <c r="M59" i="3"/>
  <c r="N81" i="3"/>
  <c r="N35" i="3"/>
  <c r="N63" i="3"/>
  <c r="N65" i="3"/>
  <c r="E5" i="2"/>
  <c r="E179" i="9" s="1"/>
  <c r="I42" i="3"/>
  <c r="I72" i="3"/>
  <c r="I49" i="3"/>
  <c r="I81" i="9"/>
  <c r="H48" i="2"/>
  <c r="H32" i="6" l="1"/>
  <c r="L32" i="6" s="1"/>
  <c r="L66" i="6"/>
  <c r="E16" i="16"/>
  <c r="R16" i="16" s="1"/>
  <c r="R13" i="11" s="1"/>
  <c r="I32" i="6"/>
  <c r="H150" i="17"/>
  <c r="H157" i="17" s="1"/>
  <c r="I177" i="17"/>
  <c r="M177" i="17" s="1"/>
  <c r="I234" i="9"/>
  <c r="I59" i="15"/>
  <c r="I32" i="5"/>
  <c r="I32" i="4"/>
  <c r="I16" i="17"/>
  <c r="M16" i="17" s="1"/>
  <c r="I65" i="15"/>
  <c r="J72" i="3"/>
  <c r="N72" i="3" s="1"/>
  <c r="N73" i="3"/>
  <c r="J49" i="3"/>
  <c r="N49" i="3" s="1"/>
  <c r="N50" i="3"/>
  <c r="N34" i="3"/>
  <c r="J42" i="3"/>
  <c r="L64" i="2"/>
  <c r="I33" i="3"/>
  <c r="I69" i="17" s="1"/>
  <c r="I129" i="9"/>
  <c r="M129" i="9" s="1"/>
  <c r="I106" i="9"/>
  <c r="I120" i="9"/>
  <c r="M120" i="9" s="1"/>
  <c r="I32" i="2"/>
  <c r="I42" i="17" s="1"/>
  <c r="M42" i="17" s="1"/>
  <c r="I96" i="5"/>
  <c r="M94" i="6"/>
  <c r="I29" i="4"/>
  <c r="M29" i="4" s="1"/>
  <c r="M22" i="3"/>
  <c r="M20" i="3"/>
  <c r="M17" i="3"/>
  <c r="M21" i="2"/>
  <c r="I29" i="2"/>
  <c r="M23" i="2"/>
  <c r="M19" i="2"/>
  <c r="H89" i="6" l="1"/>
  <c r="I150" i="17"/>
  <c r="M150" i="17" s="1"/>
  <c r="I123" i="17"/>
  <c r="M123" i="17" s="1"/>
  <c r="I96" i="17"/>
  <c r="M96" i="17" s="1"/>
  <c r="E13" i="11"/>
  <c r="I57" i="15"/>
  <c r="I58" i="15"/>
  <c r="I233" i="9"/>
  <c r="I13" i="6"/>
  <c r="I232" i="9"/>
  <c r="I13" i="7"/>
  <c r="I194" i="17"/>
  <c r="M194" i="17" s="1"/>
  <c r="I130" i="16"/>
  <c r="M130" i="16" s="1"/>
  <c r="I99" i="7"/>
  <c r="M99" i="7" s="1"/>
  <c r="I29" i="6"/>
  <c r="M29" i="6" s="1"/>
  <c r="I13" i="5"/>
  <c r="I29" i="5"/>
  <c r="M29" i="5" s="1"/>
  <c r="I95" i="17"/>
  <c r="I44" i="15"/>
  <c r="I223" i="9"/>
  <c r="I13" i="4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I93" i="6"/>
  <c r="M93" i="6" s="1"/>
  <c r="I95" i="5"/>
  <c r="M95" i="5" s="1"/>
  <c r="I29" i="7"/>
  <c r="I95" i="6"/>
  <c r="M95" i="6" s="1"/>
  <c r="I95" i="4"/>
  <c r="I95" i="2"/>
  <c r="I102" i="2" s="1"/>
  <c r="I34" i="15" l="1"/>
  <c r="M13" i="6"/>
  <c r="I102" i="4"/>
  <c r="I89" i="4"/>
  <c r="M13" i="4"/>
  <c r="I193" i="17"/>
  <c r="M193" i="17" s="1"/>
  <c r="I89" i="7"/>
  <c r="I89" i="6"/>
  <c r="I217" i="9"/>
  <c r="I148" i="17"/>
  <c r="M148" i="17" s="1"/>
  <c r="I90" i="3"/>
  <c r="I5" i="3" s="1"/>
  <c r="I180" i="9" s="1"/>
  <c r="M118" i="16"/>
  <c r="I132" i="16"/>
  <c r="I176" i="17"/>
  <c r="M176" i="17" s="1"/>
  <c r="I47" i="15"/>
  <c r="I226" i="9"/>
  <c r="I175" i="17"/>
  <c r="M175" i="17" s="1"/>
  <c r="I35" i="15"/>
  <c r="I218" i="9"/>
  <c r="I159" i="17"/>
  <c r="I33" i="16"/>
  <c r="I149" i="17"/>
  <c r="M149" i="17" s="1"/>
  <c r="I225" i="9"/>
  <c r="I46" i="15"/>
  <c r="I162" i="17"/>
  <c r="M162" i="17" s="1"/>
  <c r="I69" i="16"/>
  <c r="M69" i="16" s="1"/>
  <c r="I135" i="17"/>
  <c r="M135" i="17" s="1"/>
  <c r="I68" i="16"/>
  <c r="M68" i="16" s="1"/>
  <c r="I122" i="17"/>
  <c r="M122" i="17" s="1"/>
  <c r="I45" i="15"/>
  <c r="I224" i="9"/>
  <c r="I89" i="5"/>
  <c r="I121" i="17"/>
  <c r="M121" i="17" s="1"/>
  <c r="I216" i="9"/>
  <c r="I33" i="15"/>
  <c r="I108" i="17"/>
  <c r="M108" i="17" s="1"/>
  <c r="I67" i="16"/>
  <c r="M67" i="16" s="1"/>
  <c r="J67" i="16"/>
  <c r="J108" i="17"/>
  <c r="I94" i="17"/>
  <c r="M94" i="17" s="1"/>
  <c r="I32" i="15"/>
  <c r="I215" i="9"/>
  <c r="I68" i="17"/>
  <c r="I43" i="15"/>
  <c r="I222" i="9"/>
  <c r="I67" i="17"/>
  <c r="M67" i="17" s="1"/>
  <c r="I31" i="15"/>
  <c r="I214" i="9"/>
  <c r="I40" i="17"/>
  <c r="M40" i="17" s="1"/>
  <c r="I30" i="15"/>
  <c r="I213" i="9"/>
  <c r="I54" i="17"/>
  <c r="M54" i="17" s="1"/>
  <c r="I65" i="16"/>
  <c r="M65" i="16" s="1"/>
  <c r="I30" i="11"/>
  <c r="M16" i="15"/>
  <c r="I32" i="11"/>
  <c r="I109" i="15"/>
  <c r="I19" i="15" s="1"/>
  <c r="I85" i="15"/>
  <c r="I17" i="15" s="1"/>
  <c r="J55" i="15"/>
  <c r="J230" i="9"/>
  <c r="J95" i="5"/>
  <c r="N13" i="5"/>
  <c r="J30" i="3"/>
  <c r="J90" i="3" s="1"/>
  <c r="N96" i="2"/>
  <c r="J95" i="2"/>
  <c r="J102" i="2" s="1"/>
  <c r="N30" i="2"/>
  <c r="M30" i="9"/>
  <c r="I13" i="9"/>
  <c r="M13" i="9" s="1"/>
  <c r="E120" i="9"/>
  <c r="I5" i="7" l="1"/>
  <c r="I184" i="9" s="1"/>
  <c r="J114" i="17"/>
  <c r="I227" i="9"/>
  <c r="I184" i="17"/>
  <c r="M184" i="17" s="1"/>
  <c r="I157" i="17"/>
  <c r="M157" i="17" s="1"/>
  <c r="I130" i="17"/>
  <c r="M130" i="17" s="1"/>
  <c r="I114" i="17"/>
  <c r="I103" i="17"/>
  <c r="I60" i="17"/>
  <c r="I49" i="17"/>
  <c r="M49" i="17" s="1"/>
  <c r="I168" i="17"/>
  <c r="M168" i="17" s="1"/>
  <c r="J135" i="17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33" i="11"/>
  <c r="I31" i="11"/>
  <c r="I13" i="17"/>
  <c r="I29" i="15"/>
  <c r="I37" i="15" s="1"/>
  <c r="I13" i="15" s="1"/>
  <c r="E18" i="17"/>
  <c r="E89" i="15"/>
  <c r="E97" i="15" s="1"/>
  <c r="E18" i="15" s="1"/>
  <c r="I14" i="17"/>
  <c r="I41" i="15"/>
  <c r="I49" i="15" s="1"/>
  <c r="I14" i="15" s="1"/>
  <c r="E194" i="9"/>
  <c r="I5" i="6"/>
  <c r="I183" i="9" s="1"/>
  <c r="J5" i="3"/>
  <c r="I5" i="5"/>
  <c r="I182" i="9" s="1"/>
  <c r="N29" i="2"/>
  <c r="I5" i="2"/>
  <c r="I179" i="9" s="1"/>
  <c r="N30" i="9"/>
  <c r="E13" i="9"/>
  <c r="M18" i="17" l="1"/>
  <c r="J60" i="17"/>
  <c r="J76" i="17"/>
  <c r="I170" i="17"/>
  <c r="M170" i="17" s="1"/>
  <c r="I116" i="17"/>
  <c r="I62" i="17"/>
  <c r="J72" i="16"/>
  <c r="J16" i="16" s="1"/>
  <c r="J28" i="11"/>
  <c r="E32" i="11"/>
  <c r="M18" i="15"/>
  <c r="E13" i="17"/>
  <c r="E29" i="15"/>
  <c r="E37" i="15" s="1"/>
  <c r="E13" i="15" s="1"/>
  <c r="E27" i="11" s="1"/>
  <c r="I28" i="11"/>
  <c r="I27" i="11"/>
  <c r="N5" i="3"/>
  <c r="J180" i="9"/>
  <c r="J5" i="5"/>
  <c r="J182" i="9" s="1"/>
  <c r="N89" i="2"/>
  <c r="J5" i="2"/>
  <c r="E29" i="9"/>
  <c r="H95" i="7"/>
  <c r="L95" i="7" s="1"/>
  <c r="D71" i="6"/>
  <c r="D32" i="6" s="1"/>
  <c r="D13" i="6"/>
  <c r="D93" i="6"/>
  <c r="H93" i="6"/>
  <c r="L93" i="6" s="1"/>
  <c r="H95" i="6"/>
  <c r="L95" i="6" s="1"/>
  <c r="D13" i="5"/>
  <c r="H95" i="5"/>
  <c r="L95" i="5" s="1"/>
  <c r="D95" i="5"/>
  <c r="D102" i="5" s="1"/>
  <c r="D71" i="5"/>
  <c r="D32" i="5" s="1"/>
  <c r="D13" i="3"/>
  <c r="P82" i="9"/>
  <c r="S82" i="9" s="1"/>
  <c r="D114" i="9"/>
  <c r="H95" i="4"/>
  <c r="C95" i="4"/>
  <c r="D48" i="4"/>
  <c r="M48" i="4" s="1"/>
  <c r="D33" i="4"/>
  <c r="D71" i="4"/>
  <c r="M71" i="4" s="1"/>
  <c r="D66" i="4"/>
  <c r="H66" i="4"/>
  <c r="L66" i="4" s="1"/>
  <c r="C66" i="4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76" i="10" s="1"/>
  <c r="D49" i="10"/>
  <c r="D29" i="7"/>
  <c r="H29" i="7"/>
  <c r="H30" i="3"/>
  <c r="D29" i="9"/>
  <c r="D120" i="9"/>
  <c r="C81" i="9"/>
  <c r="C76" i="10"/>
  <c r="C13" i="9"/>
  <c r="C32" i="9"/>
  <c r="L32" i="9" s="1"/>
  <c r="C29" i="9"/>
  <c r="C29" i="7"/>
  <c r="C120" i="9"/>
  <c r="C30" i="10"/>
  <c r="L30" i="10" s="1"/>
  <c r="C67" i="10"/>
  <c r="L67" i="10" s="1"/>
  <c r="C50" i="10"/>
  <c r="M13" i="17" l="1"/>
  <c r="R13" i="17"/>
  <c r="R22" i="17" s="1"/>
  <c r="P32" i="6"/>
  <c r="Q32" i="6"/>
  <c r="M32" i="6"/>
  <c r="D123" i="17"/>
  <c r="L123" i="17" s="1"/>
  <c r="M32" i="5"/>
  <c r="H102" i="4"/>
  <c r="L95" i="4"/>
  <c r="C18" i="17"/>
  <c r="L18" i="17" s="1"/>
  <c r="L120" i="9"/>
  <c r="C30" i="17"/>
  <c r="C100" i="16"/>
  <c r="C108" i="16" s="1"/>
  <c r="C19" i="16" s="1"/>
  <c r="C16" i="11" s="1"/>
  <c r="J13" i="11"/>
  <c r="N13" i="11" s="1"/>
  <c r="J62" i="17"/>
  <c r="C93" i="5"/>
  <c r="J89" i="17"/>
  <c r="H89" i="7"/>
  <c r="D150" i="17"/>
  <c r="L150" i="17" s="1"/>
  <c r="D89" i="6"/>
  <c r="M89" i="6" s="1"/>
  <c r="D100" i="16"/>
  <c r="D30" i="17"/>
  <c r="D32" i="17"/>
  <c r="D124" i="16"/>
  <c r="L124" i="16" s="1"/>
  <c r="C28" i="17"/>
  <c r="P28" i="17" s="1"/>
  <c r="S28" i="17" s="1"/>
  <c r="C76" i="16"/>
  <c r="C84" i="16" s="1"/>
  <c r="C17" i="16" s="1"/>
  <c r="C64" i="16"/>
  <c r="C27" i="17"/>
  <c r="C40" i="16"/>
  <c r="C48" i="16" s="1"/>
  <c r="C14" i="16" s="1"/>
  <c r="C11" i="11" s="1"/>
  <c r="D7" i="23" s="1"/>
  <c r="C25" i="17"/>
  <c r="D14" i="10"/>
  <c r="M14" i="10" s="1"/>
  <c r="C176" i="17"/>
  <c r="C226" i="9"/>
  <c r="C47" i="15"/>
  <c r="C177" i="17"/>
  <c r="C59" i="15"/>
  <c r="C234" i="9"/>
  <c r="M29" i="7"/>
  <c r="D176" i="17"/>
  <c r="D47" i="15"/>
  <c r="D226" i="9"/>
  <c r="D142" i="16"/>
  <c r="L142" i="16" s="1"/>
  <c r="D143" i="15"/>
  <c r="D99" i="7"/>
  <c r="D118" i="16" s="1"/>
  <c r="L118" i="16" s="1"/>
  <c r="H177" i="17"/>
  <c r="H234" i="9"/>
  <c r="H59" i="15"/>
  <c r="D13" i="7"/>
  <c r="H102" i="7"/>
  <c r="H189" i="17"/>
  <c r="L189" i="17" s="1"/>
  <c r="H70" i="16"/>
  <c r="L70" i="16" s="1"/>
  <c r="H176" i="17"/>
  <c r="H47" i="15"/>
  <c r="H226" i="9"/>
  <c r="C162" i="17"/>
  <c r="C69" i="16"/>
  <c r="H162" i="17"/>
  <c r="H69" i="16"/>
  <c r="D159" i="17"/>
  <c r="D33" i="16"/>
  <c r="L33" i="16" s="1"/>
  <c r="D148" i="17"/>
  <c r="L148" i="17" s="1"/>
  <c r="D217" i="9"/>
  <c r="D34" i="15"/>
  <c r="H159" i="17"/>
  <c r="H33" i="16"/>
  <c r="H36" i="16" s="1"/>
  <c r="H13" i="16" s="1"/>
  <c r="D89" i="5"/>
  <c r="M89" i="5" s="1"/>
  <c r="D121" i="17"/>
  <c r="D216" i="9"/>
  <c r="D33" i="15"/>
  <c r="H135" i="17"/>
  <c r="H68" i="16"/>
  <c r="H139" i="17"/>
  <c r="H120" i="16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L127" i="16" s="1"/>
  <c r="D113" i="17"/>
  <c r="L113" i="17" s="1"/>
  <c r="D99" i="4"/>
  <c r="H32" i="4"/>
  <c r="H68" i="17"/>
  <c r="H43" i="15"/>
  <c r="H222" i="9"/>
  <c r="C68" i="17"/>
  <c r="C222" i="9"/>
  <c r="C43" i="15"/>
  <c r="D86" i="17"/>
  <c r="L86" i="17" s="1"/>
  <c r="D126" i="16"/>
  <c r="L126" i="16" s="1"/>
  <c r="D67" i="17"/>
  <c r="L67" i="17" s="1"/>
  <c r="D214" i="9"/>
  <c r="D31" i="15"/>
  <c r="D40" i="17"/>
  <c r="D30" i="15"/>
  <c r="D213" i="9"/>
  <c r="H54" i="17"/>
  <c r="H60" i="17" s="1"/>
  <c r="H65" i="16"/>
  <c r="D137" i="16"/>
  <c r="L137" i="16" s="1"/>
  <c r="D99" i="2"/>
  <c r="D138" i="15"/>
  <c r="D59" i="17"/>
  <c r="D125" i="16"/>
  <c r="L125" i="16" s="1"/>
  <c r="C65" i="16"/>
  <c r="C54" i="17"/>
  <c r="M13" i="15"/>
  <c r="C13" i="17"/>
  <c r="C212" i="9"/>
  <c r="C29" i="15"/>
  <c r="D14" i="17"/>
  <c r="D41" i="15"/>
  <c r="C194" i="9"/>
  <c r="C89" i="15"/>
  <c r="C97" i="15" s="1"/>
  <c r="C18" i="15" s="1"/>
  <c r="C32" i="11" s="1"/>
  <c r="C15" i="17"/>
  <c r="L15" i="17" s="1"/>
  <c r="C53" i="15"/>
  <c r="C16" i="17"/>
  <c r="C65" i="15"/>
  <c r="C14" i="17"/>
  <c r="C41" i="15"/>
  <c r="D18" i="17"/>
  <c r="D89" i="15"/>
  <c r="D97" i="15" s="1"/>
  <c r="D18" i="15" s="1"/>
  <c r="E14" i="17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32" i="7"/>
  <c r="L29" i="7"/>
  <c r="I95" i="7"/>
  <c r="M95" i="7" s="1"/>
  <c r="M13" i="3"/>
  <c r="L13" i="5"/>
  <c r="N5" i="5"/>
  <c r="D95" i="4"/>
  <c r="M95" i="4" s="1"/>
  <c r="E29" i="4"/>
  <c r="E89" i="4" s="1"/>
  <c r="M34" i="3"/>
  <c r="M49" i="3"/>
  <c r="E42" i="3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T82" i="9"/>
  <c r="V82" i="9"/>
  <c r="L29" i="9"/>
  <c r="Q120" i="9"/>
  <c r="P120" i="9"/>
  <c r="N29" i="9"/>
  <c r="Q29" i="9"/>
  <c r="P29" i="9"/>
  <c r="D47" i="10"/>
  <c r="M47" i="10" s="1"/>
  <c r="M29" i="9"/>
  <c r="M80" i="10"/>
  <c r="E30" i="3"/>
  <c r="H6" i="3"/>
  <c r="C33" i="3"/>
  <c r="C69" i="17" s="1"/>
  <c r="D129" i="9"/>
  <c r="D42" i="3"/>
  <c r="M13" i="2"/>
  <c r="D106" i="9"/>
  <c r="M106" i="9" s="1"/>
  <c r="M16" i="11"/>
  <c r="D30" i="3"/>
  <c r="H102" i="5"/>
  <c r="D95" i="6"/>
  <c r="D13" i="9"/>
  <c r="D81" i="9"/>
  <c r="M81" i="9" s="1"/>
  <c r="H32" i="2"/>
  <c r="H33" i="3"/>
  <c r="H69" i="17" s="1"/>
  <c r="H102" i="6"/>
  <c r="C32" i="2"/>
  <c r="C32" i="4"/>
  <c r="D30" i="10"/>
  <c r="M30" i="10" s="1"/>
  <c r="D24" i="23" l="1"/>
  <c r="E24" i="23" s="1"/>
  <c r="L32" i="11"/>
  <c r="L32" i="4"/>
  <c r="L176" i="17"/>
  <c r="S120" i="9"/>
  <c r="E7" i="23"/>
  <c r="Q18" i="17"/>
  <c r="P18" i="17"/>
  <c r="P14" i="17"/>
  <c r="Q14" i="17"/>
  <c r="M14" i="17"/>
  <c r="S29" i="9"/>
  <c r="S32" i="6"/>
  <c r="H6" i="5"/>
  <c r="L102" i="5"/>
  <c r="P121" i="17"/>
  <c r="L121" i="17"/>
  <c r="Q121" i="17"/>
  <c r="L30" i="17"/>
  <c r="P30" i="17"/>
  <c r="Q30" i="17"/>
  <c r="L59" i="17"/>
  <c r="P59" i="17"/>
  <c r="P40" i="17"/>
  <c r="L40" i="17"/>
  <c r="Q40" i="17"/>
  <c r="L32" i="17"/>
  <c r="Q32" i="17"/>
  <c r="L68" i="16"/>
  <c r="D108" i="16"/>
  <c r="L100" i="16"/>
  <c r="H5" i="7"/>
  <c r="H184" i="9" s="1"/>
  <c r="H184" i="17"/>
  <c r="C132" i="17"/>
  <c r="C32" i="16"/>
  <c r="C36" i="16" s="1"/>
  <c r="C13" i="16" s="1"/>
  <c r="C10" i="11" s="1"/>
  <c r="D6" i="23" s="1"/>
  <c r="E6" i="23" s="1"/>
  <c r="C227" i="9"/>
  <c r="H195" i="17"/>
  <c r="H227" i="9"/>
  <c r="D89" i="7"/>
  <c r="M89" i="7" s="1"/>
  <c r="M13" i="7"/>
  <c r="H72" i="16"/>
  <c r="H16" i="16" s="1"/>
  <c r="H13" i="11" s="1"/>
  <c r="D157" i="17"/>
  <c r="L157" i="17" s="1"/>
  <c r="H141" i="17"/>
  <c r="H143" i="17" s="1"/>
  <c r="D130" i="17"/>
  <c r="L130" i="17" s="1"/>
  <c r="D115" i="16"/>
  <c r="L115" i="16" s="1"/>
  <c r="D102" i="4"/>
  <c r="H90" i="3"/>
  <c r="H42" i="17"/>
  <c r="H49" i="17" s="1"/>
  <c r="H62" i="17" s="1"/>
  <c r="H89" i="2"/>
  <c r="D113" i="16"/>
  <c r="L113" i="16" s="1"/>
  <c r="C42" i="17"/>
  <c r="C49" i="17" s="1"/>
  <c r="C105" i="2"/>
  <c r="D112" i="16"/>
  <c r="L112" i="16" s="1"/>
  <c r="D31" i="17"/>
  <c r="C14" i="11"/>
  <c r="P17" i="16"/>
  <c r="D40" i="16"/>
  <c r="D25" i="17"/>
  <c r="M32" i="7"/>
  <c r="D177" i="17"/>
  <c r="L177" i="17" s="1"/>
  <c r="D234" i="9"/>
  <c r="D59" i="15"/>
  <c r="C49" i="15"/>
  <c r="C14" i="15" s="1"/>
  <c r="C28" i="11" s="1"/>
  <c r="D20" i="23" s="1"/>
  <c r="E20" i="23" s="1"/>
  <c r="H49" i="15"/>
  <c r="H14" i="15" s="1"/>
  <c r="H28" i="11" s="1"/>
  <c r="D175" i="17"/>
  <c r="L175" i="17" s="1"/>
  <c r="D218" i="9"/>
  <c r="D219" i="9" s="1"/>
  <c r="D35" i="15"/>
  <c r="I102" i="7"/>
  <c r="I189" i="17"/>
  <c r="M189" i="17" s="1"/>
  <c r="I70" i="16"/>
  <c r="D193" i="17"/>
  <c r="L193" i="17" s="1"/>
  <c r="D102" i="7"/>
  <c r="D6" i="7" s="1"/>
  <c r="D162" i="17"/>
  <c r="L162" i="17" s="1"/>
  <c r="D69" i="16"/>
  <c r="L69" i="16" s="1"/>
  <c r="H10" i="11"/>
  <c r="H168" i="17"/>
  <c r="H170" i="17" s="1"/>
  <c r="D116" i="16"/>
  <c r="L116" i="16" s="1"/>
  <c r="D140" i="16"/>
  <c r="L140" i="16" s="1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M127" i="16" s="1"/>
  <c r="E99" i="4"/>
  <c r="D108" i="17"/>
  <c r="L108" i="17" s="1"/>
  <c r="D67" i="16"/>
  <c r="L67" i="16" s="1"/>
  <c r="C72" i="16"/>
  <c r="C16" i="16" s="1"/>
  <c r="C13" i="11" s="1"/>
  <c r="E95" i="17"/>
  <c r="M95" i="17" s="1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E126" i="16"/>
  <c r="M126" i="16" s="1"/>
  <c r="E86" i="17"/>
  <c r="M86" i="17" s="1"/>
  <c r="H76" i="17"/>
  <c r="H89" i="17" s="1"/>
  <c r="E137" i="16"/>
  <c r="M137" i="16" s="1"/>
  <c r="E99" i="2"/>
  <c r="E138" i="15"/>
  <c r="D58" i="17"/>
  <c r="E59" i="17"/>
  <c r="E125" i="16"/>
  <c r="M125" i="16" s="1"/>
  <c r="D132" i="16"/>
  <c r="L132" i="16" s="1"/>
  <c r="D16" i="17"/>
  <c r="D65" i="15"/>
  <c r="D197" i="9"/>
  <c r="D21" i="17"/>
  <c r="D125" i="15"/>
  <c r="D15" i="17"/>
  <c r="D53" i="15"/>
  <c r="P194" i="9"/>
  <c r="P89" i="15"/>
  <c r="D195" i="9"/>
  <c r="D19" i="17"/>
  <c r="D101" i="15"/>
  <c r="P41" i="15"/>
  <c r="Q194" i="9"/>
  <c r="Q89" i="15"/>
  <c r="D32" i="11"/>
  <c r="L18" i="15"/>
  <c r="C73" i="15"/>
  <c r="C16" i="15" s="1"/>
  <c r="C30" i="11" s="1"/>
  <c r="D22" i="23" s="1"/>
  <c r="E22" i="23" s="1"/>
  <c r="D17" i="17"/>
  <c r="D77" i="15"/>
  <c r="Q41" i="15"/>
  <c r="D13" i="17"/>
  <c r="D29" i="15"/>
  <c r="D58" i="15"/>
  <c r="D233" i="9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H5" i="6"/>
  <c r="H183" i="9" s="1"/>
  <c r="H6" i="6"/>
  <c r="D102" i="6"/>
  <c r="C5" i="5"/>
  <c r="C182" i="9" s="1"/>
  <c r="M13" i="5"/>
  <c r="H5" i="5"/>
  <c r="H182" i="9" s="1"/>
  <c r="J99" i="5"/>
  <c r="H6" i="4"/>
  <c r="J32" i="4"/>
  <c r="N32" i="4" s="1"/>
  <c r="N42" i="3"/>
  <c r="M72" i="3"/>
  <c r="N47" i="3"/>
  <c r="F30" i="3"/>
  <c r="F90" i="3" s="1"/>
  <c r="N31" i="3"/>
  <c r="D33" i="3"/>
  <c r="D69" i="17" s="1"/>
  <c r="L69" i="17" s="1"/>
  <c r="M42" i="3"/>
  <c r="M100" i="2"/>
  <c r="M48" i="2"/>
  <c r="L32" i="2"/>
  <c r="H6" i="2"/>
  <c r="M96" i="2"/>
  <c r="M71" i="2"/>
  <c r="P81" i="9"/>
  <c r="Q81" i="9"/>
  <c r="D42" i="10"/>
  <c r="C42" i="10"/>
  <c r="L42" i="10" s="1"/>
  <c r="N100" i="2"/>
  <c r="P13" i="9"/>
  <c r="Q13" i="9"/>
  <c r="D32" i="2"/>
  <c r="D72" i="10"/>
  <c r="M72" i="10" s="1"/>
  <c r="D50" i="10"/>
  <c r="M50" i="10" s="1"/>
  <c r="D13" i="10"/>
  <c r="M13" i="10" s="1"/>
  <c r="M15" i="11"/>
  <c r="I102" i="6"/>
  <c r="E69" i="17"/>
  <c r="M69" i="17" s="1"/>
  <c r="E5" i="4"/>
  <c r="E181" i="9" s="1"/>
  <c r="M30" i="3"/>
  <c r="M30" i="11"/>
  <c r="M32" i="11"/>
  <c r="M145" i="9"/>
  <c r="M27" i="11"/>
  <c r="I93" i="5"/>
  <c r="M93" i="5" s="1"/>
  <c r="D95" i="2"/>
  <c r="D102" i="2" s="1"/>
  <c r="M14" i="11"/>
  <c r="D32" i="4"/>
  <c r="M32" i="4" s="1"/>
  <c r="M11" i="11"/>
  <c r="L89" i="4" l="1"/>
  <c r="D9" i="23"/>
  <c r="E9" i="23" s="1"/>
  <c r="D10" i="23"/>
  <c r="E10" i="23" s="1"/>
  <c r="S18" i="17"/>
  <c r="T18" i="17" s="1"/>
  <c r="P16" i="17"/>
  <c r="Q16" i="17"/>
  <c r="S81" i="9"/>
  <c r="P15" i="17"/>
  <c r="S13" i="9"/>
  <c r="P13" i="17"/>
  <c r="Q13" i="17"/>
  <c r="S14" i="17"/>
  <c r="T14" i="17" s="1"/>
  <c r="M102" i="7"/>
  <c r="I6" i="6"/>
  <c r="M102" i="6"/>
  <c r="D6" i="4"/>
  <c r="M102" i="4"/>
  <c r="S30" i="17"/>
  <c r="Q59" i="17"/>
  <c r="M59" i="17"/>
  <c r="R59" i="17"/>
  <c r="L58" i="17"/>
  <c r="S59" i="17"/>
  <c r="S40" i="17"/>
  <c r="P14" i="11"/>
  <c r="D39" i="10"/>
  <c r="M42" i="10"/>
  <c r="Q25" i="17"/>
  <c r="L25" i="17"/>
  <c r="P25" i="17"/>
  <c r="L31" i="17"/>
  <c r="Q31" i="17"/>
  <c r="I72" i="16"/>
  <c r="M70" i="16"/>
  <c r="D48" i="16"/>
  <c r="L40" i="16"/>
  <c r="D19" i="16"/>
  <c r="L108" i="16"/>
  <c r="H197" i="17"/>
  <c r="C100" i="2"/>
  <c r="C5" i="4"/>
  <c r="C181" i="9" s="1"/>
  <c r="L100" i="4"/>
  <c r="I195" i="17"/>
  <c r="M195" i="17" s="1"/>
  <c r="D184" i="17"/>
  <c r="L184" i="17" s="1"/>
  <c r="D195" i="17"/>
  <c r="L195" i="17" s="1"/>
  <c r="D168" i="17"/>
  <c r="L168" i="17" s="1"/>
  <c r="L14" i="15"/>
  <c r="E132" i="16"/>
  <c r="M132" i="16" s="1"/>
  <c r="E115" i="16"/>
  <c r="M115" i="16" s="1"/>
  <c r="E102" i="4"/>
  <c r="E6" i="4" s="1"/>
  <c r="E7" i="4" s="1"/>
  <c r="E103" i="17"/>
  <c r="M103" i="17" s="1"/>
  <c r="E49" i="15"/>
  <c r="E14" i="15" s="1"/>
  <c r="M14" i="15" s="1"/>
  <c r="D76" i="17"/>
  <c r="L76" i="17" s="1"/>
  <c r="D90" i="3"/>
  <c r="M90" i="3" s="1"/>
  <c r="E90" i="3"/>
  <c r="D42" i="17"/>
  <c r="D89" i="2"/>
  <c r="D5" i="2" s="1"/>
  <c r="D29" i="17"/>
  <c r="D88" i="16"/>
  <c r="D27" i="17"/>
  <c r="D64" i="16"/>
  <c r="L64" i="16" s="1"/>
  <c r="D52" i="16"/>
  <c r="D24" i="17"/>
  <c r="D28" i="16"/>
  <c r="E102" i="2"/>
  <c r="E6" i="2" s="1"/>
  <c r="E7" i="2" s="1"/>
  <c r="E113" i="16"/>
  <c r="M113" i="16" s="1"/>
  <c r="E58" i="17"/>
  <c r="D37" i="15"/>
  <c r="D13" i="15" s="1"/>
  <c r="D27" i="11" s="1"/>
  <c r="D139" i="17"/>
  <c r="L139" i="17" s="1"/>
  <c r="D6" i="5"/>
  <c r="I132" i="17"/>
  <c r="M132" i="17" s="1"/>
  <c r="I32" i="16"/>
  <c r="J139" i="17"/>
  <c r="J116" i="16"/>
  <c r="J120" i="16" s="1"/>
  <c r="J20" i="16" s="1"/>
  <c r="H22" i="16"/>
  <c r="H9" i="16" s="1"/>
  <c r="J96" i="17"/>
  <c r="J89" i="4"/>
  <c r="D96" i="17"/>
  <c r="L96" i="17" s="1"/>
  <c r="D89" i="4"/>
  <c r="H61" i="15"/>
  <c r="H15" i="15" s="1"/>
  <c r="H29" i="11" s="1"/>
  <c r="E227" i="9"/>
  <c r="D114" i="17"/>
  <c r="L114" i="17" s="1"/>
  <c r="E112" i="17"/>
  <c r="M112" i="17" s="1"/>
  <c r="C61" i="15"/>
  <c r="C15" i="15" s="1"/>
  <c r="D28" i="11"/>
  <c r="E76" i="17"/>
  <c r="M76" i="17" s="1"/>
  <c r="F68" i="17"/>
  <c r="N68" i="17" s="1"/>
  <c r="F43" i="15"/>
  <c r="F49" i="15" s="1"/>
  <c r="F14" i="15" s="1"/>
  <c r="F222" i="9"/>
  <c r="F227" i="9" s="1"/>
  <c r="F61" i="15"/>
  <c r="F15" i="15" s="1"/>
  <c r="D65" i="16"/>
  <c r="L65" i="16" s="1"/>
  <c r="D54" i="17"/>
  <c r="H19" i="11"/>
  <c r="D5" i="7"/>
  <c r="I21" i="17"/>
  <c r="I22" i="17" s="1"/>
  <c r="I125" i="15"/>
  <c r="S194" i="9"/>
  <c r="S89" i="15"/>
  <c r="T29" i="9"/>
  <c r="S41" i="15"/>
  <c r="D109" i="15"/>
  <c r="D19" i="15" s="1"/>
  <c r="P65" i="15"/>
  <c r="P73" i="15" s="1"/>
  <c r="D22" i="17"/>
  <c r="D73" i="15"/>
  <c r="D16" i="15" s="1"/>
  <c r="P29" i="15"/>
  <c r="Q29" i="15"/>
  <c r="Q65" i="15"/>
  <c r="Q73" i="15" s="1"/>
  <c r="P53" i="15"/>
  <c r="D133" i="15"/>
  <c r="D21" i="15" s="1"/>
  <c r="D35" i="11" s="1"/>
  <c r="D85" i="15"/>
  <c r="D17" i="15" s="1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I171" i="9"/>
  <c r="I197" i="9"/>
  <c r="H7" i="6"/>
  <c r="I7" i="6"/>
  <c r="D6" i="6"/>
  <c r="D5" i="6"/>
  <c r="F5" i="3"/>
  <c r="F180" i="9" s="1"/>
  <c r="D5" i="5"/>
  <c r="D182" i="9" s="1"/>
  <c r="J102" i="5"/>
  <c r="L5" i="5"/>
  <c r="H7" i="5"/>
  <c r="H5" i="4"/>
  <c r="H7" i="4" s="1"/>
  <c r="H5" i="3"/>
  <c r="H180" i="9" s="1"/>
  <c r="N100" i="3"/>
  <c r="F6" i="3"/>
  <c r="I6" i="2"/>
  <c r="M99" i="2"/>
  <c r="M95" i="2"/>
  <c r="M32" i="2"/>
  <c r="C5" i="2"/>
  <c r="C179" i="9" s="1"/>
  <c r="V120" i="9"/>
  <c r="T120" i="9"/>
  <c r="N99" i="2"/>
  <c r="V29" i="9"/>
  <c r="H5" i="2"/>
  <c r="H179" i="9" s="1"/>
  <c r="L89" i="2"/>
  <c r="I168" i="9"/>
  <c r="I9" i="9" s="1"/>
  <c r="I5" i="4"/>
  <c r="E106" i="9"/>
  <c r="E129" i="9"/>
  <c r="E32" i="9"/>
  <c r="D96" i="10"/>
  <c r="D98" i="10" s="1"/>
  <c r="D168" i="9"/>
  <c r="J5" i="4" l="1"/>
  <c r="J181" i="9" s="1"/>
  <c r="N89" i="4"/>
  <c r="I36" i="16"/>
  <c r="I13" i="16" s="1"/>
  <c r="M13" i="16" s="1"/>
  <c r="M32" i="16"/>
  <c r="S16" i="17"/>
  <c r="S13" i="17"/>
  <c r="D5" i="4"/>
  <c r="D181" i="9" s="1"/>
  <c r="M89" i="4"/>
  <c r="Q58" i="17"/>
  <c r="M58" i="17"/>
  <c r="R58" i="17"/>
  <c r="P54" i="17"/>
  <c r="L54" i="17"/>
  <c r="Q54" i="17"/>
  <c r="Q42" i="17"/>
  <c r="P42" i="17"/>
  <c r="L42" i="17"/>
  <c r="P29" i="17"/>
  <c r="L29" i="17"/>
  <c r="Q29" i="17"/>
  <c r="S29" i="17" s="1"/>
  <c r="P27" i="17"/>
  <c r="Q27" i="17"/>
  <c r="L27" i="17"/>
  <c r="D26" i="17"/>
  <c r="L26" i="17" s="1"/>
  <c r="S25" i="17"/>
  <c r="L24" i="17"/>
  <c r="Q24" i="17"/>
  <c r="P24" i="17"/>
  <c r="D9" i="10"/>
  <c r="D96" i="16"/>
  <c r="L88" i="16"/>
  <c r="L19" i="16"/>
  <c r="D16" i="11"/>
  <c r="L16" i="11" s="1"/>
  <c r="P19" i="16"/>
  <c r="D36" i="16"/>
  <c r="L28" i="16"/>
  <c r="D14" i="16"/>
  <c r="L48" i="16"/>
  <c r="D60" i="16"/>
  <c r="L52" i="16"/>
  <c r="I16" i="16"/>
  <c r="M72" i="16"/>
  <c r="C137" i="16"/>
  <c r="L100" i="2"/>
  <c r="C138" i="15"/>
  <c r="C99" i="2"/>
  <c r="C139" i="16"/>
  <c r="C140" i="15"/>
  <c r="C99" i="4"/>
  <c r="L99" i="4" s="1"/>
  <c r="J141" i="17"/>
  <c r="J143" i="17"/>
  <c r="J103" i="17"/>
  <c r="E28" i="11"/>
  <c r="M28" i="11" s="1"/>
  <c r="D72" i="16"/>
  <c r="F76" i="17"/>
  <c r="N76" i="17" s="1"/>
  <c r="I197" i="17"/>
  <c r="M197" i="17" s="1"/>
  <c r="D197" i="17"/>
  <c r="L197" i="17" s="1"/>
  <c r="D170" i="17"/>
  <c r="L170" i="17" s="1"/>
  <c r="D141" i="17"/>
  <c r="L141" i="17" s="1"/>
  <c r="E114" i="17"/>
  <c r="M114" i="17" s="1"/>
  <c r="D103" i="17"/>
  <c r="L103" i="17" s="1"/>
  <c r="D5" i="3"/>
  <c r="D180" i="9" s="1"/>
  <c r="E60" i="17"/>
  <c r="M60" i="17" s="1"/>
  <c r="D60" i="17"/>
  <c r="L60" i="17" s="1"/>
  <c r="D49" i="17"/>
  <c r="L49" i="17" s="1"/>
  <c r="L13" i="15"/>
  <c r="I139" i="17"/>
  <c r="M139" i="17" s="1"/>
  <c r="J6" i="5"/>
  <c r="I61" i="15"/>
  <c r="I15" i="15" s="1"/>
  <c r="I29" i="11" s="1"/>
  <c r="J61" i="15"/>
  <c r="J15" i="15" s="1"/>
  <c r="D138" i="16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D31" i="11"/>
  <c r="L17" i="15"/>
  <c r="D33" i="11"/>
  <c r="L19" i="15"/>
  <c r="D30" i="11"/>
  <c r="L16" i="15"/>
  <c r="V81" i="9"/>
  <c r="T16" i="17"/>
  <c r="S65" i="15"/>
  <c r="S73" i="15" s="1"/>
  <c r="T13" i="9"/>
  <c r="S29" i="15"/>
  <c r="E195" i="9"/>
  <c r="E19" i="17"/>
  <c r="E101" i="15"/>
  <c r="Q32" i="9"/>
  <c r="S32" i="9" s="1"/>
  <c r="E15" i="17"/>
  <c r="E53" i="15"/>
  <c r="E61" i="15" s="1"/>
  <c r="E15" i="15" s="1"/>
  <c r="E17" i="17"/>
  <c r="E77" i="15"/>
  <c r="I133" i="15"/>
  <c r="I21" i="15" s="1"/>
  <c r="H7" i="7"/>
  <c r="C29" i="11"/>
  <c r="D21" i="23" s="1"/>
  <c r="M5" i="6"/>
  <c r="D183" i="9"/>
  <c r="D7" i="6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M89" i="2"/>
  <c r="F205" i="9"/>
  <c r="F198" i="9"/>
  <c r="F200" i="9" s="1"/>
  <c r="D235" i="9"/>
  <c r="M5" i="2"/>
  <c r="D179" i="9"/>
  <c r="T81" i="9"/>
  <c r="I6" i="7"/>
  <c r="M6" i="6"/>
  <c r="F7" i="3"/>
  <c r="M102" i="2"/>
  <c r="I102" i="5"/>
  <c r="M102" i="5" s="1"/>
  <c r="D7" i="5"/>
  <c r="M5" i="5"/>
  <c r="I6" i="4"/>
  <c r="M6" i="4" s="1"/>
  <c r="M100" i="3"/>
  <c r="I6" i="3"/>
  <c r="N90" i="3"/>
  <c r="E5" i="3"/>
  <c r="E180" i="9" s="1"/>
  <c r="E205" i="9" s="1"/>
  <c r="E208" i="9" s="1"/>
  <c r="H7" i="3"/>
  <c r="N99" i="3"/>
  <c r="D6" i="2"/>
  <c r="D7" i="2" s="1"/>
  <c r="Q106" i="9"/>
  <c r="Q129" i="9"/>
  <c r="I7" i="2"/>
  <c r="N102" i="2"/>
  <c r="J6" i="2"/>
  <c r="V13" i="9"/>
  <c r="H7" i="2"/>
  <c r="L5" i="2"/>
  <c r="D9" i="9"/>
  <c r="M168" i="9"/>
  <c r="S54" i="17" l="1"/>
  <c r="L29" i="11"/>
  <c r="N5" i="4"/>
  <c r="M36" i="16"/>
  <c r="D7" i="4"/>
  <c r="E21" i="23"/>
  <c r="M19" i="17"/>
  <c r="Q19" i="17"/>
  <c r="M17" i="17"/>
  <c r="Q17" i="17"/>
  <c r="M15" i="17"/>
  <c r="Q15" i="17"/>
  <c r="S15" i="17" s="1"/>
  <c r="P16" i="11"/>
  <c r="S42" i="17"/>
  <c r="Q37" i="17"/>
  <c r="S27" i="17"/>
  <c r="Q26" i="17"/>
  <c r="D33" i="17"/>
  <c r="L33" i="17" s="1"/>
  <c r="S24" i="17"/>
  <c r="D16" i="16"/>
  <c r="D13" i="11" s="1"/>
  <c r="L13" i="11" s="1"/>
  <c r="L72" i="16"/>
  <c r="M16" i="16"/>
  <c r="I13" i="11"/>
  <c r="M13" i="11" s="1"/>
  <c r="D13" i="16"/>
  <c r="L36" i="16"/>
  <c r="L14" i="16"/>
  <c r="P14" i="16"/>
  <c r="D11" i="11"/>
  <c r="L11" i="11" s="1"/>
  <c r="I10" i="11"/>
  <c r="M10" i="11" s="1"/>
  <c r="I120" i="16"/>
  <c r="I20" i="16" s="1"/>
  <c r="M116" i="16"/>
  <c r="D15" i="16"/>
  <c r="L60" i="16"/>
  <c r="D144" i="16"/>
  <c r="L138" i="16"/>
  <c r="D18" i="16"/>
  <c r="L96" i="16"/>
  <c r="L6" i="5"/>
  <c r="C102" i="2"/>
  <c r="L99" i="2"/>
  <c r="C58" i="17"/>
  <c r="C113" i="16"/>
  <c r="C115" i="16"/>
  <c r="C112" i="17"/>
  <c r="C114" i="17" s="1"/>
  <c r="C116" i="17" s="1"/>
  <c r="C102" i="4"/>
  <c r="L102" i="4" s="1"/>
  <c r="J116" i="17"/>
  <c r="M5" i="3"/>
  <c r="F89" i="17"/>
  <c r="N89" i="17" s="1"/>
  <c r="E62" i="17"/>
  <c r="M62" i="17" s="1"/>
  <c r="I141" i="17"/>
  <c r="D143" i="17"/>
  <c r="L143" i="17" s="1"/>
  <c r="D116" i="17"/>
  <c r="L116" i="17" s="1"/>
  <c r="E116" i="17"/>
  <c r="M116" i="17" s="1"/>
  <c r="E138" i="16"/>
  <c r="D99" i="3"/>
  <c r="D85" i="17" s="1"/>
  <c r="L85" i="17" s="1"/>
  <c r="D62" i="17"/>
  <c r="L62" i="17" s="1"/>
  <c r="J18" i="11"/>
  <c r="N18" i="11" s="1"/>
  <c r="J17" i="11"/>
  <c r="J22" i="16"/>
  <c r="F37" i="11"/>
  <c r="F41" i="11" s="1"/>
  <c r="N6" i="5"/>
  <c r="J7" i="5"/>
  <c r="I18" i="11"/>
  <c r="I198" i="9"/>
  <c r="I200" i="9" s="1"/>
  <c r="N15" i="15"/>
  <c r="J29" i="11"/>
  <c r="J37" i="11" s="1"/>
  <c r="J23" i="15"/>
  <c r="N23" i="15" s="1"/>
  <c r="D22" i="15"/>
  <c r="I35" i="11"/>
  <c r="I23" i="15"/>
  <c r="I9" i="15" s="1"/>
  <c r="E29" i="11"/>
  <c r="M29" i="11" s="1"/>
  <c r="M15" i="15"/>
  <c r="Q101" i="15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Q195" i="9"/>
  <c r="M9" i="9"/>
  <c r="I7" i="7"/>
  <c r="M6" i="7"/>
  <c r="M6" i="2"/>
  <c r="I6" i="5"/>
  <c r="J6" i="4"/>
  <c r="M99" i="3"/>
  <c r="H168" i="9"/>
  <c r="I7" i="3"/>
  <c r="N102" i="3"/>
  <c r="J6" i="3"/>
  <c r="N6" i="2"/>
  <c r="J7" i="2"/>
  <c r="I39" i="10"/>
  <c r="M39" i="10" s="1"/>
  <c r="C39" i="10"/>
  <c r="L39" i="10" s="1"/>
  <c r="I143" i="17" l="1"/>
  <c r="M143" i="17" s="1"/>
  <c r="M141" i="17"/>
  <c r="C60" i="17"/>
  <c r="C62" i="17" s="1"/>
  <c r="P58" i="17"/>
  <c r="S58" i="17" s="1"/>
  <c r="T58" i="17" s="1"/>
  <c r="D35" i="17"/>
  <c r="P11" i="11"/>
  <c r="L15" i="16"/>
  <c r="D12" i="11"/>
  <c r="L12" i="11" s="1"/>
  <c r="L13" i="16"/>
  <c r="P13" i="16"/>
  <c r="D10" i="11"/>
  <c r="L10" i="11" s="1"/>
  <c r="D21" i="16"/>
  <c r="L21" i="16" s="1"/>
  <c r="L144" i="16"/>
  <c r="E144" i="16"/>
  <c r="M138" i="16"/>
  <c r="L18" i="16"/>
  <c r="D15" i="11"/>
  <c r="L15" i="11" s="1"/>
  <c r="P18" i="16"/>
  <c r="P15" i="11" s="1"/>
  <c r="P16" i="16"/>
  <c r="L16" i="16"/>
  <c r="C6" i="2"/>
  <c r="L102" i="2"/>
  <c r="C6" i="4"/>
  <c r="E99" i="3"/>
  <c r="E102" i="3" s="1"/>
  <c r="D114" i="16"/>
  <c r="D102" i="3"/>
  <c r="D6" i="3" s="1"/>
  <c r="D87" i="17"/>
  <c r="L87" i="17" s="1"/>
  <c r="D23" i="15"/>
  <c r="D9" i="15" s="1"/>
  <c r="D36" i="11"/>
  <c r="H22" i="17"/>
  <c r="I26" i="17"/>
  <c r="M26" i="17" s="1"/>
  <c r="I52" i="16"/>
  <c r="C52" i="16"/>
  <c r="C60" i="16" s="1"/>
  <c r="C15" i="16" s="1"/>
  <c r="C26" i="17"/>
  <c r="J9" i="15"/>
  <c r="I17" i="11"/>
  <c r="J9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T32" i="9"/>
  <c r="S53" i="15"/>
  <c r="V32" i="9"/>
  <c r="H133" i="15"/>
  <c r="H21" i="15" s="1"/>
  <c r="D208" i="9"/>
  <c r="D209" i="9" s="1"/>
  <c r="D206" i="9"/>
  <c r="M6" i="5"/>
  <c r="I7" i="5"/>
  <c r="J7" i="4"/>
  <c r="N6" i="4"/>
  <c r="H9" i="9"/>
  <c r="N6" i="3"/>
  <c r="J7" i="3"/>
  <c r="I96" i="10"/>
  <c r="P13" i="11" l="1"/>
  <c r="P26" i="17"/>
  <c r="S26" i="17" s="1"/>
  <c r="P10" i="11"/>
  <c r="M96" i="10"/>
  <c r="F170" i="9" s="1"/>
  <c r="E21" i="16"/>
  <c r="M21" i="16" s="1"/>
  <c r="M144" i="16"/>
  <c r="D120" i="16"/>
  <c r="L114" i="16"/>
  <c r="I60" i="16"/>
  <c r="M52" i="16"/>
  <c r="H35" i="17"/>
  <c r="L35" i="17" s="1"/>
  <c r="C7" i="2"/>
  <c r="L6" i="2"/>
  <c r="C7" i="4"/>
  <c r="L6" i="4"/>
  <c r="E114" i="16"/>
  <c r="E85" i="17"/>
  <c r="M85" i="17" s="1"/>
  <c r="M102" i="3"/>
  <c r="D37" i="11"/>
  <c r="D89" i="17"/>
  <c r="L89" i="17" s="1"/>
  <c r="I33" i="17"/>
  <c r="M33" i="17" s="1"/>
  <c r="C12" i="11"/>
  <c r="P15" i="16"/>
  <c r="N41" i="11"/>
  <c r="J41" i="11"/>
  <c r="E22" i="15"/>
  <c r="E36" i="11" s="1"/>
  <c r="M36" i="11" s="1"/>
  <c r="D18" i="11"/>
  <c r="L18" i="11" s="1"/>
  <c r="H35" i="11"/>
  <c r="L21" i="15"/>
  <c r="H23" i="15"/>
  <c r="T15" i="17"/>
  <c r="Q145" i="9"/>
  <c r="E21" i="17"/>
  <c r="M9" i="15"/>
  <c r="E168" i="9"/>
  <c r="E171" i="9" s="1"/>
  <c r="E125" i="15"/>
  <c r="E6" i="3"/>
  <c r="E7" i="3" s="1"/>
  <c r="E197" i="9"/>
  <c r="E206" i="9" s="1"/>
  <c r="H200" i="9"/>
  <c r="D7" i="3"/>
  <c r="M6" i="3"/>
  <c r="I9" i="10"/>
  <c r="M9" i="10" s="1"/>
  <c r="P12" i="11" l="1"/>
  <c r="E120" i="16"/>
  <c r="M114" i="16"/>
  <c r="D20" i="16"/>
  <c r="L120" i="16"/>
  <c r="I15" i="16"/>
  <c r="M60" i="16"/>
  <c r="M21" i="17"/>
  <c r="Q21" i="17"/>
  <c r="Q22" i="17" s="1"/>
  <c r="E87" i="17"/>
  <c r="M87" i="17" s="1"/>
  <c r="E89" i="17"/>
  <c r="M89" i="17" s="1"/>
  <c r="E22" i="17"/>
  <c r="M22" i="17" s="1"/>
  <c r="I35" i="17"/>
  <c r="Q197" i="9"/>
  <c r="E18" i="11"/>
  <c r="M18" i="11" s="1"/>
  <c r="N168" i="9"/>
  <c r="E9" i="9"/>
  <c r="N9" i="9" s="1"/>
  <c r="Q125" i="15"/>
  <c r="Q133" i="15" s="1"/>
  <c r="H9" i="15"/>
  <c r="L23" i="15"/>
  <c r="E133" i="15"/>
  <c r="E21" i="15" s="1"/>
  <c r="H37" i="11"/>
  <c r="E198" i="9"/>
  <c r="E209" i="9"/>
  <c r="Q168" i="9"/>
  <c r="L20" i="16" l="1"/>
  <c r="D22" i="16"/>
  <c r="D17" i="11"/>
  <c r="M15" i="16"/>
  <c r="I12" i="11"/>
  <c r="I22" i="16"/>
  <c r="I9" i="16" s="1"/>
  <c r="E20" i="16"/>
  <c r="M120" i="16"/>
  <c r="E35" i="17"/>
  <c r="M35" i="17" s="1"/>
  <c r="E200" i="9"/>
  <c r="Q9" i="9"/>
  <c r="E35" i="11"/>
  <c r="R35" i="11" s="1"/>
  <c r="E23" i="15"/>
  <c r="E9" i="15" s="1"/>
  <c r="M21" i="15"/>
  <c r="H41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28" i="11"/>
  <c r="P29" i="11"/>
  <c r="R8" i="10"/>
  <c r="R10" i="5"/>
  <c r="R82" i="5" s="1"/>
  <c r="P34" i="11"/>
  <c r="R8" i="9"/>
  <c r="R10" i="4" s="1"/>
  <c r="P8" i="10"/>
  <c r="P8" i="9"/>
  <c r="P88" i="9" s="1"/>
  <c r="Q8" i="10"/>
  <c r="Q51" i="10" s="1"/>
  <c r="S51" i="10" s="1"/>
  <c r="M20" i="16" l="1"/>
  <c r="E22" i="16"/>
  <c r="E17" i="11"/>
  <c r="E19" i="11" s="1"/>
  <c r="L22" i="16"/>
  <c r="D9" i="16"/>
  <c r="L9" i="16" s="1"/>
  <c r="I19" i="11"/>
  <c r="M12" i="11"/>
  <c r="D19" i="11"/>
  <c r="L17" i="11"/>
  <c r="R10" i="3"/>
  <c r="R98" i="3" s="1"/>
  <c r="R13" i="10"/>
  <c r="P48" i="10"/>
  <c r="P13" i="10"/>
  <c r="Q35" i="11"/>
  <c r="Q37" i="11" s="1"/>
  <c r="Q10" i="5"/>
  <c r="Q82" i="5" s="1"/>
  <c r="Q8" i="16"/>
  <c r="Q13" i="10"/>
  <c r="R88" i="5"/>
  <c r="R87" i="5"/>
  <c r="R86" i="5"/>
  <c r="Q86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M23" i="15"/>
  <c r="R10" i="2"/>
  <c r="E37" i="11"/>
  <c r="M35" i="11"/>
  <c r="Q9" i="15"/>
  <c r="N9" i="15"/>
  <c r="Q8" i="9"/>
  <c r="P57" i="10"/>
  <c r="P15" i="10"/>
  <c r="Q41" i="10"/>
  <c r="Q40" i="10" s="1"/>
  <c r="P10" i="6"/>
  <c r="P76" i="6" s="1"/>
  <c r="Q10" i="3"/>
  <c r="R95" i="3"/>
  <c r="R10" i="6"/>
  <c r="R96" i="6" s="1"/>
  <c r="S32" i="11"/>
  <c r="V32" i="11" s="1"/>
  <c r="S28" i="11"/>
  <c r="T28" i="11" s="1"/>
  <c r="R37" i="11"/>
  <c r="Q68" i="5"/>
  <c r="Q14" i="5"/>
  <c r="Q72" i="5"/>
  <c r="Q98" i="5"/>
  <c r="Q17" i="5"/>
  <c r="Q15" i="5"/>
  <c r="Q38" i="5"/>
  <c r="Q30" i="5"/>
  <c r="Q40" i="5"/>
  <c r="Q57" i="5"/>
  <c r="Q79" i="5"/>
  <c r="Q63" i="5"/>
  <c r="Q78" i="5"/>
  <c r="Q26" i="5"/>
  <c r="Q27" i="5"/>
  <c r="Q60" i="5"/>
  <c r="Q74" i="5"/>
  <c r="Q67" i="5"/>
  <c r="Q13" i="5"/>
  <c r="Q32" i="5"/>
  <c r="Q123" i="17" s="1"/>
  <c r="R21" i="3"/>
  <c r="R79" i="3"/>
  <c r="R69" i="3"/>
  <c r="R47" i="3"/>
  <c r="R73" i="3"/>
  <c r="R55" i="3"/>
  <c r="R40" i="3"/>
  <c r="R61" i="3"/>
  <c r="R35" i="3"/>
  <c r="R29" i="3"/>
  <c r="R101" i="3"/>
  <c r="R24" i="3"/>
  <c r="R17" i="3"/>
  <c r="R51" i="3"/>
  <c r="R25" i="3"/>
  <c r="R49" i="3"/>
  <c r="R15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01" i="9"/>
  <c r="Q42" i="9"/>
  <c r="Q19" i="9"/>
  <c r="Q122" i="9"/>
  <c r="Q86" i="9"/>
  <c r="Q140" i="9"/>
  <c r="Q22" i="9"/>
  <c r="Q127" i="9"/>
  <c r="Q126" i="9"/>
  <c r="Q21" i="9"/>
  <c r="Q48" i="9"/>
  <c r="Q34" i="9"/>
  <c r="Q46" i="9"/>
  <c r="Q123" i="9"/>
  <c r="Q150" i="9"/>
  <c r="Q59" i="9"/>
  <c r="Q66" i="9"/>
  <c r="Q62" i="9"/>
  <c r="Q152" i="9"/>
  <c r="Q99" i="9"/>
  <c r="Q50" i="9"/>
  <c r="Q15" i="9"/>
  <c r="Q79" i="9"/>
  <c r="S79" i="9" s="1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P78" i="6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S50" i="9" s="1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38" i="9"/>
  <c r="P10" i="7"/>
  <c r="Q10" i="2"/>
  <c r="P10" i="2"/>
  <c r="P15" i="9"/>
  <c r="P44" i="9"/>
  <c r="P10" i="5"/>
  <c r="P82" i="5" s="1"/>
  <c r="P107" i="9"/>
  <c r="S107" i="9" s="1"/>
  <c r="T107" i="9" s="1"/>
  <c r="P64" i="9"/>
  <c r="P10" i="3"/>
  <c r="P98" i="3" s="1"/>
  <c r="Q10" i="4"/>
  <c r="S29" i="11"/>
  <c r="P26" i="9"/>
  <c r="R68" i="10"/>
  <c r="P14" i="10"/>
  <c r="R102" i="4"/>
  <c r="R6" i="4" s="1"/>
  <c r="P147" i="9"/>
  <c r="P124" i="9"/>
  <c r="S124" i="9" s="1"/>
  <c r="P143" i="9"/>
  <c r="S143" i="9" s="1"/>
  <c r="P30" i="9"/>
  <c r="P85" i="9"/>
  <c r="P41" i="9"/>
  <c r="S41" i="9" s="1"/>
  <c r="P71" i="10"/>
  <c r="P78" i="10"/>
  <c r="P89" i="9"/>
  <c r="P69" i="10"/>
  <c r="P151" i="9"/>
  <c r="S151" i="9" s="1"/>
  <c r="P53" i="9"/>
  <c r="P86" i="9"/>
  <c r="R89" i="6"/>
  <c r="R5" i="6" s="1"/>
  <c r="R183" i="9" s="1"/>
  <c r="P51" i="9"/>
  <c r="P110" i="9"/>
  <c r="P139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32" i="9"/>
  <c r="R55" i="9"/>
  <c r="R115" i="9"/>
  <c r="R117" i="9"/>
  <c r="R67" i="9"/>
  <c r="R112" i="9"/>
  <c r="P70" i="9"/>
  <c r="S70" i="9" s="1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S35" i="9" s="1"/>
  <c r="P60" i="10"/>
  <c r="R14" i="10"/>
  <c r="P19" i="10"/>
  <c r="P89" i="10"/>
  <c r="P26" i="10"/>
  <c r="P20" i="9"/>
  <c r="S20" i="9" s="1"/>
  <c r="T20" i="9" s="1"/>
  <c r="R48" i="10"/>
  <c r="S30" i="11"/>
  <c r="R77" i="10"/>
  <c r="P101" i="9"/>
  <c r="P42" i="9"/>
  <c r="S42" i="9" s="1"/>
  <c r="P61" i="9"/>
  <c r="S61" i="9" s="1"/>
  <c r="P55" i="9"/>
  <c r="P76" i="9"/>
  <c r="P150" i="9"/>
  <c r="S150" i="9" s="1"/>
  <c r="P154" i="9"/>
  <c r="S154" i="9" s="1"/>
  <c r="P140" i="9"/>
  <c r="P57" i="9"/>
  <c r="P141" i="9"/>
  <c r="P71" i="9"/>
  <c r="S71" i="9" s="1"/>
  <c r="P34" i="9"/>
  <c r="S34" i="9" s="1"/>
  <c r="P40" i="9"/>
  <c r="P78" i="9"/>
  <c r="P137" i="9"/>
  <c r="P125" i="9"/>
  <c r="S125" i="9" s="1"/>
  <c r="P75" i="9"/>
  <c r="S75" i="9" s="1"/>
  <c r="P138" i="9"/>
  <c r="P113" i="9"/>
  <c r="P48" i="9"/>
  <c r="S48" i="9" s="1"/>
  <c r="P127" i="9"/>
  <c r="S127" i="9" s="1"/>
  <c r="T127" i="9" s="1"/>
  <c r="P157" i="9"/>
  <c r="S157" i="9" s="1"/>
  <c r="P95" i="9"/>
  <c r="P73" i="9"/>
  <c r="S73" i="9" s="1"/>
  <c r="P67" i="9"/>
  <c r="P63" i="9"/>
  <c r="S63" i="9" s="1"/>
  <c r="P132" i="9"/>
  <c r="S132" i="9" s="1"/>
  <c r="P99" i="9"/>
  <c r="P155" i="9"/>
  <c r="S155" i="9" s="1"/>
  <c r="P100" i="9"/>
  <c r="P36" i="9"/>
  <c r="P72" i="9"/>
  <c r="P66" i="9"/>
  <c r="P115" i="9"/>
  <c r="P33" i="9"/>
  <c r="V33" i="9" s="1"/>
  <c r="P59" i="9"/>
  <c r="S59" i="9" s="1"/>
  <c r="P126" i="9"/>
  <c r="S126" i="9" s="1"/>
  <c r="P158" i="9"/>
  <c r="S158" i="9" s="1"/>
  <c r="P109" i="9"/>
  <c r="P19" i="9"/>
  <c r="P56" i="9"/>
  <c r="S56" i="9" s="1"/>
  <c r="P54" i="9"/>
  <c r="S54" i="9" s="1"/>
  <c r="P122" i="9"/>
  <c r="S122" i="9" s="1"/>
  <c r="P148" i="9"/>
  <c r="P87" i="9"/>
  <c r="P142" i="9"/>
  <c r="S142" i="9" s="1"/>
  <c r="P131" i="9"/>
  <c r="P45" i="9"/>
  <c r="P152" i="9"/>
  <c r="S152" i="9" s="1"/>
  <c r="P49" i="9"/>
  <c r="S49" i="9" s="1"/>
  <c r="P92" i="9"/>
  <c r="P47" i="9"/>
  <c r="P39" i="9"/>
  <c r="P90" i="9"/>
  <c r="P121" i="9"/>
  <c r="S121" i="9" s="1"/>
  <c r="P111" i="9"/>
  <c r="P21" i="9"/>
  <c r="P27" i="9"/>
  <c r="P16" i="9"/>
  <c r="P65" i="9"/>
  <c r="P37" i="9"/>
  <c r="S37" i="9" s="1"/>
  <c r="P149" i="9"/>
  <c r="S149" i="9" s="1"/>
  <c r="P77" i="9"/>
  <c r="P91" i="9"/>
  <c r="P23" i="9"/>
  <c r="S23" i="9" s="1"/>
  <c r="P102" i="9"/>
  <c r="P68" i="9"/>
  <c r="S68" i="9" s="1"/>
  <c r="P156" i="9"/>
  <c r="S156" i="9" s="1"/>
  <c r="P103" i="9"/>
  <c r="P62" i="9"/>
  <c r="P52" i="9"/>
  <c r="S52" i="9" s="1"/>
  <c r="P46" i="9"/>
  <c r="P136" i="9"/>
  <c r="P97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S43" i="9" s="1"/>
  <c r="P116" i="9"/>
  <c r="S116" i="9" s="1"/>
  <c r="P96" i="9"/>
  <c r="P22" i="9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S70" i="10" s="1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S75" i="10" s="1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S44" i="10" s="1"/>
  <c r="P21" i="10"/>
  <c r="S21" i="10" s="1"/>
  <c r="P91" i="10"/>
  <c r="P86" i="10"/>
  <c r="S86" i="10" s="1"/>
  <c r="P61" i="10"/>
  <c r="V61" i="10" s="1"/>
  <c r="P92" i="10"/>
  <c r="P63" i="10"/>
  <c r="S63" i="10" s="1"/>
  <c r="P74" i="10"/>
  <c r="P59" i="10"/>
  <c r="P64" i="10"/>
  <c r="P32" i="10"/>
  <c r="P58" i="10"/>
  <c r="P66" i="10"/>
  <c r="P20" i="10"/>
  <c r="S20" i="10" s="1"/>
  <c r="P54" i="10"/>
  <c r="P65" i="10"/>
  <c r="S65" i="10" s="1"/>
  <c r="P29" i="10"/>
  <c r="P94" i="10"/>
  <c r="P84" i="10"/>
  <c r="P55" i="10"/>
  <c r="P23" i="10"/>
  <c r="P24" i="10"/>
  <c r="P16" i="10"/>
  <c r="P77" i="10"/>
  <c r="S77" i="10" s="1"/>
  <c r="P37" i="10"/>
  <c r="S37" i="10" s="1"/>
  <c r="T37" i="10" s="1"/>
  <c r="P36" i="10"/>
  <c r="S36" i="10" s="1"/>
  <c r="T36" i="10" s="1"/>
  <c r="P82" i="10"/>
  <c r="P93" i="10"/>
  <c r="P79" i="10"/>
  <c r="S79" i="10" s="1"/>
  <c r="P85" i="10"/>
  <c r="S85" i="10" s="1"/>
  <c r="P95" i="10"/>
  <c r="V95" i="10" s="1"/>
  <c r="P90" i="10"/>
  <c r="S90" i="10" s="1"/>
  <c r="P43" i="10"/>
  <c r="S43" i="10" s="1"/>
  <c r="P83" i="10"/>
  <c r="S83" i="10" s="1"/>
  <c r="P45" i="10"/>
  <c r="P27" i="10"/>
  <c r="P31" i="10"/>
  <c r="P53" i="10"/>
  <c r="P56" i="10"/>
  <c r="P62" i="10"/>
  <c r="S62" i="10" s="1"/>
  <c r="P49" i="10"/>
  <c r="P35" i="10"/>
  <c r="P52" i="10"/>
  <c r="P34" i="10"/>
  <c r="P28" i="10"/>
  <c r="P75" i="10"/>
  <c r="P18" i="10"/>
  <c r="P22" i="10"/>
  <c r="V22" i="10" s="1"/>
  <c r="P17" i="10"/>
  <c r="S17" i="10" s="1"/>
  <c r="P68" i="10"/>
  <c r="P41" i="10"/>
  <c r="P73" i="10"/>
  <c r="P33" i="10"/>
  <c r="S33" i="10" s="1"/>
  <c r="P38" i="10"/>
  <c r="S38" i="10" s="1"/>
  <c r="T38" i="10" s="1"/>
  <c r="Q10" i="6"/>
  <c r="P83" i="9"/>
  <c r="P98" i="9"/>
  <c r="Q14" i="10"/>
  <c r="P84" i="9"/>
  <c r="P104" i="9"/>
  <c r="P123" i="9"/>
  <c r="S123" i="9" s="1"/>
  <c r="P46" i="10"/>
  <c r="P58" i="9"/>
  <c r="S58" i="9" s="1"/>
  <c r="P114" i="9"/>
  <c r="P153" i="9"/>
  <c r="S153" i="9" s="1"/>
  <c r="P70" i="10"/>
  <c r="P60" i="9"/>
  <c r="S60" i="9" s="1"/>
  <c r="P112" i="9"/>
  <c r="S112" i="9" s="1"/>
  <c r="P69" i="9"/>
  <c r="S69" i="9" s="1"/>
  <c r="P18" i="9"/>
  <c r="P17" i="9"/>
  <c r="S17" i="9" s="1"/>
  <c r="P20" i="15"/>
  <c r="P16" i="15"/>
  <c r="P18" i="15"/>
  <c r="P15" i="15"/>
  <c r="R15" i="15"/>
  <c r="R16" i="15"/>
  <c r="R20" i="15"/>
  <c r="R17" i="15"/>
  <c r="R18" i="15"/>
  <c r="R21" i="15"/>
  <c r="R14" i="15"/>
  <c r="R19" i="15"/>
  <c r="R13" i="15"/>
  <c r="S92" i="9" l="1"/>
  <c r="S30" i="9"/>
  <c r="S27" i="9"/>
  <c r="S21" i="9"/>
  <c r="S15" i="9"/>
  <c r="S31" i="10"/>
  <c r="S26" i="10"/>
  <c r="S27" i="10"/>
  <c r="S82" i="10"/>
  <c r="V82" i="10" s="1"/>
  <c r="S84" i="10"/>
  <c r="S94" i="10"/>
  <c r="V94" i="10" s="1"/>
  <c r="S59" i="10"/>
  <c r="S46" i="10"/>
  <c r="S28" i="10"/>
  <c r="T28" i="10" s="1"/>
  <c r="S29" i="10"/>
  <c r="S159" i="9"/>
  <c r="S141" i="9"/>
  <c r="T141" i="9" s="1"/>
  <c r="S78" i="9"/>
  <c r="S72" i="9"/>
  <c r="S65" i="9"/>
  <c r="S51" i="9"/>
  <c r="V51" i="9" s="1"/>
  <c r="S44" i="9"/>
  <c r="S36" i="9"/>
  <c r="S26" i="9"/>
  <c r="S25" i="9"/>
  <c r="S22" i="9"/>
  <c r="S18" i="9"/>
  <c r="S19" i="9"/>
  <c r="S16" i="9"/>
  <c r="S131" i="9"/>
  <c r="V131" i="9" s="1"/>
  <c r="S115" i="9"/>
  <c r="V115" i="9" s="1"/>
  <c r="S39" i="9"/>
  <c r="S66" i="9"/>
  <c r="S67" i="9"/>
  <c r="S40" i="9"/>
  <c r="V40" i="9" s="1"/>
  <c r="S57" i="9"/>
  <c r="S76" i="9"/>
  <c r="V76" i="9" s="1"/>
  <c r="S53" i="9"/>
  <c r="S64" i="9"/>
  <c r="S38" i="9"/>
  <c r="S77" i="9"/>
  <c r="V77" i="9" s="1"/>
  <c r="S62" i="9"/>
  <c r="V62" i="9" s="1"/>
  <c r="S74" i="9"/>
  <c r="V74" i="9" s="1"/>
  <c r="S46" i="9"/>
  <c r="S47" i="9"/>
  <c r="S45" i="9"/>
  <c r="V45" i="9" s="1"/>
  <c r="S55" i="9"/>
  <c r="S89" i="10"/>
  <c r="S53" i="10"/>
  <c r="S52" i="10"/>
  <c r="S69" i="10"/>
  <c r="S45" i="10"/>
  <c r="S48" i="10"/>
  <c r="S41" i="10"/>
  <c r="S35" i="10"/>
  <c r="S16" i="10"/>
  <c r="S19" i="10"/>
  <c r="T19" i="10" s="1"/>
  <c r="S18" i="10"/>
  <c r="S15" i="10"/>
  <c r="T15" i="10" s="1"/>
  <c r="S14" i="10"/>
  <c r="S13" i="10"/>
  <c r="S147" i="9"/>
  <c r="V148" i="9"/>
  <c r="S148" i="9"/>
  <c r="M22" i="16"/>
  <c r="E9" i="16"/>
  <c r="D41" i="11"/>
  <c r="L19" i="11"/>
  <c r="R84" i="3"/>
  <c r="R72" i="17" s="1"/>
  <c r="R66" i="3"/>
  <c r="R48" i="3"/>
  <c r="R62" i="3"/>
  <c r="R56" i="3"/>
  <c r="R54" i="3"/>
  <c r="R82" i="3"/>
  <c r="R74" i="3"/>
  <c r="Q89" i="5"/>
  <c r="Q5" i="5" s="1"/>
  <c r="Q182" i="9" s="1"/>
  <c r="Q56" i="5"/>
  <c r="Q35" i="5"/>
  <c r="Q65" i="5"/>
  <c r="Q69" i="5"/>
  <c r="Q47" i="5"/>
  <c r="Q18" i="5"/>
  <c r="Q50" i="5"/>
  <c r="Q24" i="5"/>
  <c r="Q70" i="5"/>
  <c r="Q88" i="5"/>
  <c r="R93" i="3"/>
  <c r="R34" i="3"/>
  <c r="R46" i="3"/>
  <c r="R37" i="3"/>
  <c r="R76" i="3"/>
  <c r="R71" i="3"/>
  <c r="R70" i="3"/>
  <c r="R20" i="3"/>
  <c r="R44" i="3"/>
  <c r="R50" i="3"/>
  <c r="Q102" i="5"/>
  <c r="Q6" i="5" s="1"/>
  <c r="Q7" i="5" s="1"/>
  <c r="Q54" i="5"/>
  <c r="Q58" i="5"/>
  <c r="Q16" i="5"/>
  <c r="Q42" i="5"/>
  <c r="Q73" i="5"/>
  <c r="Q80" i="5"/>
  <c r="Q93" i="5"/>
  <c r="Q19" i="5"/>
  <c r="Q64" i="5"/>
  <c r="R102" i="3"/>
  <c r="R6" i="3" s="1"/>
  <c r="Q87" i="5"/>
  <c r="R94" i="3"/>
  <c r="R31" i="3"/>
  <c r="R26" i="3"/>
  <c r="R28" i="3"/>
  <c r="R68" i="3"/>
  <c r="R57" i="3"/>
  <c r="R80" i="3"/>
  <c r="R64" i="3"/>
  <c r="R43" i="3"/>
  <c r="R53" i="3"/>
  <c r="Q81" i="5"/>
  <c r="Q76" i="5"/>
  <c r="Q45" i="5"/>
  <c r="Q37" i="5"/>
  <c r="Q33" i="5"/>
  <c r="Q77" i="5"/>
  <c r="Q101" i="5"/>
  <c r="Q55" i="5"/>
  <c r="Q71" i="5"/>
  <c r="Q36" i="5"/>
  <c r="R99" i="3"/>
  <c r="R85" i="3"/>
  <c r="R96" i="3"/>
  <c r="R58" i="3"/>
  <c r="R42" i="3"/>
  <c r="R75" i="3"/>
  <c r="R41" i="3"/>
  <c r="R18" i="3"/>
  <c r="R36" i="3"/>
  <c r="R19" i="3"/>
  <c r="R22" i="3"/>
  <c r="Q29" i="5"/>
  <c r="Q122" i="17" s="1"/>
  <c r="Q25" i="5"/>
  <c r="Q99" i="5"/>
  <c r="Q48" i="5"/>
  <c r="Q49" i="5"/>
  <c r="Q20" i="5"/>
  <c r="Q23" i="5"/>
  <c r="Q94" i="5"/>
  <c r="Q43" i="5"/>
  <c r="R33" i="3"/>
  <c r="R69" i="17" s="1"/>
  <c r="Q83" i="5"/>
  <c r="Q126" i="17" s="1"/>
  <c r="P28" i="16"/>
  <c r="R72" i="3"/>
  <c r="R63" i="3"/>
  <c r="R97" i="3"/>
  <c r="R77" i="3"/>
  <c r="R16" i="3"/>
  <c r="R27" i="3"/>
  <c r="R81" i="3"/>
  <c r="R52" i="3"/>
  <c r="R59" i="3"/>
  <c r="Q46" i="5"/>
  <c r="Q100" i="5"/>
  <c r="Q141" i="15" s="1"/>
  <c r="Q51" i="5"/>
  <c r="Q34" i="5"/>
  <c r="Q52" i="5"/>
  <c r="Q75" i="5"/>
  <c r="Q95" i="5"/>
  <c r="Q135" i="17" s="1"/>
  <c r="Q53" i="5"/>
  <c r="Q21" i="5"/>
  <c r="R30" i="3"/>
  <c r="R68" i="17" s="1"/>
  <c r="Q85" i="5"/>
  <c r="R100" i="3"/>
  <c r="R138" i="16" s="1"/>
  <c r="R65" i="3"/>
  <c r="R39" i="3"/>
  <c r="R67" i="3"/>
  <c r="R23" i="3"/>
  <c r="R45" i="3"/>
  <c r="R78" i="3"/>
  <c r="R60" i="3"/>
  <c r="R38" i="3"/>
  <c r="Q44" i="5"/>
  <c r="Q61" i="5"/>
  <c r="Q59" i="5"/>
  <c r="Q96" i="5"/>
  <c r="Q39" i="5"/>
  <c r="Q22" i="5"/>
  <c r="Q66" i="5"/>
  <c r="Q41" i="5"/>
  <c r="Q62" i="5"/>
  <c r="R13" i="3"/>
  <c r="R67" i="17" s="1"/>
  <c r="R87" i="3"/>
  <c r="R73" i="17" s="1"/>
  <c r="Q84" i="5"/>
  <c r="R28" i="16"/>
  <c r="V123" i="9"/>
  <c r="R47" i="10"/>
  <c r="Q52" i="3"/>
  <c r="Q98" i="3"/>
  <c r="V82" i="5"/>
  <c r="R100" i="17"/>
  <c r="R104" i="15"/>
  <c r="R105" i="17"/>
  <c r="R31" i="16"/>
  <c r="R92" i="15"/>
  <c r="R99" i="17"/>
  <c r="R78" i="17"/>
  <c r="R30" i="16"/>
  <c r="P85" i="3"/>
  <c r="S85" i="3" s="1"/>
  <c r="P94" i="3"/>
  <c r="P93" i="3"/>
  <c r="R103" i="15"/>
  <c r="R124" i="16"/>
  <c r="Q67" i="10"/>
  <c r="Q76" i="16" s="1"/>
  <c r="Q84" i="16" s="1"/>
  <c r="V28" i="10"/>
  <c r="Q24" i="3"/>
  <c r="V164" i="9"/>
  <c r="Q50" i="3"/>
  <c r="Q124" i="16"/>
  <c r="Q85" i="3"/>
  <c r="Q94" i="3"/>
  <c r="Q93" i="3"/>
  <c r="Q28" i="16"/>
  <c r="Q15" i="16"/>
  <c r="S15" i="16" s="1"/>
  <c r="Q19" i="16"/>
  <c r="S19" i="16" s="1"/>
  <c r="Q17" i="16"/>
  <c r="S17" i="16" s="1"/>
  <c r="Q14" i="16"/>
  <c r="S14" i="16" s="1"/>
  <c r="Q18" i="16"/>
  <c r="S18" i="16" s="1"/>
  <c r="Q13" i="16"/>
  <c r="S13" i="16" s="1"/>
  <c r="Q16" i="16"/>
  <c r="S16" i="16" s="1"/>
  <c r="R127" i="17"/>
  <c r="R105" i="15"/>
  <c r="Q105" i="15"/>
  <c r="Q127" i="17"/>
  <c r="Q88" i="7"/>
  <c r="Q86" i="7"/>
  <c r="P88" i="7"/>
  <c r="P86" i="7"/>
  <c r="R88" i="7"/>
  <c r="R86" i="7"/>
  <c r="Q85" i="7"/>
  <c r="Q83" i="7"/>
  <c r="Q94" i="7"/>
  <c r="Q93" i="7"/>
  <c r="P94" i="7"/>
  <c r="P85" i="7"/>
  <c r="P83" i="7"/>
  <c r="P93" i="7"/>
  <c r="R94" i="7"/>
  <c r="R85" i="7"/>
  <c r="R83" i="7"/>
  <c r="R93" i="7"/>
  <c r="R25" i="6"/>
  <c r="P53" i="6"/>
  <c r="P73" i="6"/>
  <c r="R54" i="6"/>
  <c r="R76" i="6"/>
  <c r="P96" i="6"/>
  <c r="P65" i="6"/>
  <c r="P52" i="6"/>
  <c r="P27" i="6"/>
  <c r="P72" i="6"/>
  <c r="P101" i="6"/>
  <c r="R65" i="6"/>
  <c r="R70" i="6"/>
  <c r="R55" i="6"/>
  <c r="P80" i="6"/>
  <c r="R102" i="6"/>
  <c r="R6" i="6" s="1"/>
  <c r="R7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149" i="17"/>
  <c r="P74" i="6"/>
  <c r="R13" i="6"/>
  <c r="R148" i="17" s="1"/>
  <c r="R100" i="6"/>
  <c r="R141" i="16" s="1"/>
  <c r="P66" i="6"/>
  <c r="Q88" i="6"/>
  <c r="Q87" i="6"/>
  <c r="Q84" i="6"/>
  <c r="Q82" i="6"/>
  <c r="Q85" i="6"/>
  <c r="Q83" i="6"/>
  <c r="Q86" i="6"/>
  <c r="P67" i="6"/>
  <c r="P71" i="6"/>
  <c r="P26" i="6"/>
  <c r="R59" i="6"/>
  <c r="R95" i="6"/>
  <c r="R31" i="6"/>
  <c r="R66" i="6"/>
  <c r="R99" i="6"/>
  <c r="R51" i="6"/>
  <c r="R69" i="6"/>
  <c r="R97" i="6"/>
  <c r="R64" i="6"/>
  <c r="R74" i="6"/>
  <c r="R77" i="6"/>
  <c r="R57" i="6"/>
  <c r="P97" i="6"/>
  <c r="P57" i="6"/>
  <c r="S57" i="6" s="1"/>
  <c r="P14" i="6"/>
  <c r="P149" i="17"/>
  <c r="P50" i="6"/>
  <c r="P61" i="6"/>
  <c r="S61" i="6" s="1"/>
  <c r="P25" i="6"/>
  <c r="P54" i="6"/>
  <c r="P24" i="6"/>
  <c r="P60" i="6"/>
  <c r="S60" i="6" s="1"/>
  <c r="P94" i="6"/>
  <c r="R150" i="17"/>
  <c r="R78" i="6"/>
  <c r="R71" i="6"/>
  <c r="R27" i="6"/>
  <c r="R75" i="6"/>
  <c r="R24" i="6"/>
  <c r="R50" i="6"/>
  <c r="R94" i="6"/>
  <c r="R98" i="6"/>
  <c r="R61" i="6"/>
  <c r="R81" i="6"/>
  <c r="R93" i="6"/>
  <c r="R67" i="6"/>
  <c r="P69" i="6"/>
  <c r="P95" i="6"/>
  <c r="P150" i="17"/>
  <c r="P58" i="6"/>
  <c r="P49" i="6"/>
  <c r="P28" i="6"/>
  <c r="P98" i="6"/>
  <c r="P51" i="6"/>
  <c r="P64" i="6"/>
  <c r="P79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26" i="6"/>
  <c r="R56" i="6"/>
  <c r="P63" i="6"/>
  <c r="P59" i="6"/>
  <c r="P56" i="6"/>
  <c r="P77" i="6"/>
  <c r="P62" i="6"/>
  <c r="P55" i="6"/>
  <c r="P81" i="6"/>
  <c r="P93" i="6"/>
  <c r="P70" i="6"/>
  <c r="P31" i="6"/>
  <c r="R93" i="15"/>
  <c r="R126" i="17"/>
  <c r="Q93" i="15"/>
  <c r="P88" i="5"/>
  <c r="V88" i="5" s="1"/>
  <c r="P87" i="5"/>
  <c r="V87" i="5" s="1"/>
  <c r="P86" i="5"/>
  <c r="P85" i="5"/>
  <c r="V85" i="5" s="1"/>
  <c r="P84" i="5"/>
  <c r="S84" i="5" s="1"/>
  <c r="P83" i="5"/>
  <c r="R32" i="16"/>
  <c r="R132" i="17"/>
  <c r="R140" i="17"/>
  <c r="R139" i="17" s="1"/>
  <c r="R128" i="16"/>
  <c r="R116" i="16" s="1"/>
  <c r="Q140" i="17"/>
  <c r="Q128" i="16"/>
  <c r="R141" i="15"/>
  <c r="R140" i="16"/>
  <c r="R135" i="17"/>
  <c r="R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4" i="2"/>
  <c r="Q93" i="2"/>
  <c r="R48" i="2"/>
  <c r="R94" i="2"/>
  <c r="R93" i="2"/>
  <c r="P94" i="2"/>
  <c r="P93" i="2"/>
  <c r="R32" i="2"/>
  <c r="R29" i="2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87" i="2"/>
  <c r="Q84" i="2"/>
  <c r="Q86" i="2"/>
  <c r="Q83" i="2"/>
  <c r="R13" i="2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V109" i="9"/>
  <c r="V63" i="9"/>
  <c r="T122" i="9"/>
  <c r="V39" i="9"/>
  <c r="V59" i="9"/>
  <c r="T125" i="9"/>
  <c r="V156" i="9"/>
  <c r="V158" i="9"/>
  <c r="V99" i="9"/>
  <c r="T78" i="9"/>
  <c r="V47" i="9"/>
  <c r="V56" i="9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V17" i="10"/>
  <c r="V79" i="10"/>
  <c r="V24" i="10"/>
  <c r="V64" i="10"/>
  <c r="V21" i="10"/>
  <c r="Q72" i="10"/>
  <c r="V74" i="10"/>
  <c r="V69" i="9"/>
  <c r="V112" i="9"/>
  <c r="V84" i="9"/>
  <c r="V34" i="10"/>
  <c r="V62" i="10"/>
  <c r="V23" i="10"/>
  <c r="Q96" i="3"/>
  <c r="Q84" i="3"/>
  <c r="Q72" i="17" s="1"/>
  <c r="Q66" i="3"/>
  <c r="Q42" i="3"/>
  <c r="Q48" i="3"/>
  <c r="Q18" i="3"/>
  <c r="Q36" i="3"/>
  <c r="Q49" i="3"/>
  <c r="Q64" i="3"/>
  <c r="Q39" i="3"/>
  <c r="S39" i="3" s="1"/>
  <c r="Q41" i="3"/>
  <c r="Q27" i="3"/>
  <c r="Q76" i="3"/>
  <c r="Q61" i="3"/>
  <c r="Q28" i="3"/>
  <c r="Q47" i="3"/>
  <c r="Q57" i="3"/>
  <c r="V37" i="9"/>
  <c r="V21" i="9"/>
  <c r="V142" i="9"/>
  <c r="V36" i="9"/>
  <c r="Q100" i="3"/>
  <c r="V70" i="10"/>
  <c r="S104" i="9"/>
  <c r="V104" i="9" s="1"/>
  <c r="V54" i="10"/>
  <c r="V32" i="10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V108" i="9"/>
  <c r="T16" i="9"/>
  <c r="V121" i="9"/>
  <c r="T19" i="9"/>
  <c r="V66" i="9"/>
  <c r="V155" i="9"/>
  <c r="V165" i="9"/>
  <c r="V140" i="9"/>
  <c r="Q31" i="3"/>
  <c r="V153" i="9"/>
  <c r="V98" i="9"/>
  <c r="V49" i="10"/>
  <c r="V37" i="10"/>
  <c r="V20" i="10"/>
  <c r="V92" i="10"/>
  <c r="Q25" i="10"/>
  <c r="Q50" i="10"/>
  <c r="V116" i="9"/>
  <c r="Q75" i="3"/>
  <c r="Q63" i="3"/>
  <c r="Q67" i="3"/>
  <c r="Q70" i="3"/>
  <c r="Q29" i="3"/>
  <c r="Q65" i="3"/>
  <c r="Q35" i="3"/>
  <c r="Q74" i="3"/>
  <c r="Q40" i="3"/>
  <c r="S40" i="3" s="1"/>
  <c r="Q101" i="3"/>
  <c r="Q79" i="3"/>
  <c r="Q46" i="3"/>
  <c r="Q21" i="3"/>
  <c r="Q22" i="3"/>
  <c r="Q38" i="3"/>
  <c r="Q43" i="3"/>
  <c r="V79" i="9"/>
  <c r="V136" i="9"/>
  <c r="T27" i="9"/>
  <c r="V157" i="9"/>
  <c r="V137" i="9"/>
  <c r="V71" i="9"/>
  <c r="V154" i="9"/>
  <c r="V88" i="9"/>
  <c r="V85" i="10"/>
  <c r="V96" i="9"/>
  <c r="V97" i="9"/>
  <c r="V102" i="9"/>
  <c r="V95" i="9"/>
  <c r="V113" i="9"/>
  <c r="T34" i="9"/>
  <c r="V55" i="9"/>
  <c r="V101" i="9"/>
  <c r="V89" i="10"/>
  <c r="V35" i="9"/>
  <c r="R50" i="10"/>
  <c r="V53" i="9"/>
  <c r="P30" i="3"/>
  <c r="P33" i="3"/>
  <c r="P95" i="3"/>
  <c r="V114" i="9"/>
  <c r="V93" i="10"/>
  <c r="Q42" i="10"/>
  <c r="Q39" i="10" s="1"/>
  <c r="V57" i="10"/>
  <c r="V166" i="9"/>
  <c r="V46" i="9"/>
  <c r="V152" i="9"/>
  <c r="T67" i="9"/>
  <c r="V127" i="9"/>
  <c r="V141" i="9"/>
  <c r="V150" i="9"/>
  <c r="V42" i="9"/>
  <c r="V143" i="9"/>
  <c r="V46" i="10"/>
  <c r="V83" i="9"/>
  <c r="V17" i="9"/>
  <c r="V60" i="9"/>
  <c r="V58" i="9"/>
  <c r="V56" i="10"/>
  <c r="V58" i="10"/>
  <c r="V86" i="10"/>
  <c r="V52" i="9"/>
  <c r="V111" i="9"/>
  <c r="V132" i="9"/>
  <c r="V48" i="9"/>
  <c r="V57" i="9"/>
  <c r="V20" i="9"/>
  <c r="R187" i="9"/>
  <c r="R91" i="15"/>
  <c r="Q15" i="3"/>
  <c r="Q33" i="3"/>
  <c r="Q69" i="17" s="1"/>
  <c r="Q95" i="3"/>
  <c r="Q13" i="3"/>
  <c r="Q30" i="3"/>
  <c r="Q68" i="17" s="1"/>
  <c r="Q99" i="3"/>
  <c r="Q102" i="3"/>
  <c r="V28" i="11"/>
  <c r="R139" i="15"/>
  <c r="V34" i="11"/>
  <c r="T34" i="11"/>
  <c r="R189" i="9"/>
  <c r="P72" i="10"/>
  <c r="Q76" i="6"/>
  <c r="Q78" i="6"/>
  <c r="Q99" i="6"/>
  <c r="Q74" i="6"/>
  <c r="Q100" i="6"/>
  <c r="V39" i="6"/>
  <c r="Q50" i="6"/>
  <c r="Q51" i="6"/>
  <c r="Q31" i="6"/>
  <c r="Q49" i="6"/>
  <c r="Q62" i="6"/>
  <c r="Q72" i="6"/>
  <c r="Q27" i="6"/>
  <c r="Q66" i="6"/>
  <c r="Q24" i="6"/>
  <c r="Q70" i="6"/>
  <c r="S70" i="6" s="1"/>
  <c r="Q94" i="6"/>
  <c r="V94" i="6" s="1"/>
  <c r="Q55" i="6"/>
  <c r="Q97" i="6"/>
  <c r="Q64" i="6"/>
  <c r="Q65" i="6"/>
  <c r="Q79" i="6"/>
  <c r="Q71" i="6"/>
  <c r="Q95" i="6"/>
  <c r="Q56" i="6"/>
  <c r="Q98" i="6"/>
  <c r="Q57" i="6"/>
  <c r="Q63" i="6"/>
  <c r="Q25" i="6"/>
  <c r="Q28" i="6"/>
  <c r="Q58" i="6"/>
  <c r="Q101" i="6"/>
  <c r="Q96" i="6"/>
  <c r="V44" i="6"/>
  <c r="Q54" i="6"/>
  <c r="Q80" i="6"/>
  <c r="Q93" i="6"/>
  <c r="V40" i="6"/>
  <c r="Q69" i="6"/>
  <c r="Q73" i="6"/>
  <c r="Q77" i="6"/>
  <c r="Q59" i="6"/>
  <c r="Q75" i="6"/>
  <c r="Q26" i="6"/>
  <c r="Q53" i="6"/>
  <c r="Q81" i="6"/>
  <c r="Q61" i="6"/>
  <c r="Q14" i="6"/>
  <c r="Q52" i="6"/>
  <c r="Q60" i="6"/>
  <c r="Q89" i="6"/>
  <c r="Q5" i="6" s="1"/>
  <c r="Q183" i="9" s="1"/>
  <c r="Q67" i="6"/>
  <c r="Q149" i="17"/>
  <c r="Q13" i="6"/>
  <c r="Q148" i="17" s="1"/>
  <c r="Q102" i="6"/>
  <c r="Q6" i="6" s="1"/>
  <c r="V38" i="10"/>
  <c r="P67" i="10"/>
  <c r="V83" i="10"/>
  <c r="V36" i="10"/>
  <c r="V84" i="10"/>
  <c r="V91" i="10"/>
  <c r="Q73" i="7"/>
  <c r="Q78" i="7"/>
  <c r="Q35" i="7"/>
  <c r="Q95" i="7"/>
  <c r="Q67" i="7"/>
  <c r="Q66" i="7" s="1"/>
  <c r="Q65" i="7"/>
  <c r="Q43" i="7"/>
  <c r="Q69" i="7"/>
  <c r="Q36" i="7"/>
  <c r="Q98" i="7"/>
  <c r="Q44" i="7"/>
  <c r="Q82" i="7"/>
  <c r="Q19" i="7"/>
  <c r="Q33" i="7"/>
  <c r="Q76" i="7"/>
  <c r="Q52" i="7"/>
  <c r="Q49" i="7"/>
  <c r="Q97" i="7"/>
  <c r="Q80" i="7"/>
  <c r="Q77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V43" i="9"/>
  <c r="R33" i="15"/>
  <c r="R216" i="9"/>
  <c r="V68" i="9"/>
  <c r="V91" i="9"/>
  <c r="V87" i="9"/>
  <c r="V126" i="9"/>
  <c r="T126" i="9"/>
  <c r="V100" i="9"/>
  <c r="T132" i="9"/>
  <c r="V73" i="9"/>
  <c r="V94" i="9"/>
  <c r="T30" i="11"/>
  <c r="V30" i="11"/>
  <c r="V160" i="9"/>
  <c r="V60" i="10"/>
  <c r="R80" i="10"/>
  <c r="R72" i="10"/>
  <c r="R30" i="10"/>
  <c r="V110" i="9"/>
  <c r="V86" i="9"/>
  <c r="V78" i="10"/>
  <c r="R67" i="10"/>
  <c r="V29" i="11"/>
  <c r="T29" i="11"/>
  <c r="V64" i="9"/>
  <c r="P81" i="2"/>
  <c r="P45" i="2"/>
  <c r="P52" i="2"/>
  <c r="P50" i="2"/>
  <c r="P69" i="2"/>
  <c r="P56" i="2"/>
  <c r="P22" i="2"/>
  <c r="P44" i="2"/>
  <c r="P17" i="2"/>
  <c r="P61" i="2"/>
  <c r="S61" i="2" s="1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78" i="2"/>
  <c r="P46" i="2"/>
  <c r="P35" i="2"/>
  <c r="V50" i="9"/>
  <c r="P233" i="9"/>
  <c r="Q232" i="9"/>
  <c r="Q57" i="15"/>
  <c r="Q216" i="9"/>
  <c r="Q33" i="15"/>
  <c r="T114" i="9"/>
  <c r="Q80" i="10"/>
  <c r="P25" i="10"/>
  <c r="T26" i="10"/>
  <c r="V139" i="9"/>
  <c r="V71" i="10"/>
  <c r="V147" i="9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V107" i="9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137" i="16" s="1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6" i="2"/>
  <c r="Q20" i="2"/>
  <c r="Q66" i="2"/>
  <c r="Q57" i="2"/>
  <c r="Q41" i="2"/>
  <c r="Q69" i="2"/>
  <c r="Q53" i="2"/>
  <c r="Q48" i="2"/>
  <c r="Q43" i="2"/>
  <c r="Q77" i="2"/>
  <c r="Q59" i="2"/>
  <c r="Q98" i="2"/>
  <c r="Q68" i="2"/>
  <c r="Q78" i="2"/>
  <c r="Q65" i="2"/>
  <c r="Q23" i="2"/>
  <c r="Q21" i="2"/>
  <c r="Q45" i="2"/>
  <c r="Q102" i="2"/>
  <c r="Q6" i="2" s="1"/>
  <c r="Q80" i="2"/>
  <c r="Q75" i="2"/>
  <c r="Q64" i="2"/>
  <c r="Q34" i="2"/>
  <c r="Q30" i="2"/>
  <c r="Q63" i="2"/>
  <c r="Q35" i="2"/>
  <c r="Q47" i="2"/>
  <c r="Q15" i="2"/>
  <c r="Q29" i="2"/>
  <c r="Q32" i="2"/>
  <c r="Q89" i="2"/>
  <c r="Q5" i="2" s="1"/>
  <c r="Q179" i="9" s="1"/>
  <c r="R44" i="15"/>
  <c r="R223" i="9"/>
  <c r="V70" i="6"/>
  <c r="Q189" i="9"/>
  <c r="Q16" i="15"/>
  <c r="S16" i="15" s="1"/>
  <c r="Q15" i="15"/>
  <c r="S15" i="15" s="1"/>
  <c r="Q18" i="15"/>
  <c r="S18" i="15" s="1"/>
  <c r="Q17" i="15"/>
  <c r="Q20" i="15"/>
  <c r="S20" i="15" s="1"/>
  <c r="Q19" i="15"/>
  <c r="Q21" i="15"/>
  <c r="Q14" i="15"/>
  <c r="S14" i="15" s="1"/>
  <c r="Q13" i="15"/>
  <c r="R224" i="9"/>
  <c r="R45" i="15"/>
  <c r="V103" i="9"/>
  <c r="V149" i="9"/>
  <c r="V90" i="9"/>
  <c r="V49" i="9"/>
  <c r="V163" i="9"/>
  <c r="V162" i="9"/>
  <c r="V138" i="9"/>
  <c r="V61" i="9"/>
  <c r="R25" i="10"/>
  <c r="V151" i="9"/>
  <c r="V89" i="9"/>
  <c r="V41" i="9"/>
  <c r="P58" i="3"/>
  <c r="P45" i="3"/>
  <c r="S45" i="3" s="1"/>
  <c r="P46" i="3"/>
  <c r="S46" i="3" s="1"/>
  <c r="P68" i="3"/>
  <c r="S68" i="3" s="1"/>
  <c r="P60" i="3"/>
  <c r="P29" i="3"/>
  <c r="V29" i="3" s="1"/>
  <c r="P56" i="3"/>
  <c r="P57" i="3"/>
  <c r="S57" i="3" s="1"/>
  <c r="P76" i="3"/>
  <c r="P55" i="3"/>
  <c r="V55" i="3" s="1"/>
  <c r="P36" i="3"/>
  <c r="S36" i="3" s="1"/>
  <c r="P64" i="3"/>
  <c r="P80" i="3"/>
  <c r="P21" i="3"/>
  <c r="P53" i="3"/>
  <c r="P40" i="3"/>
  <c r="V40" i="3" s="1"/>
  <c r="P38" i="3"/>
  <c r="S38" i="3" s="1"/>
  <c r="P37" i="3"/>
  <c r="P63" i="3"/>
  <c r="P50" i="3"/>
  <c r="S50" i="3" s="1"/>
  <c r="P59" i="3"/>
  <c r="P62" i="3"/>
  <c r="P26" i="3"/>
  <c r="P52" i="3"/>
  <c r="V52" i="3" s="1"/>
  <c r="P51" i="3"/>
  <c r="P20" i="3"/>
  <c r="P84" i="3"/>
  <c r="P23" i="3"/>
  <c r="S23" i="3" s="1"/>
  <c r="P28" i="3"/>
  <c r="P65" i="3"/>
  <c r="P18" i="3"/>
  <c r="S18" i="3" s="1"/>
  <c r="P71" i="3"/>
  <c r="P54" i="3"/>
  <c r="P82" i="3"/>
  <c r="P17" i="3"/>
  <c r="S17" i="3" s="1"/>
  <c r="P25" i="3"/>
  <c r="S25" i="3" s="1"/>
  <c r="P70" i="3"/>
  <c r="S70" i="3" s="1"/>
  <c r="P77" i="3"/>
  <c r="P16" i="3"/>
  <c r="P24" i="3"/>
  <c r="P75" i="3"/>
  <c r="P27" i="3"/>
  <c r="S27" i="3" s="1"/>
  <c r="P69" i="3"/>
  <c r="S69" i="3" s="1"/>
  <c r="P66" i="3"/>
  <c r="P67" i="3"/>
  <c r="P74" i="3"/>
  <c r="S74" i="3" s="1"/>
  <c r="P35" i="3"/>
  <c r="S35" i="3" s="1"/>
  <c r="P78" i="3"/>
  <c r="P22" i="3"/>
  <c r="P72" i="3"/>
  <c r="P39" i="3"/>
  <c r="P31" i="3"/>
  <c r="S31" i="3" s="1"/>
  <c r="P49" i="3"/>
  <c r="P34" i="3"/>
  <c r="P41" i="3"/>
  <c r="P97" i="3"/>
  <c r="P96" i="3"/>
  <c r="P44" i="3"/>
  <c r="S44" i="3" s="1"/>
  <c r="P81" i="3"/>
  <c r="P47" i="3"/>
  <c r="P43" i="3"/>
  <c r="S43" i="3" s="1"/>
  <c r="P42" i="3"/>
  <c r="S42" i="3" s="1"/>
  <c r="P79" i="3"/>
  <c r="P73" i="3"/>
  <c r="P61" i="3"/>
  <c r="P15" i="3"/>
  <c r="P48" i="3"/>
  <c r="S48" i="3" s="1"/>
  <c r="P98" i="5"/>
  <c r="S98" i="5" s="1"/>
  <c r="P40" i="5"/>
  <c r="V40" i="5" s="1"/>
  <c r="P96" i="5"/>
  <c r="V96" i="5" s="1"/>
  <c r="P76" i="5"/>
  <c r="P54" i="5"/>
  <c r="P50" i="5"/>
  <c r="P61" i="5"/>
  <c r="V61" i="5" s="1"/>
  <c r="P71" i="5"/>
  <c r="P56" i="5"/>
  <c r="S56" i="5" s="1"/>
  <c r="P32" i="5"/>
  <c r="P63" i="5"/>
  <c r="P33" i="5"/>
  <c r="P65" i="5"/>
  <c r="V65" i="5" s="1"/>
  <c r="P20" i="5"/>
  <c r="S20" i="5" s="1"/>
  <c r="P57" i="5"/>
  <c r="P44" i="5"/>
  <c r="P79" i="5"/>
  <c r="P17" i="5"/>
  <c r="S17" i="5" s="1"/>
  <c r="P37" i="5"/>
  <c r="P60" i="5"/>
  <c r="P95" i="5"/>
  <c r="P29" i="5"/>
  <c r="P35" i="5"/>
  <c r="P14" i="5"/>
  <c r="V14" i="5" s="1"/>
  <c r="P48" i="5"/>
  <c r="P69" i="5"/>
  <c r="P42" i="5"/>
  <c r="S42" i="5" s="1"/>
  <c r="P34" i="5"/>
  <c r="S34" i="5" s="1"/>
  <c r="P21" i="5"/>
  <c r="S21" i="5" s="1"/>
  <c r="P89" i="5"/>
  <c r="S89" i="5" s="1"/>
  <c r="P23" i="5"/>
  <c r="P55" i="5"/>
  <c r="P38" i="5"/>
  <c r="P13" i="5"/>
  <c r="S13" i="5" s="1"/>
  <c r="P78" i="5"/>
  <c r="P67" i="5"/>
  <c r="S67" i="5" s="1"/>
  <c r="P47" i="5"/>
  <c r="V47" i="5" s="1"/>
  <c r="P51" i="5"/>
  <c r="P49" i="5"/>
  <c r="S49" i="5" s="1"/>
  <c r="P58" i="5"/>
  <c r="P80" i="5"/>
  <c r="P27" i="5"/>
  <c r="S27" i="5" s="1"/>
  <c r="P70" i="5"/>
  <c r="V70" i="5" s="1"/>
  <c r="P68" i="5"/>
  <c r="P26" i="5"/>
  <c r="P19" i="5"/>
  <c r="S19" i="5" s="1"/>
  <c r="P77" i="5"/>
  <c r="P62" i="5"/>
  <c r="S62" i="5" s="1"/>
  <c r="P22" i="5"/>
  <c r="S22" i="5" s="1"/>
  <c r="P75" i="5"/>
  <c r="P36" i="5"/>
  <c r="S36" i="5" s="1"/>
  <c r="P74" i="5"/>
  <c r="S74" i="5" s="1"/>
  <c r="P45" i="5"/>
  <c r="P25" i="5"/>
  <c r="S25" i="5" s="1"/>
  <c r="P52" i="5"/>
  <c r="P30" i="5"/>
  <c r="S30" i="5" s="1"/>
  <c r="P64" i="5"/>
  <c r="S64" i="5" s="1"/>
  <c r="P94" i="5"/>
  <c r="P59" i="5"/>
  <c r="V59" i="5" s="1"/>
  <c r="P39" i="5"/>
  <c r="V39" i="5" s="1"/>
  <c r="P53" i="5"/>
  <c r="S53" i="5" s="1"/>
  <c r="P16" i="5"/>
  <c r="P18" i="5"/>
  <c r="P93" i="5"/>
  <c r="S93" i="5" s="1"/>
  <c r="P24" i="5"/>
  <c r="P46" i="5"/>
  <c r="P43" i="5"/>
  <c r="P66" i="5"/>
  <c r="P41" i="5"/>
  <c r="S41" i="5" s="1"/>
  <c r="P72" i="5"/>
  <c r="S72" i="5" s="1"/>
  <c r="P15" i="5"/>
  <c r="S15" i="5" s="1"/>
  <c r="P73" i="5"/>
  <c r="P81" i="5"/>
  <c r="V81" i="5" s="1"/>
  <c r="P55" i="7"/>
  <c r="P81" i="7"/>
  <c r="P17" i="7"/>
  <c r="P52" i="7"/>
  <c r="P68" i="7"/>
  <c r="P65" i="7"/>
  <c r="P33" i="7"/>
  <c r="P38" i="7"/>
  <c r="P79" i="7"/>
  <c r="S79" i="7" s="1"/>
  <c r="P74" i="7"/>
  <c r="P32" i="7"/>
  <c r="P77" i="7"/>
  <c r="P28" i="7"/>
  <c r="P82" i="7"/>
  <c r="P25" i="7"/>
  <c r="P35" i="7"/>
  <c r="P36" i="7"/>
  <c r="P51" i="7"/>
  <c r="P29" i="7"/>
  <c r="P49" i="7"/>
  <c r="P73" i="7"/>
  <c r="P63" i="7"/>
  <c r="P75" i="7"/>
  <c r="P18" i="7"/>
  <c r="P69" i="7"/>
  <c r="P67" i="7"/>
  <c r="P27" i="7"/>
  <c r="P53" i="7"/>
  <c r="P101" i="7"/>
  <c r="P50" i="7"/>
  <c r="P78" i="7"/>
  <c r="S78" i="7" s="1"/>
  <c r="P46" i="7"/>
  <c r="P54" i="7"/>
  <c r="P56" i="7"/>
  <c r="P58" i="7"/>
  <c r="P62" i="7"/>
  <c r="P22" i="7"/>
  <c r="P40" i="7"/>
  <c r="P76" i="7"/>
  <c r="S76" i="7" s="1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20" i="7"/>
  <c r="P45" i="7"/>
  <c r="P61" i="7"/>
  <c r="P70" i="7"/>
  <c r="P57" i="7"/>
  <c r="P72" i="7"/>
  <c r="P30" i="7"/>
  <c r="P34" i="7"/>
  <c r="P64" i="7"/>
  <c r="P21" i="7"/>
  <c r="P70" i="4"/>
  <c r="P16" i="4"/>
  <c r="S16" i="4" s="1"/>
  <c r="P28" i="4"/>
  <c r="P68" i="4"/>
  <c r="P20" i="4"/>
  <c r="P45" i="4"/>
  <c r="P25" i="4"/>
  <c r="P46" i="4"/>
  <c r="S46" i="4" s="1"/>
  <c r="P29" i="4"/>
  <c r="P22" i="4"/>
  <c r="P62" i="4"/>
  <c r="S62" i="4" s="1"/>
  <c r="P52" i="4"/>
  <c r="P57" i="4"/>
  <c r="S57" i="4" s="1"/>
  <c r="P26" i="4"/>
  <c r="P76" i="4"/>
  <c r="S76" i="4" s="1"/>
  <c r="P69" i="4"/>
  <c r="P78" i="4"/>
  <c r="S78" i="4" s="1"/>
  <c r="P80" i="4"/>
  <c r="S80" i="4" s="1"/>
  <c r="P63" i="4"/>
  <c r="P18" i="4"/>
  <c r="S18" i="4" s="1"/>
  <c r="P64" i="4"/>
  <c r="S64" i="4" s="1"/>
  <c r="P19" i="4"/>
  <c r="S19" i="4" s="1"/>
  <c r="P51" i="4"/>
  <c r="P67" i="4"/>
  <c r="S67" i="4" s="1"/>
  <c r="P75" i="4"/>
  <c r="S75" i="4" s="1"/>
  <c r="P43" i="4"/>
  <c r="S43" i="4" s="1"/>
  <c r="P27" i="4"/>
  <c r="S27" i="4" s="1"/>
  <c r="P14" i="4"/>
  <c r="P97" i="4"/>
  <c r="P38" i="4"/>
  <c r="P37" i="4"/>
  <c r="S37" i="4" s="1"/>
  <c r="P21" i="4"/>
  <c r="P32" i="4"/>
  <c r="P74" i="4"/>
  <c r="S74" i="4" s="1"/>
  <c r="P100" i="4"/>
  <c r="P13" i="4"/>
  <c r="P98" i="4"/>
  <c r="P101" i="4"/>
  <c r="P33" i="4"/>
  <c r="P95" i="4"/>
  <c r="S95" i="4" s="1"/>
  <c r="P39" i="4"/>
  <c r="P54" i="4"/>
  <c r="P58" i="4"/>
  <c r="S58" i="4" s="1"/>
  <c r="P65" i="4"/>
  <c r="S65" i="4" s="1"/>
  <c r="P30" i="4"/>
  <c r="P81" i="4"/>
  <c r="P41" i="4"/>
  <c r="S41" i="4" s="1"/>
  <c r="P50" i="4"/>
  <c r="P61" i="4"/>
  <c r="P34" i="4"/>
  <c r="P71" i="4"/>
  <c r="P56" i="4"/>
  <c r="P66" i="4"/>
  <c r="S66" i="4" s="1"/>
  <c r="P17" i="4"/>
  <c r="S17" i="4" s="1"/>
  <c r="P48" i="4"/>
  <c r="P23" i="4"/>
  <c r="S23" i="4" s="1"/>
  <c r="P102" i="4"/>
  <c r="P79" i="4"/>
  <c r="S79" i="4" s="1"/>
  <c r="P44" i="4"/>
  <c r="S44" i="4" s="1"/>
  <c r="P96" i="4"/>
  <c r="P55" i="4"/>
  <c r="P35" i="4"/>
  <c r="S35" i="4" s="1"/>
  <c r="P73" i="4"/>
  <c r="S73" i="4" s="1"/>
  <c r="P99" i="4"/>
  <c r="P72" i="4"/>
  <c r="S72" i="4" s="1"/>
  <c r="P77" i="4"/>
  <c r="S77" i="4" s="1"/>
  <c r="P15" i="4"/>
  <c r="P42" i="4"/>
  <c r="S42" i="4" s="1"/>
  <c r="P40" i="4"/>
  <c r="P59" i="4"/>
  <c r="P89" i="4"/>
  <c r="P36" i="4"/>
  <c r="P47" i="4"/>
  <c r="P49" i="4"/>
  <c r="S49" i="4" s="1"/>
  <c r="P60" i="4"/>
  <c r="P24" i="4"/>
  <c r="S24" i="4" s="1"/>
  <c r="P53" i="4"/>
  <c r="R222" i="9"/>
  <c r="R43" i="15"/>
  <c r="Q224" i="9"/>
  <c r="Q45" i="15"/>
  <c r="P30" i="10"/>
  <c r="P42" i="10"/>
  <c r="S42" i="10" s="1"/>
  <c r="R232" i="9"/>
  <c r="R57" i="15"/>
  <c r="R46" i="15"/>
  <c r="P40" i="10"/>
  <c r="S40" i="10" s="1"/>
  <c r="P50" i="10"/>
  <c r="P76" i="10"/>
  <c r="S76" i="10" s="1"/>
  <c r="T77" i="10"/>
  <c r="Q76" i="10"/>
  <c r="Q30" i="10"/>
  <c r="T36" i="9"/>
  <c r="V75" i="9"/>
  <c r="R76" i="10"/>
  <c r="R36" i="7"/>
  <c r="R28" i="7"/>
  <c r="R37" i="7"/>
  <c r="R76" i="7"/>
  <c r="R54" i="7"/>
  <c r="R67" i="7"/>
  <c r="R66" i="7" s="1"/>
  <c r="R49" i="7"/>
  <c r="R57" i="7"/>
  <c r="R58" i="7"/>
  <c r="R100" i="7"/>
  <c r="R50" i="7"/>
  <c r="R17" i="7"/>
  <c r="R51" i="7"/>
  <c r="R22" i="7"/>
  <c r="R25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V85" i="9"/>
  <c r="V38" i="9"/>
  <c r="R56" i="15"/>
  <c r="R231" i="9"/>
  <c r="R215" i="9"/>
  <c r="R32" i="15"/>
  <c r="R221" i="9"/>
  <c r="R42" i="15"/>
  <c r="P47" i="10"/>
  <c r="S47" i="10" s="1"/>
  <c r="R7" i="5"/>
  <c r="S97" i="7" l="1"/>
  <c r="S64" i="7"/>
  <c r="R48" i="7"/>
  <c r="S84" i="2"/>
  <c r="S83" i="2"/>
  <c r="S41" i="3"/>
  <c r="S67" i="3"/>
  <c r="S28" i="3"/>
  <c r="S24" i="3"/>
  <c r="V24" i="3" s="1"/>
  <c r="S22" i="3"/>
  <c r="S99" i="4"/>
  <c r="S97" i="4"/>
  <c r="S96" i="4"/>
  <c r="S71" i="4"/>
  <c r="S56" i="4"/>
  <c r="S36" i="4"/>
  <c r="S26" i="4"/>
  <c r="S21" i="4"/>
  <c r="S83" i="5"/>
  <c r="S58" i="5"/>
  <c r="S46" i="5"/>
  <c r="S67" i="10"/>
  <c r="S25" i="10"/>
  <c r="S77" i="7"/>
  <c r="S30" i="7"/>
  <c r="S27" i="7"/>
  <c r="S72" i="6"/>
  <c r="S69" i="6"/>
  <c r="S78" i="2"/>
  <c r="S79" i="2"/>
  <c r="S65" i="2"/>
  <c r="S60" i="2"/>
  <c r="S63" i="2"/>
  <c r="V63" i="2" s="1"/>
  <c r="S59" i="2"/>
  <c r="S46" i="2"/>
  <c r="S29" i="2"/>
  <c r="S20" i="2"/>
  <c r="T20" i="2" s="1"/>
  <c r="S18" i="2"/>
  <c r="S13" i="2"/>
  <c r="S101" i="4"/>
  <c r="S98" i="4"/>
  <c r="S83" i="4"/>
  <c r="S84" i="4"/>
  <c r="S60" i="4"/>
  <c r="S48" i="4"/>
  <c r="V48" i="4" s="1"/>
  <c r="S34" i="4"/>
  <c r="S33" i="4"/>
  <c r="V33" i="4" s="1"/>
  <c r="S30" i="4"/>
  <c r="S15" i="4"/>
  <c r="S98" i="3"/>
  <c r="T98" i="3" s="1"/>
  <c r="S82" i="3"/>
  <c r="V82" i="3" s="1"/>
  <c r="S56" i="3"/>
  <c r="V56" i="3" s="1"/>
  <c r="S54" i="3"/>
  <c r="V54" i="3" s="1"/>
  <c r="S84" i="3"/>
  <c r="S73" i="3"/>
  <c r="S63" i="3"/>
  <c r="S59" i="3"/>
  <c r="V59" i="3" s="1"/>
  <c r="S47" i="3"/>
  <c r="S34" i="3"/>
  <c r="S21" i="3"/>
  <c r="S20" i="3"/>
  <c r="S16" i="3"/>
  <c r="S15" i="3"/>
  <c r="Q140" i="16"/>
  <c r="Q68" i="16"/>
  <c r="S95" i="5"/>
  <c r="T95" i="5" s="1"/>
  <c r="S94" i="5"/>
  <c r="S80" i="5"/>
  <c r="S71" i="5"/>
  <c r="T71" i="5" s="1"/>
  <c r="S66" i="5"/>
  <c r="V66" i="5" s="1"/>
  <c r="S60" i="5"/>
  <c r="V60" i="5" s="1"/>
  <c r="S48" i="5"/>
  <c r="T48" i="5" s="1"/>
  <c r="S33" i="5"/>
  <c r="V33" i="5" s="1"/>
  <c r="S23" i="5"/>
  <c r="S18" i="5"/>
  <c r="V19" i="10"/>
  <c r="S75" i="3"/>
  <c r="T75" i="3" s="1"/>
  <c r="S95" i="3"/>
  <c r="T95" i="3" s="1"/>
  <c r="S101" i="7"/>
  <c r="S96" i="7"/>
  <c r="S95" i="7"/>
  <c r="S98" i="7"/>
  <c r="S83" i="7"/>
  <c r="S80" i="7"/>
  <c r="V80" i="7" s="1"/>
  <c r="S74" i="7"/>
  <c r="S72" i="7"/>
  <c r="P71" i="7"/>
  <c r="S73" i="7"/>
  <c r="V73" i="7" s="1"/>
  <c r="R71" i="7"/>
  <c r="S75" i="7"/>
  <c r="Q71" i="7"/>
  <c r="P66" i="7"/>
  <c r="S66" i="7" s="1"/>
  <c r="S67" i="7"/>
  <c r="T67" i="7" s="1"/>
  <c r="S61" i="7"/>
  <c r="S59" i="7"/>
  <c r="S63" i="7"/>
  <c r="V63" i="7" s="1"/>
  <c r="S60" i="7"/>
  <c r="S62" i="7"/>
  <c r="V62" i="7" s="1"/>
  <c r="S58" i="7"/>
  <c r="Q48" i="7"/>
  <c r="S49" i="7"/>
  <c r="V49" i="7" s="1"/>
  <c r="P48" i="7"/>
  <c r="S42" i="7"/>
  <c r="S44" i="7"/>
  <c r="S45" i="7"/>
  <c r="S41" i="7"/>
  <c r="S46" i="7"/>
  <c r="S43" i="7"/>
  <c r="S36" i="7"/>
  <c r="S35" i="7"/>
  <c r="S34" i="7"/>
  <c r="V34" i="7" s="1"/>
  <c r="S33" i="7"/>
  <c r="P176" i="17"/>
  <c r="S29" i="7"/>
  <c r="P177" i="17"/>
  <c r="S32" i="7"/>
  <c r="S177" i="17" s="1"/>
  <c r="T177" i="17" s="1"/>
  <c r="S26" i="7"/>
  <c r="V26" i="7" s="1"/>
  <c r="S21" i="7"/>
  <c r="S19" i="7"/>
  <c r="S22" i="7"/>
  <c r="S20" i="7"/>
  <c r="T20" i="7" s="1"/>
  <c r="S23" i="7"/>
  <c r="S16" i="7"/>
  <c r="V16" i="7" s="1"/>
  <c r="S18" i="7"/>
  <c r="S24" i="7"/>
  <c r="S25" i="7"/>
  <c r="S17" i="7"/>
  <c r="S26" i="6"/>
  <c r="V27" i="6"/>
  <c r="S24" i="6"/>
  <c r="V24" i="6" s="1"/>
  <c r="S25" i="6"/>
  <c r="V25" i="6" s="1"/>
  <c r="S27" i="6"/>
  <c r="S56" i="6"/>
  <c r="V56" i="6" s="1"/>
  <c r="S64" i="6"/>
  <c r="T64" i="6" s="1"/>
  <c r="S49" i="6"/>
  <c r="V49" i="6" s="1"/>
  <c r="S50" i="6"/>
  <c r="S52" i="6"/>
  <c r="V52" i="6" s="1"/>
  <c r="V61" i="6"/>
  <c r="V50" i="6"/>
  <c r="S55" i="6"/>
  <c r="S59" i="6"/>
  <c r="S51" i="6"/>
  <c r="V51" i="6" s="1"/>
  <c r="S58" i="6"/>
  <c r="V58" i="6" s="1"/>
  <c r="S54" i="6"/>
  <c r="S53" i="6"/>
  <c r="V53" i="6" s="1"/>
  <c r="S62" i="6"/>
  <c r="V62" i="6" s="1"/>
  <c r="S63" i="6"/>
  <c r="V63" i="6" s="1"/>
  <c r="S67" i="6"/>
  <c r="V67" i="6" s="1"/>
  <c r="S66" i="6"/>
  <c r="V66" i="6" s="1"/>
  <c r="P167" i="17"/>
  <c r="S101" i="6"/>
  <c r="T101" i="6" s="1"/>
  <c r="S95" i="6"/>
  <c r="T95" i="6" s="1"/>
  <c r="S97" i="6"/>
  <c r="S96" i="6"/>
  <c r="T96" i="6" s="1"/>
  <c r="S98" i="6"/>
  <c r="S84" i="6"/>
  <c r="S83" i="6"/>
  <c r="T83" i="6" s="1"/>
  <c r="S71" i="6"/>
  <c r="V71" i="6" s="1"/>
  <c r="S74" i="6"/>
  <c r="S77" i="6"/>
  <c r="V77" i="6" s="1"/>
  <c r="S79" i="6"/>
  <c r="S75" i="6"/>
  <c r="S76" i="6"/>
  <c r="V76" i="6" s="1"/>
  <c r="V73" i="6"/>
  <c r="S81" i="6"/>
  <c r="S80" i="6"/>
  <c r="V80" i="6" s="1"/>
  <c r="S73" i="6"/>
  <c r="S78" i="6"/>
  <c r="V78" i="6" s="1"/>
  <c r="Q116" i="16"/>
  <c r="Q139" i="17"/>
  <c r="Q141" i="17" s="1"/>
  <c r="S79" i="5"/>
  <c r="V79" i="5" s="1"/>
  <c r="S75" i="5"/>
  <c r="V75" i="5" s="1"/>
  <c r="S77" i="5"/>
  <c r="V77" i="5" s="1"/>
  <c r="S78" i="5"/>
  <c r="V78" i="5" s="1"/>
  <c r="S76" i="5"/>
  <c r="V76" i="5" s="1"/>
  <c r="S73" i="5"/>
  <c r="V73" i="5" s="1"/>
  <c r="S68" i="5"/>
  <c r="V68" i="5" s="1"/>
  <c r="S69" i="5"/>
  <c r="V69" i="5" s="1"/>
  <c r="S63" i="5"/>
  <c r="V63" i="5" s="1"/>
  <c r="S50" i="5"/>
  <c r="V50" i="5" s="1"/>
  <c r="S52" i="5"/>
  <c r="V52" i="5" s="1"/>
  <c r="S55" i="5"/>
  <c r="V55" i="5" s="1"/>
  <c r="S54" i="5"/>
  <c r="V54" i="5" s="1"/>
  <c r="S57" i="5"/>
  <c r="V57" i="5" s="1"/>
  <c r="S51" i="5"/>
  <c r="V51" i="5" s="1"/>
  <c r="V43" i="5"/>
  <c r="S43" i="5"/>
  <c r="S44" i="5"/>
  <c r="V44" i="5" s="1"/>
  <c r="V45" i="5"/>
  <c r="S45" i="5"/>
  <c r="S38" i="5"/>
  <c r="V38" i="5" s="1"/>
  <c r="P123" i="17"/>
  <c r="S32" i="5"/>
  <c r="S123" i="17" s="1"/>
  <c r="T123" i="17" s="1"/>
  <c r="S35" i="5"/>
  <c r="V35" i="5" s="1"/>
  <c r="S37" i="5"/>
  <c r="V37" i="5" s="1"/>
  <c r="P122" i="17"/>
  <c r="S29" i="5"/>
  <c r="S122" i="17" s="1"/>
  <c r="T122" i="17" s="1"/>
  <c r="S26" i="5"/>
  <c r="V26" i="5" s="1"/>
  <c r="S16" i="5"/>
  <c r="S24" i="5"/>
  <c r="V24" i="5" s="1"/>
  <c r="P139" i="16"/>
  <c r="S100" i="4"/>
  <c r="V100" i="4" s="1"/>
  <c r="S102" i="4"/>
  <c r="S63" i="4"/>
  <c r="S45" i="4"/>
  <c r="P96" i="17"/>
  <c r="S32" i="4"/>
  <c r="S96" i="17" s="1"/>
  <c r="T96" i="17" s="1"/>
  <c r="P95" i="17"/>
  <c r="S29" i="4"/>
  <c r="S89" i="4"/>
  <c r="S25" i="4"/>
  <c r="S22" i="4"/>
  <c r="P94" i="17"/>
  <c r="S13" i="4"/>
  <c r="S94" i="17" s="1"/>
  <c r="S20" i="4"/>
  <c r="T20" i="4" s="1"/>
  <c r="S81" i="3"/>
  <c r="V81" i="3" s="1"/>
  <c r="S72" i="3"/>
  <c r="T72" i="3" s="1"/>
  <c r="R230" i="9"/>
  <c r="S65" i="3"/>
  <c r="V65" i="3" s="1"/>
  <c r="S49" i="3"/>
  <c r="V49" i="3" s="1"/>
  <c r="R55" i="15"/>
  <c r="P69" i="17"/>
  <c r="S33" i="3"/>
  <c r="S69" i="17" s="1"/>
  <c r="T69" i="17" s="1"/>
  <c r="S37" i="3"/>
  <c r="T37" i="3" s="1"/>
  <c r="P68" i="17"/>
  <c r="S30" i="3"/>
  <c r="S68" i="17" s="1"/>
  <c r="T68" i="17" s="1"/>
  <c r="S26" i="3"/>
  <c r="V26" i="3" s="1"/>
  <c r="R76" i="17"/>
  <c r="P137" i="16"/>
  <c r="S137" i="16" s="1"/>
  <c r="S100" i="2"/>
  <c r="T100" i="2" s="1"/>
  <c r="S101" i="2"/>
  <c r="S102" i="2"/>
  <c r="S99" i="2"/>
  <c r="S98" i="2"/>
  <c r="S97" i="2"/>
  <c r="S95" i="2"/>
  <c r="V95" i="2" s="1"/>
  <c r="S96" i="2"/>
  <c r="S72" i="2"/>
  <c r="S80" i="2"/>
  <c r="S73" i="2"/>
  <c r="V73" i="2" s="1"/>
  <c r="S75" i="2"/>
  <c r="V75" i="2" s="1"/>
  <c r="S76" i="2"/>
  <c r="S74" i="2"/>
  <c r="S77" i="2"/>
  <c r="V77" i="2" s="1"/>
  <c r="S71" i="2"/>
  <c r="S66" i="2"/>
  <c r="S67" i="2"/>
  <c r="S62" i="2"/>
  <c r="V62" i="2" s="1"/>
  <c r="S64" i="2"/>
  <c r="S53" i="2"/>
  <c r="V53" i="2" s="1"/>
  <c r="S54" i="2"/>
  <c r="S51" i="2"/>
  <c r="S50" i="2"/>
  <c r="S49" i="2"/>
  <c r="S55" i="2"/>
  <c r="S52" i="2"/>
  <c r="S58" i="2"/>
  <c r="S48" i="2"/>
  <c r="S56" i="2"/>
  <c r="S57" i="2"/>
  <c r="S44" i="2"/>
  <c r="S41" i="2"/>
  <c r="S43" i="2"/>
  <c r="S45" i="2"/>
  <c r="V45" i="2" s="1"/>
  <c r="S42" i="2"/>
  <c r="S89" i="2"/>
  <c r="S34" i="2"/>
  <c r="V34" i="2" s="1"/>
  <c r="S37" i="2"/>
  <c r="S32" i="2"/>
  <c r="S35" i="2"/>
  <c r="S36" i="2"/>
  <c r="S33" i="2"/>
  <c r="S30" i="2"/>
  <c r="T30" i="2" s="1"/>
  <c r="S22" i="2"/>
  <c r="S15" i="2"/>
  <c r="S21" i="2"/>
  <c r="S19" i="2"/>
  <c r="T19" i="2" s="1"/>
  <c r="S16" i="2"/>
  <c r="S23" i="2"/>
  <c r="S17" i="2"/>
  <c r="S50" i="10"/>
  <c r="S72" i="10"/>
  <c r="S30" i="10"/>
  <c r="S28" i="16"/>
  <c r="R9" i="16"/>
  <c r="M9" i="16"/>
  <c r="Q9" i="16"/>
  <c r="T46" i="10"/>
  <c r="R225" i="9"/>
  <c r="T58" i="9"/>
  <c r="V34" i="6"/>
  <c r="V98" i="5"/>
  <c r="T98" i="5"/>
  <c r="V94" i="5"/>
  <c r="T94" i="5"/>
  <c r="V90" i="10"/>
  <c r="T90" i="10"/>
  <c r="V33" i="10"/>
  <c r="T33" i="10"/>
  <c r="V159" i="9"/>
  <c r="T159" i="9"/>
  <c r="V65" i="9"/>
  <c r="T65" i="9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4" i="5"/>
  <c r="T84" i="5"/>
  <c r="V74" i="5"/>
  <c r="T74" i="5"/>
  <c r="V56" i="5"/>
  <c r="T56" i="5"/>
  <c r="R102" i="15"/>
  <c r="R107" i="15"/>
  <c r="R181" i="17"/>
  <c r="P107" i="15"/>
  <c r="P181" i="17"/>
  <c r="R186" i="17"/>
  <c r="R34" i="16"/>
  <c r="P34" i="16"/>
  <c r="P186" i="17"/>
  <c r="V94" i="3"/>
  <c r="R130" i="17"/>
  <c r="Q130" i="17"/>
  <c r="V44" i="4"/>
  <c r="P92" i="15"/>
  <c r="P99" i="17"/>
  <c r="V86" i="4"/>
  <c r="P104" i="15"/>
  <c r="P100" i="17"/>
  <c r="P31" i="16"/>
  <c r="P105" i="17"/>
  <c r="V21" i="3"/>
  <c r="T21" i="3"/>
  <c r="T30" i="6"/>
  <c r="R30" i="15"/>
  <c r="V15" i="10"/>
  <c r="R112" i="16"/>
  <c r="V27" i="3"/>
  <c r="T27" i="3"/>
  <c r="V42" i="3"/>
  <c r="T47" i="3"/>
  <c r="T17" i="10"/>
  <c r="R95" i="15"/>
  <c r="R180" i="17"/>
  <c r="R184" i="17" s="1"/>
  <c r="T48" i="6"/>
  <c r="T73" i="3"/>
  <c r="V16" i="3"/>
  <c r="V18" i="3"/>
  <c r="Q91" i="15"/>
  <c r="P73" i="17"/>
  <c r="P103" i="15"/>
  <c r="P30" i="16"/>
  <c r="P78" i="17"/>
  <c r="P95" i="15"/>
  <c r="P180" i="17"/>
  <c r="R7" i="7"/>
  <c r="V20" i="5"/>
  <c r="T20" i="5"/>
  <c r="V18" i="5"/>
  <c r="T18" i="5"/>
  <c r="Q55" i="15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100" i="16"/>
  <c r="R108" i="16" s="1"/>
  <c r="R88" i="16"/>
  <c r="R96" i="16" s="1"/>
  <c r="R76" i="16"/>
  <c r="R84" i="16" s="1"/>
  <c r="R64" i="16"/>
  <c r="R40" i="16"/>
  <c r="R48" i="16" s="1"/>
  <c r="P100" i="16"/>
  <c r="P88" i="16"/>
  <c r="P96" i="16" s="1"/>
  <c r="P76" i="16"/>
  <c r="V69" i="10"/>
  <c r="T69" i="10"/>
  <c r="V65" i="10"/>
  <c r="T65" i="10"/>
  <c r="V66" i="10"/>
  <c r="T66" i="10"/>
  <c r="V55" i="10"/>
  <c r="T55" i="10"/>
  <c r="P64" i="16"/>
  <c r="P40" i="16"/>
  <c r="T21" i="9"/>
  <c r="R52" i="16"/>
  <c r="R60" i="16" s="1"/>
  <c r="T50" i="3"/>
  <c r="T60" i="9"/>
  <c r="V75" i="6"/>
  <c r="V57" i="6"/>
  <c r="V31" i="6"/>
  <c r="V125" i="9"/>
  <c r="V78" i="9"/>
  <c r="Q230" i="9"/>
  <c r="Q88" i="16"/>
  <c r="Q12" i="11"/>
  <c r="V66" i="3"/>
  <c r="V70" i="3"/>
  <c r="V28" i="3"/>
  <c r="V51" i="3"/>
  <c r="Q52" i="16"/>
  <c r="Q60" i="16" s="1"/>
  <c r="Q64" i="16"/>
  <c r="Q92" i="15"/>
  <c r="Q99" i="17"/>
  <c r="Q95" i="15"/>
  <c r="Q180" i="17"/>
  <c r="Q11" i="11"/>
  <c r="V13" i="10"/>
  <c r="T13" i="10"/>
  <c r="Q100" i="16"/>
  <c r="Q108" i="16" s="1"/>
  <c r="Q100" i="17"/>
  <c r="Q104" i="15"/>
  <c r="V54" i="6"/>
  <c r="Q15" i="11"/>
  <c r="Q30" i="16"/>
  <c r="Q78" i="17"/>
  <c r="V71" i="4"/>
  <c r="T116" i="9"/>
  <c r="Q102" i="15"/>
  <c r="Q103" i="15"/>
  <c r="Q73" i="17"/>
  <c r="V88" i="3"/>
  <c r="Q31" i="16"/>
  <c r="Q105" i="17"/>
  <c r="V94" i="4"/>
  <c r="Q13" i="11"/>
  <c r="Q14" i="11"/>
  <c r="T17" i="16"/>
  <c r="V35" i="6"/>
  <c r="Q40" i="16"/>
  <c r="Q48" i="16" s="1"/>
  <c r="Q34" i="16"/>
  <c r="Q186" i="17"/>
  <c r="T86" i="7"/>
  <c r="Q107" i="15"/>
  <c r="Q181" i="17"/>
  <c r="Q10" i="11"/>
  <c r="Q16" i="11"/>
  <c r="P127" i="17"/>
  <c r="P105" i="15"/>
  <c r="S88" i="7"/>
  <c r="V88" i="7" s="1"/>
  <c r="V85" i="7"/>
  <c r="V94" i="7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4" i="16" s="1"/>
  <c r="R21" i="16" s="1"/>
  <c r="R18" i="11" s="1"/>
  <c r="R217" i="9"/>
  <c r="V85" i="6"/>
  <c r="P106" i="15"/>
  <c r="P154" i="17"/>
  <c r="R154" i="17"/>
  <c r="R106" i="15"/>
  <c r="P94" i="15"/>
  <c r="P153" i="17"/>
  <c r="R153" i="17"/>
  <c r="R94" i="15"/>
  <c r="R233" i="9"/>
  <c r="P46" i="15"/>
  <c r="V47" i="6"/>
  <c r="V26" i="6"/>
  <c r="Q106" i="15"/>
  <c r="Q154" i="17"/>
  <c r="V87" i="6"/>
  <c r="V88" i="6"/>
  <c r="R58" i="15"/>
  <c r="P225" i="9"/>
  <c r="R34" i="15"/>
  <c r="V45" i="6"/>
  <c r="T72" i="6"/>
  <c r="V60" i="6"/>
  <c r="Q153" i="17"/>
  <c r="Q94" i="15"/>
  <c r="V59" i="6"/>
  <c r="V28" i="6"/>
  <c r="R142" i="15"/>
  <c r="P129" i="16"/>
  <c r="P58" i="15"/>
  <c r="V43" i="6"/>
  <c r="V38" i="6"/>
  <c r="V82" i="6"/>
  <c r="V65" i="6"/>
  <c r="V55" i="6"/>
  <c r="V81" i="6"/>
  <c r="V33" i="6"/>
  <c r="T36" i="6"/>
  <c r="V79" i="6"/>
  <c r="P162" i="17"/>
  <c r="P69" i="16"/>
  <c r="R69" i="16"/>
  <c r="R162" i="17"/>
  <c r="Q159" i="17"/>
  <c r="Q33" i="16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150" i="17"/>
  <c r="T150" i="17" s="1"/>
  <c r="Q150" i="17"/>
  <c r="V14" i="6"/>
  <c r="Q162" i="17"/>
  <c r="Q69" i="16"/>
  <c r="V37" i="6"/>
  <c r="V93" i="6"/>
  <c r="S159" i="17"/>
  <c r="P33" i="16"/>
  <c r="P159" i="17"/>
  <c r="T83" i="5"/>
  <c r="P126" i="17"/>
  <c r="P93" i="15"/>
  <c r="T93" i="5"/>
  <c r="P32" i="16"/>
  <c r="S32" i="16" s="1"/>
  <c r="P132" i="17"/>
  <c r="P68" i="16"/>
  <c r="S68" i="16" s="1"/>
  <c r="P135" i="17"/>
  <c r="R141" i="17"/>
  <c r="V83" i="4"/>
  <c r="V84" i="4"/>
  <c r="V87" i="4"/>
  <c r="V59" i="4"/>
  <c r="V81" i="4"/>
  <c r="V88" i="4"/>
  <c r="V47" i="4"/>
  <c r="V40" i="4"/>
  <c r="V55" i="4"/>
  <c r="T97" i="4"/>
  <c r="V75" i="4"/>
  <c r="V34" i="4"/>
  <c r="V24" i="4"/>
  <c r="T96" i="4"/>
  <c r="V56" i="4"/>
  <c r="V18" i="4"/>
  <c r="T88" i="4"/>
  <c r="T86" i="4"/>
  <c r="T87" i="4"/>
  <c r="V36" i="4"/>
  <c r="V23" i="4"/>
  <c r="V50" i="4"/>
  <c r="T21" i="4"/>
  <c r="V69" i="4"/>
  <c r="V52" i="4"/>
  <c r="V68" i="4"/>
  <c r="R138" i="15"/>
  <c r="V87" i="3"/>
  <c r="V69" i="3"/>
  <c r="V77" i="3"/>
  <c r="V60" i="3"/>
  <c r="T20" i="3"/>
  <c r="V62" i="3"/>
  <c r="V45" i="3"/>
  <c r="V43" i="3"/>
  <c r="V41" i="3"/>
  <c r="V25" i="3"/>
  <c r="T87" i="3"/>
  <c r="V44" i="3"/>
  <c r="V36" i="3"/>
  <c r="V46" i="3"/>
  <c r="V61" i="3"/>
  <c r="V39" i="3"/>
  <c r="V35" i="3"/>
  <c r="V71" i="3"/>
  <c r="V79" i="3"/>
  <c r="V67" i="3"/>
  <c r="Q187" i="9"/>
  <c r="V38" i="3"/>
  <c r="V58" i="3"/>
  <c r="P81" i="17"/>
  <c r="P66" i="16"/>
  <c r="S66" i="16" s="1"/>
  <c r="V23" i="3"/>
  <c r="Q81" i="17"/>
  <c r="Q66" i="16"/>
  <c r="Q86" i="17"/>
  <c r="Q85" i="17" s="1"/>
  <c r="Q126" i="16"/>
  <c r="Q114" i="16" s="1"/>
  <c r="P91" i="15"/>
  <c r="P72" i="17"/>
  <c r="T63" i="3"/>
  <c r="V53" i="3"/>
  <c r="Q43" i="15"/>
  <c r="R87" i="17"/>
  <c r="R29" i="16"/>
  <c r="Q29" i="16"/>
  <c r="P29" i="16"/>
  <c r="V94" i="2"/>
  <c r="T40" i="17"/>
  <c r="V83" i="2"/>
  <c r="P90" i="15"/>
  <c r="R213" i="9"/>
  <c r="R90" i="15"/>
  <c r="R49" i="17"/>
  <c r="Q49" i="17"/>
  <c r="Q90" i="15"/>
  <c r="R7" i="2"/>
  <c r="T86" i="2"/>
  <c r="R125" i="16"/>
  <c r="Q90" i="3"/>
  <c r="Q5" i="3" s="1"/>
  <c r="Q180" i="9" s="1"/>
  <c r="Q214" i="9"/>
  <c r="Q67" i="17"/>
  <c r="Q76" i="17" s="1"/>
  <c r="Q139" i="15"/>
  <c r="Q138" i="16"/>
  <c r="V42" i="4"/>
  <c r="V14" i="4"/>
  <c r="T46" i="4"/>
  <c r="V35" i="4"/>
  <c r="V17" i="4"/>
  <c r="V19" i="4"/>
  <c r="V45" i="4"/>
  <c r="T62" i="9"/>
  <c r="T51" i="9"/>
  <c r="V19" i="9"/>
  <c r="V63" i="4"/>
  <c r="V25" i="4"/>
  <c r="T49" i="4"/>
  <c r="V77" i="4"/>
  <c r="V54" i="4"/>
  <c r="V38" i="4"/>
  <c r="V22" i="4"/>
  <c r="V61" i="4"/>
  <c r="V39" i="4"/>
  <c r="V78" i="4"/>
  <c r="V20" i="4"/>
  <c r="P127" i="16"/>
  <c r="P113" i="17"/>
  <c r="P112" i="17" s="1"/>
  <c r="Q65" i="16"/>
  <c r="Q113" i="17"/>
  <c r="Q112" i="17" s="1"/>
  <c r="Q127" i="16"/>
  <c r="Q115" i="16" s="1"/>
  <c r="Q140" i="15"/>
  <c r="Q139" i="16"/>
  <c r="P138" i="15"/>
  <c r="V99" i="4"/>
  <c r="V95" i="4"/>
  <c r="P108" i="17"/>
  <c r="P67" i="16"/>
  <c r="Q125" i="16"/>
  <c r="P125" i="16"/>
  <c r="R114" i="17"/>
  <c r="R116" i="17" s="1"/>
  <c r="Q138" i="15"/>
  <c r="Q67" i="16"/>
  <c r="Q108" i="17"/>
  <c r="P65" i="16"/>
  <c r="T49" i="10"/>
  <c r="V48" i="3"/>
  <c r="T112" i="9"/>
  <c r="V16" i="9"/>
  <c r="V61" i="7"/>
  <c r="T69" i="7"/>
  <c r="V97" i="3"/>
  <c r="V78" i="3"/>
  <c r="V80" i="3"/>
  <c r="V76" i="3"/>
  <c r="V64" i="3"/>
  <c r="V57" i="3"/>
  <c r="Q31" i="15"/>
  <c r="V37" i="7"/>
  <c r="V97" i="7"/>
  <c r="V35" i="7"/>
  <c r="Q222" i="9"/>
  <c r="V34" i="9"/>
  <c r="V27" i="2"/>
  <c r="V61" i="2"/>
  <c r="V56" i="2"/>
  <c r="V54" i="2"/>
  <c r="V25" i="2"/>
  <c r="V51" i="2"/>
  <c r="V37" i="2"/>
  <c r="V44" i="2"/>
  <c r="V50" i="2"/>
  <c r="T40" i="9"/>
  <c r="Q96" i="10"/>
  <c r="Q9" i="10" s="1"/>
  <c r="V60" i="4"/>
  <c r="V15" i="4"/>
  <c r="V73" i="4"/>
  <c r="P140" i="15"/>
  <c r="V37" i="4"/>
  <c r="T27" i="4"/>
  <c r="V51" i="4"/>
  <c r="V76" i="4"/>
  <c r="T64" i="7"/>
  <c r="V57" i="7"/>
  <c r="V59" i="7"/>
  <c r="V24" i="7"/>
  <c r="V76" i="7"/>
  <c r="V54" i="7"/>
  <c r="V50" i="7"/>
  <c r="V75" i="7"/>
  <c r="V28" i="7"/>
  <c r="V65" i="7"/>
  <c r="V81" i="7"/>
  <c r="V53" i="4"/>
  <c r="V57" i="4"/>
  <c r="T58" i="4"/>
  <c r="Q7" i="6"/>
  <c r="V71" i="5"/>
  <c r="V41" i="5"/>
  <c r="T41" i="5"/>
  <c r="T41" i="4"/>
  <c r="V66" i="2"/>
  <c r="Q6" i="3"/>
  <c r="V20" i="15"/>
  <c r="T20" i="15"/>
  <c r="T16" i="15"/>
  <c r="V16" i="15"/>
  <c r="V69" i="6"/>
  <c r="T69" i="6"/>
  <c r="V44" i="9"/>
  <c r="T44" i="9"/>
  <c r="T28" i="3"/>
  <c r="Q215" i="9"/>
  <c r="Q32" i="15"/>
  <c r="V53" i="10"/>
  <c r="T53" i="10"/>
  <c r="V77" i="7"/>
  <c r="T36" i="5"/>
  <c r="V36" i="5"/>
  <c r="V58" i="5"/>
  <c r="T58" i="5"/>
  <c r="V34" i="5"/>
  <c r="T34" i="5"/>
  <c r="T81" i="3"/>
  <c r="M17" i="11"/>
  <c r="V78" i="2"/>
  <c r="P221" i="9"/>
  <c r="P42" i="15"/>
  <c r="T41" i="17"/>
  <c r="V68" i="2"/>
  <c r="V79" i="2"/>
  <c r="V39" i="2"/>
  <c r="V38" i="2"/>
  <c r="V47" i="2"/>
  <c r="V55" i="2"/>
  <c r="V59" i="2"/>
  <c r="V52" i="2"/>
  <c r="T124" i="9"/>
  <c r="V124" i="9"/>
  <c r="Q47" i="15"/>
  <c r="Q226" i="9"/>
  <c r="Q7" i="7"/>
  <c r="V16" i="10"/>
  <c r="T16" i="10"/>
  <c r="V35" i="10"/>
  <c r="T35" i="10"/>
  <c r="Q233" i="9"/>
  <c r="Q58" i="15"/>
  <c r="V73" i="10"/>
  <c r="V15" i="15"/>
  <c r="T15" i="15"/>
  <c r="P5" i="4"/>
  <c r="P181" i="9" s="1"/>
  <c r="V44" i="7"/>
  <c r="V26" i="10"/>
  <c r="V18" i="15"/>
  <c r="T18" i="15"/>
  <c r="T34" i="6"/>
  <c r="V79" i="4"/>
  <c r="V68" i="7"/>
  <c r="P232" i="9"/>
  <c r="P57" i="15"/>
  <c r="V77" i="10"/>
  <c r="T76" i="10"/>
  <c r="P6" i="4"/>
  <c r="V60" i="7"/>
  <c r="V96" i="7"/>
  <c r="P226" i="9"/>
  <c r="P47" i="15"/>
  <c r="S176" i="17"/>
  <c r="T176" i="17" s="1"/>
  <c r="V25" i="7"/>
  <c r="P234" i="9"/>
  <c r="P59" i="15"/>
  <c r="V38" i="7"/>
  <c r="V52" i="7"/>
  <c r="V72" i="5"/>
  <c r="T72" i="5"/>
  <c r="V46" i="5"/>
  <c r="T46" i="5"/>
  <c r="T25" i="5"/>
  <c r="V25" i="5"/>
  <c r="V49" i="5"/>
  <c r="T49" i="5"/>
  <c r="V42" i="5"/>
  <c r="T42" i="5"/>
  <c r="P189" i="9"/>
  <c r="T17" i="3"/>
  <c r="V17" i="3"/>
  <c r="P187" i="9"/>
  <c r="V14" i="15"/>
  <c r="T14" i="15"/>
  <c r="Q7" i="2"/>
  <c r="Q44" i="15"/>
  <c r="Q223" i="9"/>
  <c r="P229" i="9"/>
  <c r="P54" i="15"/>
  <c r="T42" i="17"/>
  <c r="P6" i="2"/>
  <c r="V26" i="2"/>
  <c r="V43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V52" i="10"/>
  <c r="T52" i="10"/>
  <c r="V43" i="10"/>
  <c r="T43" i="10"/>
  <c r="V20" i="7"/>
  <c r="V15" i="5"/>
  <c r="T15" i="5"/>
  <c r="V30" i="5"/>
  <c r="T30" i="5"/>
  <c r="V22" i="5"/>
  <c r="T22" i="5"/>
  <c r="T80" i="5"/>
  <c r="V80" i="5"/>
  <c r="T21" i="5"/>
  <c r="V21" i="5"/>
  <c r="Q42" i="15"/>
  <c r="Q221" i="9"/>
  <c r="P5" i="2"/>
  <c r="P179" i="9" s="1"/>
  <c r="T15" i="9"/>
  <c r="V15" i="9"/>
  <c r="Q46" i="15"/>
  <c r="Q225" i="9"/>
  <c r="V43" i="4"/>
  <c r="V70" i="7"/>
  <c r="V14" i="7"/>
  <c r="V40" i="7"/>
  <c r="V79" i="7"/>
  <c r="V62" i="5"/>
  <c r="T62" i="5"/>
  <c r="V67" i="5"/>
  <c r="T67" i="5"/>
  <c r="R47" i="15"/>
  <c r="R49" i="15" s="1"/>
  <c r="R226" i="9"/>
  <c r="R227" i="9" s="1"/>
  <c r="R234" i="9"/>
  <c r="R59" i="15"/>
  <c r="R96" i="10"/>
  <c r="R9" i="10" s="1"/>
  <c r="U9" i="10" s="1"/>
  <c r="P39" i="10"/>
  <c r="S39" i="10" s="1"/>
  <c r="V31" i="10"/>
  <c r="T31" i="10"/>
  <c r="P231" i="9"/>
  <c r="P56" i="15"/>
  <c r="P44" i="15"/>
  <c r="P223" i="9"/>
  <c r="S95" i="17"/>
  <c r="T95" i="17" s="1"/>
  <c r="V70" i="4"/>
  <c r="V22" i="7"/>
  <c r="V53" i="7"/>
  <c r="V55" i="7"/>
  <c r="R31" i="15"/>
  <c r="R214" i="9"/>
  <c r="R90" i="3"/>
  <c r="R5" i="3" s="1"/>
  <c r="R180" i="9" s="1"/>
  <c r="R218" i="9"/>
  <c r="R35" i="15"/>
  <c r="T41" i="10"/>
  <c r="V41" i="10"/>
  <c r="V48" i="10"/>
  <c r="T48" i="10"/>
  <c r="S149" i="17"/>
  <c r="T149" i="17" s="1"/>
  <c r="T42" i="4"/>
  <c r="V65" i="4"/>
  <c r="P215" i="9"/>
  <c r="P32" i="15"/>
  <c r="V46" i="4"/>
  <c r="V45" i="7"/>
  <c r="V39" i="7"/>
  <c r="V47" i="7"/>
  <c r="V43" i="7"/>
  <c r="V78" i="7"/>
  <c r="V27" i="7"/>
  <c r="V18" i="7"/>
  <c r="V31" i="7"/>
  <c r="V51" i="7"/>
  <c r="V82" i="7"/>
  <c r="V17" i="7"/>
  <c r="T53" i="5"/>
  <c r="V53" i="5"/>
  <c r="T64" i="5"/>
  <c r="V64" i="5"/>
  <c r="V19" i="5"/>
  <c r="T19" i="5"/>
  <c r="T27" i="5"/>
  <c r="V27" i="5"/>
  <c r="P216" i="9"/>
  <c r="S121" i="17"/>
  <c r="P33" i="15"/>
  <c r="P5" i="5"/>
  <c r="P182" i="9" s="1"/>
  <c r="P45" i="15"/>
  <c r="P224" i="9"/>
  <c r="V17" i="5"/>
  <c r="T17" i="5"/>
  <c r="Q229" i="9"/>
  <c r="Q54" i="15"/>
  <c r="Q7" i="4"/>
  <c r="Q231" i="9"/>
  <c r="Q56" i="15"/>
  <c r="V35" i="2"/>
  <c r="V70" i="2"/>
  <c r="V57" i="2"/>
  <c r="V76" i="2"/>
  <c r="V60" i="2"/>
  <c r="V65" i="2"/>
  <c r="V17" i="2"/>
  <c r="V69" i="2"/>
  <c r="V81" i="2"/>
  <c r="T70" i="9"/>
  <c r="V70" i="9"/>
  <c r="Q234" i="9"/>
  <c r="Q59" i="15"/>
  <c r="V68" i="10"/>
  <c r="T67" i="10"/>
  <c r="T18" i="10"/>
  <c r="V18" i="10"/>
  <c r="S65" i="16" l="1"/>
  <c r="V30" i="2"/>
  <c r="V20" i="2"/>
  <c r="T66" i="6"/>
  <c r="T66" i="5"/>
  <c r="V48" i="5"/>
  <c r="T33" i="5"/>
  <c r="S48" i="7"/>
  <c r="V48" i="7" s="1"/>
  <c r="T67" i="6"/>
  <c r="V98" i="3"/>
  <c r="V96" i="6"/>
  <c r="V16" i="5"/>
  <c r="T16" i="5"/>
  <c r="V23" i="7"/>
  <c r="T23" i="7"/>
  <c r="V75" i="3"/>
  <c r="P130" i="17"/>
  <c r="T80" i="6"/>
  <c r="T71" i="6"/>
  <c r="S130" i="16"/>
  <c r="S70" i="16"/>
  <c r="S71" i="7"/>
  <c r="T71" i="7" s="1"/>
  <c r="S129" i="16"/>
  <c r="S69" i="16"/>
  <c r="P115" i="16"/>
  <c r="S115" i="16" s="1"/>
  <c r="S127" i="16"/>
  <c r="S139" i="16"/>
  <c r="S67" i="16"/>
  <c r="P103" i="17"/>
  <c r="V37" i="3"/>
  <c r="R89" i="17"/>
  <c r="P108" i="16"/>
  <c r="S108" i="16" s="1"/>
  <c r="S100" i="16"/>
  <c r="S125" i="16"/>
  <c r="Q96" i="16"/>
  <c r="S96" i="16" s="1"/>
  <c r="S88" i="16"/>
  <c r="S64" i="16"/>
  <c r="P84" i="16"/>
  <c r="S84" i="16" s="1"/>
  <c r="S76" i="16"/>
  <c r="P48" i="16"/>
  <c r="S48" i="16" s="1"/>
  <c r="S40" i="16"/>
  <c r="R109" i="15"/>
  <c r="T62" i="2"/>
  <c r="R157" i="17"/>
  <c r="Q103" i="17"/>
  <c r="R143" i="17"/>
  <c r="T83" i="2"/>
  <c r="Q143" i="17"/>
  <c r="V67" i="7"/>
  <c r="T84" i="4"/>
  <c r="V47" i="3"/>
  <c r="V20" i="3"/>
  <c r="V36" i="6"/>
  <c r="V98" i="2"/>
  <c r="T98" i="2"/>
  <c r="V98" i="4"/>
  <c r="T98" i="4"/>
  <c r="V74" i="7"/>
  <c r="T74" i="7"/>
  <c r="V98" i="6"/>
  <c r="T98" i="6"/>
  <c r="V74" i="6"/>
  <c r="T74" i="6"/>
  <c r="T34" i="2"/>
  <c r="T88" i="3"/>
  <c r="T49" i="3"/>
  <c r="V73" i="3"/>
  <c r="V74" i="3"/>
  <c r="T74" i="3"/>
  <c r="V3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R62" i="17" s="1"/>
  <c r="V42" i="7"/>
  <c r="T42" i="7"/>
  <c r="V46" i="7"/>
  <c r="T46" i="7"/>
  <c r="V41" i="7"/>
  <c r="T41" i="7"/>
  <c r="T43" i="3"/>
  <c r="T67" i="3"/>
  <c r="T24" i="3"/>
  <c r="S104" i="15"/>
  <c r="S100" i="17"/>
  <c r="T100" i="17" s="1"/>
  <c r="V97" i="6"/>
  <c r="T97" i="6"/>
  <c r="T56" i="6"/>
  <c r="V48" i="6"/>
  <c r="T62" i="6"/>
  <c r="V46" i="6"/>
  <c r="T46" i="6"/>
  <c r="V42" i="6"/>
  <c r="T42" i="6"/>
  <c r="V41" i="6"/>
  <c r="T41" i="6"/>
  <c r="V26" i="4"/>
  <c r="T26" i="4"/>
  <c r="T42" i="3"/>
  <c r="R145" i="15"/>
  <c r="R22" i="15" s="1"/>
  <c r="R23" i="15" s="1"/>
  <c r="V85" i="3"/>
  <c r="T85" i="3"/>
  <c r="Q7" i="3"/>
  <c r="R72" i="16"/>
  <c r="R33" i="17"/>
  <c r="R35" i="17" s="1"/>
  <c r="V41" i="4"/>
  <c r="Q87" i="17"/>
  <c r="Q89" i="17" s="1"/>
  <c r="V50" i="3"/>
  <c r="R235" i="9"/>
  <c r="V72" i="6"/>
  <c r="T58" i="6"/>
  <c r="T32" i="6"/>
  <c r="S233" i="9"/>
  <c r="S58" i="15"/>
  <c r="V32" i="6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52" i="16"/>
  <c r="T49" i="6"/>
  <c r="Q205" i="9"/>
  <c r="Q206" i="9" s="1"/>
  <c r="T59" i="3"/>
  <c r="Q33" i="17"/>
  <c r="Q35" i="17" s="1"/>
  <c r="T46" i="17"/>
  <c r="S102" i="15"/>
  <c r="S99" i="17"/>
  <c r="T99" i="17" s="1"/>
  <c r="S92" i="15"/>
  <c r="T27" i="17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V67" i="10"/>
  <c r="T28" i="17"/>
  <c r="V76" i="10"/>
  <c r="T30" i="17"/>
  <c r="V86" i="2"/>
  <c r="V18" i="16"/>
  <c r="S15" i="11"/>
  <c r="T18" i="16"/>
  <c r="T15" i="16"/>
  <c r="S12" i="11"/>
  <c r="V15" i="16"/>
  <c r="V95" i="6"/>
  <c r="T25" i="17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T29" i="17"/>
  <c r="T16" i="16"/>
  <c r="V16" i="16"/>
  <c r="S13" i="11"/>
  <c r="V101" i="6"/>
  <c r="T95" i="4"/>
  <c r="T33" i="4"/>
  <c r="V93" i="7"/>
  <c r="S186" i="17"/>
  <c r="T186" i="17" s="1"/>
  <c r="S78" i="17"/>
  <c r="T78" i="17" s="1"/>
  <c r="V93" i="3"/>
  <c r="V14" i="16"/>
  <c r="S11" i="11"/>
  <c r="T14" i="16"/>
  <c r="Q184" i="17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194" i="17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Q168" i="17"/>
  <c r="T159" i="17"/>
  <c r="S167" i="17"/>
  <c r="P36" i="16"/>
  <c r="S162" i="17"/>
  <c r="T162" i="17" s="1"/>
  <c r="R168" i="17"/>
  <c r="V83" i="5"/>
  <c r="S126" i="17"/>
  <c r="T126" i="17" s="1"/>
  <c r="S93" i="15"/>
  <c r="V93" i="5"/>
  <c r="S132" i="17"/>
  <c r="V95" i="5"/>
  <c r="S135" i="17"/>
  <c r="T135" i="17" s="1"/>
  <c r="P97" i="15"/>
  <c r="T23" i="4"/>
  <c r="T19" i="4"/>
  <c r="T15" i="4"/>
  <c r="T36" i="4"/>
  <c r="T85" i="4"/>
  <c r="V85" i="4"/>
  <c r="Q114" i="17"/>
  <c r="P114" i="17"/>
  <c r="V33" i="3"/>
  <c r="T33" i="3"/>
  <c r="Q198" i="9"/>
  <c r="Q200" i="9" s="1"/>
  <c r="T35" i="3"/>
  <c r="V63" i="3"/>
  <c r="V95" i="3"/>
  <c r="S81" i="17"/>
  <c r="T81" i="17" s="1"/>
  <c r="S91" i="15"/>
  <c r="S72" i="17"/>
  <c r="T72" i="17" s="1"/>
  <c r="T13" i="2"/>
  <c r="T51" i="17"/>
  <c r="V93" i="2"/>
  <c r="V13" i="2"/>
  <c r="P49" i="17"/>
  <c r="S90" i="15"/>
  <c r="T45" i="17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144" i="16"/>
  <c r="Q21" i="16" s="1"/>
  <c r="Q18" i="11" s="1"/>
  <c r="T99" i="4"/>
  <c r="T100" i="4"/>
  <c r="Q49" i="15"/>
  <c r="V49" i="4"/>
  <c r="P72" i="16"/>
  <c r="P113" i="16"/>
  <c r="Q145" i="15"/>
  <c r="Q22" i="15" s="1"/>
  <c r="Q23" i="15" s="1"/>
  <c r="P7" i="4"/>
  <c r="Q61" i="15"/>
  <c r="Q72" i="16"/>
  <c r="S138" i="15"/>
  <c r="Q60" i="17"/>
  <c r="Q62" i="17" s="1"/>
  <c r="S113" i="17"/>
  <c r="S140" i="15"/>
  <c r="Q113" i="16"/>
  <c r="Q120" i="16" s="1"/>
  <c r="Q20" i="16" s="1"/>
  <c r="Q132" i="16"/>
  <c r="S108" i="17"/>
  <c r="T94" i="17"/>
  <c r="T66" i="2"/>
  <c r="V99" i="2"/>
  <c r="M19" i="11"/>
  <c r="M41" i="11" s="1"/>
  <c r="I41" i="11"/>
  <c r="T49" i="7"/>
  <c r="T34" i="7"/>
  <c r="V58" i="4"/>
  <c r="V66" i="7"/>
  <c r="T66" i="7"/>
  <c r="T80" i="7"/>
  <c r="V19" i="2"/>
  <c r="V71" i="7"/>
  <c r="V30" i="3"/>
  <c r="T30" i="3"/>
  <c r="V33" i="7"/>
  <c r="T33" i="7"/>
  <c r="R219" i="9"/>
  <c r="V100" i="2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R198" i="9"/>
  <c r="R200" i="9" s="1"/>
  <c r="R205" i="9"/>
  <c r="V19" i="7"/>
  <c r="T19" i="7"/>
  <c r="T30" i="7"/>
  <c r="V30" i="7"/>
  <c r="T30" i="4"/>
  <c r="V30" i="4"/>
  <c r="V15" i="2"/>
  <c r="T15" i="2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T48" i="7" l="1"/>
  <c r="R170" i="17"/>
  <c r="P116" i="17"/>
  <c r="Q116" i="17"/>
  <c r="S113" i="16"/>
  <c r="S72" i="16"/>
  <c r="P60" i="16"/>
  <c r="S60" i="16" s="1"/>
  <c r="S52" i="16"/>
  <c r="S36" i="16"/>
  <c r="P62" i="17"/>
  <c r="V16" i="11"/>
  <c r="T16" i="1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T26" i="17"/>
  <c r="Q197" i="17"/>
  <c r="V13" i="11"/>
  <c r="T13" i="11"/>
  <c r="V10" i="11"/>
  <c r="T10" i="11"/>
  <c r="Q170" i="17"/>
  <c r="T11" i="11"/>
  <c r="V11" i="11"/>
  <c r="T180" i="17"/>
  <c r="V12" i="11"/>
  <c r="T12" i="11"/>
  <c r="T15" i="11"/>
  <c r="V15" i="11"/>
  <c r="S130" i="17"/>
  <c r="T130" i="17" s="1"/>
  <c r="T189" i="17"/>
  <c r="T194" i="17"/>
  <c r="T167" i="17"/>
  <c r="T132" i="17"/>
  <c r="S97" i="15"/>
  <c r="S49" i="17"/>
  <c r="T49" i="17" s="1"/>
  <c r="T59" i="17"/>
  <c r="T108" i="17"/>
  <c r="S112" i="17"/>
  <c r="T112" i="17" s="1"/>
  <c r="T113" i="17"/>
  <c r="T54" i="17"/>
  <c r="V5" i="5"/>
  <c r="T5" i="5"/>
  <c r="S182" i="9"/>
  <c r="S213" i="9"/>
  <c r="S30" i="15"/>
  <c r="R206" i="9"/>
  <c r="R208" i="9"/>
  <c r="R209" i="9" s="1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S181" i="9"/>
  <c r="T5" i="4"/>
  <c r="V5" i="4"/>
  <c r="S222" i="9"/>
  <c r="S227" i="9" s="1"/>
  <c r="S43" i="15"/>
  <c r="S49" i="15" s="1"/>
  <c r="T39" i="10"/>
  <c r="V39" i="10"/>
  <c r="V7" i="4" l="1"/>
  <c r="T7" i="4"/>
  <c r="S114" i="17"/>
  <c r="S60" i="17"/>
  <c r="V7" i="2"/>
  <c r="T7" i="2"/>
  <c r="T60" i="17" l="1"/>
  <c r="S62" i="17"/>
  <c r="T114" i="17"/>
  <c r="S116" i="17"/>
  <c r="P118" i="9" l="1"/>
  <c r="C106" i="9"/>
  <c r="L106" i="9" s="1"/>
  <c r="S118" i="9" l="1"/>
  <c r="V118" i="9" s="1"/>
  <c r="P106" i="9"/>
  <c r="S106" i="9" s="1"/>
  <c r="C17" i="17"/>
  <c r="C77" i="15"/>
  <c r="C85" i="15" s="1"/>
  <c r="C17" i="15" s="1"/>
  <c r="P17" i="17" l="1"/>
  <c r="S17" i="17" s="1"/>
  <c r="L17" i="17"/>
  <c r="T118" i="9"/>
  <c r="P77" i="15"/>
  <c r="P85" i="15" s="1"/>
  <c r="C31" i="11"/>
  <c r="P17" i="15"/>
  <c r="D23" i="23" l="1"/>
  <c r="E23" i="23" s="1"/>
  <c r="L31" i="11"/>
  <c r="S77" i="15"/>
  <c r="S85" i="15" s="1"/>
  <c r="V106" i="9"/>
  <c r="T106" i="9"/>
  <c r="S17" i="15"/>
  <c r="P31" i="11"/>
  <c r="T17" i="17" l="1"/>
  <c r="V17" i="15"/>
  <c r="T17" i="15"/>
  <c r="S31" i="11"/>
  <c r="V31" i="11" l="1"/>
  <c r="T31" i="11"/>
  <c r="P15" i="7"/>
  <c r="S15" i="7" s="1"/>
  <c r="C13" i="7"/>
  <c r="P13" i="7" s="1"/>
  <c r="S13" i="7" s="1"/>
  <c r="V15" i="7" l="1"/>
  <c r="P218" i="9"/>
  <c r="P35" i="15"/>
  <c r="P175" i="17"/>
  <c r="P184" i="17" s="1"/>
  <c r="C175" i="17"/>
  <c r="C184" i="17" s="1"/>
  <c r="L13" i="7"/>
  <c r="C35" i="15"/>
  <c r="C89" i="7"/>
  <c r="L89" i="7" s="1"/>
  <c r="C218" i="9"/>
  <c r="S35" i="15" l="1"/>
  <c r="V13" i="7"/>
  <c r="S175" i="17"/>
  <c r="S218" i="9"/>
  <c r="C5" i="7"/>
  <c r="L5" i="7" s="1"/>
  <c r="C104" i="7"/>
  <c r="C100" i="7" s="1"/>
  <c r="P89" i="7"/>
  <c r="S89" i="7" s="1"/>
  <c r="L100" i="7" l="1"/>
  <c r="C142" i="16"/>
  <c r="C99" i="7"/>
  <c r="L99" i="7" s="1"/>
  <c r="C143" i="15"/>
  <c r="P100" i="7"/>
  <c r="S100" i="7" s="1"/>
  <c r="S184" i="17"/>
  <c r="T184" i="17" s="1"/>
  <c r="T175" i="17"/>
  <c r="P5" i="7"/>
  <c r="P184" i="9" s="1"/>
  <c r="C184" i="9"/>
  <c r="S5" i="7" l="1"/>
  <c r="V89" i="7"/>
  <c r="C118" i="16"/>
  <c r="C193" i="17"/>
  <c r="C195" i="17" s="1"/>
  <c r="C197" i="17" s="1"/>
  <c r="C102" i="7"/>
  <c r="L102" i="7" s="1"/>
  <c r="P99" i="7"/>
  <c r="S99" i="7" s="1"/>
  <c r="P142" i="16"/>
  <c r="S142" i="16" s="1"/>
  <c r="T100" i="7"/>
  <c r="P143" i="15"/>
  <c r="C6" i="7" l="1"/>
  <c r="L6" i="7" s="1"/>
  <c r="P102" i="7"/>
  <c r="S102" i="7" s="1"/>
  <c r="V5" i="7"/>
  <c r="S184" i="9"/>
  <c r="T5" i="7"/>
  <c r="S143" i="15"/>
  <c r="V100" i="7"/>
  <c r="P193" i="17"/>
  <c r="P195" i="17" s="1"/>
  <c r="P197" i="17" s="1"/>
  <c r="P118" i="16"/>
  <c r="S118" i="16" s="1"/>
  <c r="T99" i="7" l="1"/>
  <c r="V99" i="7"/>
  <c r="S193" i="17"/>
  <c r="P6" i="7"/>
  <c r="P7" i="7" s="1"/>
  <c r="C7" i="7"/>
  <c r="T7" i="7" s="1"/>
  <c r="S195" i="17" l="1"/>
  <c r="T193" i="17"/>
  <c r="S6" i="7"/>
  <c r="V102" i="7"/>
  <c r="V6" i="7" l="1"/>
  <c r="S7" i="7"/>
  <c r="V7" i="7" s="1"/>
  <c r="T6" i="7"/>
  <c r="S197" i="17"/>
  <c r="T195" i="17"/>
  <c r="T15" i="7"/>
  <c r="C13" i="6"/>
  <c r="C34" i="15" l="1"/>
  <c r="C89" i="6"/>
  <c r="L89" i="6" s="1"/>
  <c r="P13" i="6"/>
  <c r="S13" i="6" s="1"/>
  <c r="C217" i="9"/>
  <c r="T13" i="7"/>
  <c r="C148" i="17"/>
  <c r="C157" i="17" s="1"/>
  <c r="P34" i="15" l="1"/>
  <c r="P148" i="17"/>
  <c r="P157" i="17" s="1"/>
  <c r="P217" i="9"/>
  <c r="T89" i="7"/>
  <c r="C5" i="6"/>
  <c r="L5" i="6" s="1"/>
  <c r="C100" i="6"/>
  <c r="P89" i="6"/>
  <c r="S89" i="6" s="1"/>
  <c r="L100" i="6" l="1"/>
  <c r="C183" i="9"/>
  <c r="V13" i="6"/>
  <c r="S217" i="9"/>
  <c r="S34" i="15"/>
  <c r="S148" i="17"/>
  <c r="T13" i="6"/>
  <c r="P5" i="6"/>
  <c r="P183" i="9" s="1"/>
  <c r="T102" i="7"/>
  <c r="C141" i="16"/>
  <c r="C99" i="6"/>
  <c r="L99" i="6" s="1"/>
  <c r="C142" i="15"/>
  <c r="P100" i="6"/>
  <c r="S100" i="6" s="1"/>
  <c r="S5" i="6" l="1"/>
  <c r="V89" i="6"/>
  <c r="T89" i="6"/>
  <c r="T148" i="17"/>
  <c r="S157" i="17"/>
  <c r="T157" i="17" s="1"/>
  <c r="P142" i="15"/>
  <c r="P141" i="16"/>
  <c r="S141" i="16" s="1"/>
  <c r="P99" i="6"/>
  <c r="S99" i="6" s="1"/>
  <c r="C166" i="17"/>
  <c r="C168" i="17" s="1"/>
  <c r="C170" i="17" s="1"/>
  <c r="C117" i="16"/>
  <c r="C102" i="6"/>
  <c r="L102" i="6" s="1"/>
  <c r="T101" i="7"/>
  <c r="C6" i="6" l="1"/>
  <c r="L6" i="6" s="1"/>
  <c r="P102" i="6"/>
  <c r="S102" i="6" s="1"/>
  <c r="V5" i="6"/>
  <c r="S183" i="9"/>
  <c r="T5" i="6"/>
  <c r="P166" i="17"/>
  <c r="P168" i="17" s="1"/>
  <c r="P170" i="17" s="1"/>
  <c r="P117" i="16"/>
  <c r="S117" i="16" s="1"/>
  <c r="V100" i="6"/>
  <c r="S142" i="15"/>
  <c r="T100" i="6"/>
  <c r="P6" i="6" l="1"/>
  <c r="P7" i="6" s="1"/>
  <c r="C7" i="6"/>
  <c r="T7" i="6" s="1"/>
  <c r="S166" i="17"/>
  <c r="V99" i="6"/>
  <c r="T99" i="6"/>
  <c r="S6" i="6" l="1"/>
  <c r="V102" i="6"/>
  <c r="T102" i="6"/>
  <c r="T166" i="17"/>
  <c r="S168" i="17"/>
  <c r="V6" i="6" l="1"/>
  <c r="S7" i="6"/>
  <c r="V7" i="6" s="1"/>
  <c r="T6" i="6"/>
  <c r="S170" i="17"/>
  <c r="T168" i="17"/>
  <c r="P19" i="3" l="1"/>
  <c r="S19" i="3" s="1"/>
  <c r="C13" i="3"/>
  <c r="C67" i="17" l="1"/>
  <c r="C76" i="17" s="1"/>
  <c r="L13" i="3"/>
  <c r="P13" i="3"/>
  <c r="C31" i="15"/>
  <c r="C37" i="15" s="1"/>
  <c r="C13" i="15" s="1"/>
  <c r="C27" i="11" s="1"/>
  <c r="D19" i="23" s="1"/>
  <c r="E19" i="23" s="1"/>
  <c r="V19" i="3"/>
  <c r="T19" i="3"/>
  <c r="C214" i="9"/>
  <c r="C219" i="9" s="1"/>
  <c r="C237" i="9" s="1"/>
  <c r="C90" i="3"/>
  <c r="L90" i="3" l="1"/>
  <c r="C104" i="3"/>
  <c r="P31" i="15"/>
  <c r="P37" i="15" s="1"/>
  <c r="S13" i="3"/>
  <c r="V13" i="3" s="1"/>
  <c r="P67" i="17"/>
  <c r="P76" i="17" s="1"/>
  <c r="P13" i="15"/>
  <c r="S13" i="15" s="1"/>
  <c r="P214" i="9"/>
  <c r="P219" i="9" s="1"/>
  <c r="P90" i="3"/>
  <c r="C5" i="3"/>
  <c r="L5" i="3" s="1"/>
  <c r="P27" i="11"/>
  <c r="P5" i="3" l="1"/>
  <c r="P180" i="9" s="1"/>
  <c r="P198" i="9" s="1"/>
  <c r="S90" i="3"/>
  <c r="S5" i="3" s="1"/>
  <c r="S180" i="9" s="1"/>
  <c r="S67" i="17"/>
  <c r="T67" i="17" s="1"/>
  <c r="S214" i="9"/>
  <c r="S219" i="9" s="1"/>
  <c r="S31" i="15"/>
  <c r="S37" i="15" s="1"/>
  <c r="T13" i="3"/>
  <c r="W13" i="3" s="1"/>
  <c r="C180" i="9"/>
  <c r="V13" i="15"/>
  <c r="T13" i="15"/>
  <c r="S27" i="11"/>
  <c r="V5" i="3" l="1"/>
  <c r="T5" i="3"/>
  <c r="P205" i="9"/>
  <c r="P208" i="9" s="1"/>
  <c r="L100" i="3"/>
  <c r="S76" i="17"/>
  <c r="T76" i="17" s="1"/>
  <c r="T90" i="3"/>
  <c r="V27" i="11"/>
  <c r="T27" i="11"/>
  <c r="C205" i="9"/>
  <c r="C198" i="9"/>
  <c r="S205" i="9"/>
  <c r="S198" i="9"/>
  <c r="S208" i="9" l="1"/>
  <c r="C208" i="9"/>
  <c r="L88" i="10" l="1"/>
  <c r="P88" i="10"/>
  <c r="S88" i="10" s="1"/>
  <c r="T88" i="10" s="1"/>
  <c r="C87" i="10"/>
  <c r="L87" i="10" s="1"/>
  <c r="C81" i="10" l="1"/>
  <c r="C32" i="17"/>
  <c r="P32" i="17" s="1"/>
  <c r="S32" i="17" s="1"/>
  <c r="T32" i="17" s="1"/>
  <c r="P87" i="10"/>
  <c r="C124" i="16"/>
  <c r="V88" i="10"/>
  <c r="P81" i="10" l="1"/>
  <c r="L81" i="10"/>
  <c r="C80" i="10"/>
  <c r="C31" i="17" s="1"/>
  <c r="S87" i="10"/>
  <c r="P124" i="16"/>
  <c r="L80" i="10" l="1"/>
  <c r="C112" i="16"/>
  <c r="C96" i="10"/>
  <c r="S81" i="10"/>
  <c r="P80" i="10"/>
  <c r="P112" i="16" s="1"/>
  <c r="S124" i="16"/>
  <c r="V87" i="10"/>
  <c r="T87" i="10"/>
  <c r="C33" i="17"/>
  <c r="P31" i="17"/>
  <c r="V81" i="10" l="1"/>
  <c r="T81" i="10"/>
  <c r="L96" i="10"/>
  <c r="C9" i="10"/>
  <c r="L9" i="10" s="1"/>
  <c r="P96" i="10"/>
  <c r="S80" i="10"/>
  <c r="S112" i="16"/>
  <c r="S31" i="17"/>
  <c r="P33" i="17"/>
  <c r="V80" i="10" l="1"/>
  <c r="T80" i="10"/>
  <c r="S96" i="10"/>
  <c r="P9" i="10"/>
  <c r="S33" i="17"/>
  <c r="T31" i="17"/>
  <c r="S9" i="10" l="1"/>
  <c r="T96" i="10"/>
  <c r="V96" i="10"/>
  <c r="T33" i="17"/>
  <c r="V9" i="10" l="1"/>
  <c r="T9" i="10"/>
  <c r="C140" i="17"/>
  <c r="P101" i="5"/>
  <c r="S101" i="5" s="1"/>
  <c r="C128" i="16"/>
  <c r="C104" i="5"/>
  <c r="P128" i="16" l="1"/>
  <c r="S128" i="16" s="1"/>
  <c r="C100" i="5"/>
  <c r="C141" i="15" s="1"/>
  <c r="D107" i="5"/>
  <c r="S140" i="17"/>
  <c r="T140" i="17" s="1"/>
  <c r="T101" i="5"/>
  <c r="V101" i="5"/>
  <c r="P140" i="17"/>
  <c r="P100" i="5" l="1"/>
  <c r="P141" i="15" s="1"/>
  <c r="C140" i="16"/>
  <c r="C99" i="5"/>
  <c r="C102" i="5" s="1"/>
  <c r="S100" i="5" l="1"/>
  <c r="P140" i="16"/>
  <c r="C116" i="16"/>
  <c r="P99" i="5"/>
  <c r="S99" i="5" s="1"/>
  <c r="C139" i="17"/>
  <c r="C141" i="17" s="1"/>
  <c r="C143" i="17" s="1"/>
  <c r="S141" i="15"/>
  <c r="V100" i="5"/>
  <c r="T100" i="5"/>
  <c r="P102" i="5"/>
  <c r="C6" i="5"/>
  <c r="S140" i="16"/>
  <c r="P116" i="16" l="1"/>
  <c r="P139" i="17"/>
  <c r="P141" i="17" s="1"/>
  <c r="P143" i="17" s="1"/>
  <c r="C7" i="5"/>
  <c r="T7" i="5" s="1"/>
  <c r="V99" i="5"/>
  <c r="S139" i="17"/>
  <c r="T99" i="5"/>
  <c r="P6" i="5"/>
  <c r="P7" i="5" s="1"/>
  <c r="S102" i="5"/>
  <c r="S116" i="16"/>
  <c r="T139" i="17" l="1"/>
  <c r="S141" i="17"/>
  <c r="V102" i="5"/>
  <c r="S6" i="5"/>
  <c r="T102" i="5"/>
  <c r="V6" i="5" l="1"/>
  <c r="S7" i="5"/>
  <c r="V7" i="5" s="1"/>
  <c r="T6" i="5"/>
  <c r="S143" i="17"/>
  <c r="T141" i="17"/>
  <c r="L6" i="3"/>
  <c r="L102" i="3"/>
  <c r="L99" i="3"/>
  <c r="C86" i="17"/>
  <c r="C126" i="16"/>
  <c r="C132" i="16"/>
  <c r="P101" i="3"/>
  <c r="P86" i="17" s="1"/>
  <c r="S101" i="3" l="1"/>
  <c r="T101" i="3" s="1"/>
  <c r="P126" i="16"/>
  <c r="C100" i="3"/>
  <c r="S86" i="17" l="1"/>
  <c r="T86" i="17" s="1"/>
  <c r="V101" i="3"/>
  <c r="S126" i="16"/>
  <c r="P132" i="16"/>
  <c r="S132" i="16" s="1"/>
  <c r="C138" i="16"/>
  <c r="C144" i="16" s="1"/>
  <c r="C21" i="16" s="1"/>
  <c r="C161" i="9"/>
  <c r="C99" i="3"/>
  <c r="C139" i="15"/>
  <c r="C145" i="15" s="1"/>
  <c r="C22" i="15" s="1"/>
  <c r="P100" i="3"/>
  <c r="C146" i="9" l="1"/>
  <c r="L146" i="9" s="1"/>
  <c r="L161" i="9"/>
  <c r="P161" i="9"/>
  <c r="S161" i="9" s="1"/>
  <c r="V161" i="9" s="1"/>
  <c r="P99" i="3"/>
  <c r="C102" i="3"/>
  <c r="C114" i="16"/>
  <c r="C120" i="16" s="1"/>
  <c r="C20" i="16" s="1"/>
  <c r="C85" i="17"/>
  <c r="C87" i="17" s="1"/>
  <c r="C89" i="17" s="1"/>
  <c r="S100" i="3"/>
  <c r="P139" i="15"/>
  <c r="P145" i="15" s="1"/>
  <c r="P22" i="15" s="1"/>
  <c r="P138" i="16"/>
  <c r="C36" i="11"/>
  <c r="C18" i="11"/>
  <c r="D14" i="23" s="1"/>
  <c r="E14" i="23" l="1"/>
  <c r="P36" i="11"/>
  <c r="S36" i="11" s="1"/>
  <c r="D28" i="23"/>
  <c r="E28" i="23" s="1"/>
  <c r="P85" i="17"/>
  <c r="P87" i="17" s="1"/>
  <c r="P89" i="17" s="1"/>
  <c r="P114" i="16"/>
  <c r="S99" i="3"/>
  <c r="C17" i="11"/>
  <c r="D13" i="23" s="1"/>
  <c r="E13" i="23" s="1"/>
  <c r="C22" i="16"/>
  <c r="S138" i="16"/>
  <c r="P144" i="16"/>
  <c r="P146" i="9"/>
  <c r="S146" i="9" s="1"/>
  <c r="V146" i="9" s="1"/>
  <c r="C145" i="9"/>
  <c r="V100" i="3"/>
  <c r="S139" i="15"/>
  <c r="S145" i="15" s="1"/>
  <c r="S22" i="15" s="1"/>
  <c r="T100" i="3"/>
  <c r="C6" i="3"/>
  <c r="P102" i="3"/>
  <c r="T161" i="9"/>
  <c r="P145" i="9" l="1"/>
  <c r="L145" i="9"/>
  <c r="D15" i="23"/>
  <c r="E15" i="23"/>
  <c r="C7" i="3"/>
  <c r="S144" i="16"/>
  <c r="P21" i="16"/>
  <c r="C9" i="16"/>
  <c r="P9" i="16" s="1"/>
  <c r="S9" i="16" s="1"/>
  <c r="S114" i="16"/>
  <c r="P120" i="16"/>
  <c r="C125" i="15"/>
  <c r="C133" i="15" s="1"/>
  <c r="C21" i="15" s="1"/>
  <c r="C21" i="17"/>
  <c r="C197" i="9"/>
  <c r="S85" i="17"/>
  <c r="V99" i="3"/>
  <c r="T99" i="3"/>
  <c r="P6" i="3"/>
  <c r="P7" i="3" s="1"/>
  <c r="S102" i="3"/>
  <c r="V22" i="15"/>
  <c r="T22" i="15"/>
  <c r="T146" i="9"/>
  <c r="C19" i="11"/>
  <c r="S145" i="9" l="1"/>
  <c r="P125" i="15"/>
  <c r="P133" i="15" s="1"/>
  <c r="P197" i="9"/>
  <c r="P21" i="17"/>
  <c r="S87" i="17"/>
  <c r="T85" i="17"/>
  <c r="C209" i="9"/>
  <c r="C206" i="9"/>
  <c r="S120" i="16"/>
  <c r="P20" i="16"/>
  <c r="S21" i="16"/>
  <c r="P18" i="11"/>
  <c r="S6" i="3"/>
  <c r="V102" i="3"/>
  <c r="T102" i="3"/>
  <c r="P21" i="15"/>
  <c r="C35" i="11"/>
  <c r="D27" i="23" s="1"/>
  <c r="E27" i="23" s="1"/>
  <c r="V9" i="16"/>
  <c r="T9" i="16"/>
  <c r="P209" i="9" l="1"/>
  <c r="P206" i="9"/>
  <c r="S125" i="15"/>
  <c r="S133" i="15" s="1"/>
  <c r="S197" i="9"/>
  <c r="V145" i="9"/>
  <c r="T145" i="9"/>
  <c r="S21" i="15"/>
  <c r="P35" i="11"/>
  <c r="S21" i="17"/>
  <c r="V21" i="16"/>
  <c r="S18" i="11"/>
  <c r="V18" i="11" s="1"/>
  <c r="T21" i="16"/>
  <c r="S20" i="16"/>
  <c r="P22" i="16"/>
  <c r="S22" i="16" s="1"/>
  <c r="P17" i="11"/>
  <c r="P19" i="11" s="1"/>
  <c r="V6" i="3"/>
  <c r="S7" i="3"/>
  <c r="T6" i="3"/>
  <c r="T87" i="17"/>
  <c r="S89" i="17"/>
  <c r="S209" i="9" l="1"/>
  <c r="S206" i="9"/>
  <c r="V7" i="3"/>
  <c r="T7" i="3"/>
  <c r="V22" i="16"/>
  <c r="T22" i="16"/>
  <c r="T21" i="17"/>
  <c r="V20" i="16"/>
  <c r="S17" i="11"/>
  <c r="T20" i="16"/>
  <c r="S35" i="11"/>
  <c r="V21" i="15"/>
  <c r="T21" i="15"/>
  <c r="V35" i="11" l="1"/>
  <c r="T35" i="11"/>
  <c r="S19" i="11"/>
  <c r="V17" i="11"/>
  <c r="T17" i="11"/>
  <c r="V19" i="11" l="1"/>
  <c r="T19" i="11"/>
  <c r="P133" i="9" l="1"/>
  <c r="S133" i="9" s="1"/>
  <c r="V133" i="9" s="1"/>
  <c r="L133" i="9"/>
  <c r="P130" i="9"/>
  <c r="S130" i="9" s="1"/>
  <c r="T130" i="9" s="1"/>
  <c r="L130" i="9"/>
  <c r="T133" i="9"/>
  <c r="C129" i="9"/>
  <c r="V130" i="9" l="1"/>
  <c r="P129" i="9"/>
  <c r="L129" i="9"/>
  <c r="C168" i="9"/>
  <c r="C195" i="9"/>
  <c r="C19" i="17"/>
  <c r="C101" i="15"/>
  <c r="C109" i="15" s="1"/>
  <c r="C19" i="15" s="1"/>
  <c r="C22" i="17" l="1"/>
  <c r="C35" i="17" s="1"/>
  <c r="L19" i="17"/>
  <c r="P195" i="9"/>
  <c r="P101" i="15"/>
  <c r="P109" i="15" s="1"/>
  <c r="S129" i="9"/>
  <c r="D291" i="9"/>
  <c r="E291" i="9"/>
  <c r="P168" i="9"/>
  <c r="S168" i="9" s="1"/>
  <c r="V168" i="9" s="1"/>
  <c r="L168" i="9"/>
  <c r="C9" i="9"/>
  <c r="P19" i="17"/>
  <c r="C23" i="15"/>
  <c r="C9" i="15" s="1"/>
  <c r="C33" i="11"/>
  <c r="P19" i="15"/>
  <c r="L22" i="17" l="1"/>
  <c r="D25" i="23"/>
  <c r="L33" i="11"/>
  <c r="S195" i="9"/>
  <c r="S101" i="15"/>
  <c r="S109" i="15" s="1"/>
  <c r="T129" i="9"/>
  <c r="V129" i="9"/>
  <c r="T168" i="9"/>
  <c r="L9" i="15"/>
  <c r="P9" i="15"/>
  <c r="S9" i="15" s="1"/>
  <c r="V9" i="15" s="1"/>
  <c r="C200" i="9"/>
  <c r="P9" i="9"/>
  <c r="L9" i="9"/>
  <c r="E25" i="23"/>
  <c r="E29" i="23" s="1"/>
  <c r="D29" i="23"/>
  <c r="S19" i="17"/>
  <c r="P22" i="17"/>
  <c r="P35" i="17" s="1"/>
  <c r="S19" i="15"/>
  <c r="P23" i="15"/>
  <c r="C37" i="11"/>
  <c r="P33" i="11"/>
  <c r="C41" i="11" l="1"/>
  <c r="L41" i="11"/>
  <c r="T9" i="15"/>
  <c r="S9" i="9"/>
  <c r="P200" i="9"/>
  <c r="T19" i="17"/>
  <c r="S22" i="17"/>
  <c r="P37" i="11"/>
  <c r="P41" i="11" s="1"/>
  <c r="S33" i="11"/>
  <c r="S23" i="15"/>
  <c r="T19" i="15"/>
  <c r="V19" i="15"/>
  <c r="S200" i="9" l="1"/>
  <c r="T9" i="9"/>
  <c r="V9" i="9"/>
  <c r="T22" i="17"/>
  <c r="S35" i="17"/>
  <c r="V23" i="15"/>
  <c r="T23" i="15"/>
  <c r="V33" i="11"/>
  <c r="S37" i="11"/>
  <c r="T33" i="11"/>
  <c r="S41" i="11" l="1"/>
  <c r="T37" i="11"/>
  <c r="V37" i="11"/>
  <c r="V41" i="11" l="1"/>
  <c r="T41" i="11"/>
</calcChain>
</file>

<file path=xl/comments1.xml><?xml version="1.0" encoding="utf-8"?>
<comments xmlns="http://schemas.openxmlformats.org/spreadsheetml/2006/main">
  <authors>
    <author>Smidtné Nagy Terézia</author>
  </authors>
  <commentList>
    <comment ref="B19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Iparűzési adó kiegészítő támogatás
</t>
        </r>
      </text>
    </comment>
  </commentList>
</comments>
</file>

<file path=xl/comments2.xml><?xml version="1.0" encoding="utf-8"?>
<comments xmlns="http://schemas.openxmlformats.org/spreadsheetml/2006/main">
  <authors>
    <author>Smidtné Nagy Terézia</author>
  </authors>
  <commentList>
    <comment ref="B84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telefonközpont, laptop
</t>
        </r>
      </text>
    </comment>
  </commentList>
</comments>
</file>

<file path=xl/comments3.xml><?xml version="1.0" encoding="utf-8"?>
<comments xmlns="http://schemas.openxmlformats.org/spreadsheetml/2006/main">
  <authors>
    <author>Smidtné Nagy Terézia</author>
  </authors>
  <commentList>
    <comment ref="B36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élélmiszer, tisztítószer, + pellet, kinti játékok, szőnyegek, textilek
</t>
        </r>
      </text>
    </comment>
    <comment ref="B58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bejárat, sütő, árnyékolás, csapok</t>
        </r>
      </text>
    </comment>
  </commentList>
</comments>
</file>

<file path=xl/comments4.xml><?xml version="1.0" encoding="utf-8"?>
<comments xmlns="http://schemas.openxmlformats.org/spreadsheetml/2006/main">
  <authors>
    <author>Smidtné Nagy Terézia</author>
  </authors>
  <commentList>
    <comment ref="C81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+3000.000,-Ft rehabilitációs hozzájárulás
</t>
        </r>
      </text>
    </comment>
  </commentList>
</comments>
</file>

<file path=xl/comments5.xml><?xml version="1.0" encoding="utf-8"?>
<comments xmlns="http://schemas.openxmlformats.org/spreadsheetml/2006/main">
  <authors>
    <author>Smidtné Nagy Terézia</author>
  </authors>
  <commentLis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bútor 600, nyílászáró
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Smidtné Nagy Terézia</author>
  </authors>
  <commentList>
    <comment ref="C58" authorId="0" shapeId="0">
      <text>
        <r>
          <rPr>
            <b/>
            <sz val="9"/>
            <color indexed="81"/>
            <rFont val="Segoe UI"/>
            <charset val="1"/>
          </rPr>
          <t>Festés</t>
        </r>
      </text>
    </comment>
    <comment ref="D58" authorId="0" shapeId="0">
      <text>
        <r>
          <rPr>
            <b/>
            <sz val="9"/>
            <color indexed="81"/>
            <rFont val="Segoe UI"/>
            <charset val="1"/>
          </rPr>
          <t>Festés</t>
        </r>
      </text>
    </comment>
    <comment ref="C84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400.000 szék, 250.000 számítógép
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Smidtné Nagy Terézia</author>
  </authors>
  <commentList>
    <comment ref="B11" authorId="0" shapeId="0">
      <text>
        <r>
          <rPr>
            <b/>
            <sz val="9"/>
            <color indexed="81"/>
            <rFont val="Segoe UI"/>
            <family val="2"/>
            <charset val="238"/>
          </rPr>
          <t xml:space="preserve">Iparűzési adó kiegészítő támogatás
</t>
        </r>
      </text>
    </comment>
  </commentList>
</comments>
</file>

<file path=xl/sharedStrings.xml><?xml version="1.0" encoding="utf-8"?>
<sst xmlns="http://schemas.openxmlformats.org/spreadsheetml/2006/main" count="1992" uniqueCount="589">
  <si>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</si>
  <si>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</si>
  <si>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</si>
  <si>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</si>
  <si>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</si>
  <si>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</si>
  <si>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</si>
  <si>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</si>
  <si>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</si>
  <si>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</si>
  <si>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</si>
  <si>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</si>
  <si>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</si>
  <si>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</si>
  <si>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</si>
  <si>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</si>
  <si>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</si>
  <si>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</si>
  <si>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</si>
  <si>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</si>
  <si>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</si>
  <si>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</si>
  <si>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</si>
  <si>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</si>
  <si>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</si>
  <si>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</si>
  <si>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</si>
  <si>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</si>
  <si>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</si>
  <si>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</si>
  <si>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</si>
  <si>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</si>
  <si>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</si>
  <si>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</si>
  <si>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</si>
  <si>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</si>
  <si>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</si>
  <si>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</si>
  <si>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</si>
  <si>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</si>
  <si>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</si>
  <si>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</si>
  <si>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</si>
  <si>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</si>
  <si>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</si>
  <si>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</si>
  <si>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</si>
  <si>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</si>
  <si>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</si>
  <si>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</si>
  <si>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</si>
  <si>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</si>
  <si>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</si>
  <si>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</si>
  <si>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</si>
  <si>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</si>
  <si>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</si>
  <si>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</si>
  <si>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</si>
  <si>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</si>
  <si>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</si>
  <si>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</si>
  <si>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</si>
  <si>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</si>
  <si>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</si>
  <si>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</si>
  <si>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</si>
  <si>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</si>
  <si>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</si>
  <si>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</si>
  <si>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</si>
  <si>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</si>
  <si>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</si>
  <si>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</si>
  <si>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</si>
  <si>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</si>
  <si>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</si>
  <si>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</si>
  <si>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</si>
  <si>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</si>
  <si>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</si>
  <si>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</si>
  <si>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</si>
  <si>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</si>
  <si>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</si>
  <si>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</si>
  <si>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</si>
  <si>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</si>
  <si>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</si>
  <si>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</si>
  <si>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</si>
  <si>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</si>
  <si>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</si>
  <si>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</si>
  <si>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</si>
  <si>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</si>
  <si>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</si>
  <si>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</si>
  <si>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</si>
  <si>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</si>
  <si>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</si>
  <si>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</si>
  <si>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</si>
  <si>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</si>
  <si>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</si>
  <si>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</si>
  <si>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</si>
  <si>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</si>
  <si>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</si>
  <si>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</si>
  <si>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</si>
  <si>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</si>
  <si>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</si>
  <si>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</si>
  <si>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</si>
  <si>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</si>
  <si>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</si>
  <si>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</si>
  <si>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</si>
  <si>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</si>
  <si>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</si>
  <si>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</si>
  <si>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</si>
  <si>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</si>
  <si>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</si>
  <si>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</si>
  <si>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</si>
  <si>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</si>
  <si>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</si>
  <si>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</si>
  <si>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</si>
  <si>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</si>
  <si>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</si>
  <si>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</si>
  <si>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</si>
  <si>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</si>
  <si>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</si>
  <si>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</si>
  <si>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</si>
  <si>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</si>
  <si>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</si>
  <si>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</si>
  <si>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</si>
  <si>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</si>
  <si>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</si>
  <si>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</si>
  <si>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</si>
  <si>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</si>
  <si>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</si>
  <si>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</si>
  <si>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</si>
  <si>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</si>
  <si>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</si>
  <si>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</si>
  <si>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</si>
  <si>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</si>
  <si>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</si>
  <si>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</si>
  <si>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</si>
  <si>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</si>
  <si>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</si>
  <si>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</si>
  <si>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</si>
  <si>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</si>
  <si>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</si>
  <si>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</si>
  <si>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</si>
  <si>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</si>
  <si>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</si>
  <si>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</si>
  <si>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</si>
  <si>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</si>
  <si>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</si>
  <si>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</si>
  <si>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</si>
  <si>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</si>
  <si>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</si>
  <si>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</si>
  <si>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</si>
  <si>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</si>
  <si>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</si>
  <si>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</si>
  <si>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</si>
  <si>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</si>
  <si>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</si>
  <si>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</si>
  <si>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</si>
  <si>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</si>
  <si>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</si>
  <si>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</si>
  <si>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</si>
  <si>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</si>
  <si>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</si>
  <si>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</si>
  <si>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</si>
  <si>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</si>
  <si>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</si>
  <si>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</si>
  <si>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</si>
  <si>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</si>
  <si>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</si>
  <si>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</si>
  <si>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</si>
  <si>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</si>
  <si>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</si>
  <si>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</si>
  <si>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</si>
  <si>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</si>
  <si>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</si>
  <si>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</si>
  <si>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</si>
  <si>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</si>
  <si>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</si>
  <si>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</si>
  <si>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</si>
  <si>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</si>
  <si>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</si>
  <si>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</si>
  <si>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</si>
  <si>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</si>
  <si>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</si>
  <si>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</si>
  <si>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</si>
  <si>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</si>
  <si>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</si>
  <si>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</si>
  <si>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</si>
  <si>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</si>
  <si>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</si>
  <si>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</si>
  <si>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</si>
  <si>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</si>
  <si>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</si>
  <si>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</si>
  <si>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</si>
  <si>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</si>
  <si>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</si>
  <si>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</si>
  <si>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</si>
  <si>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</si>
  <si>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</si>
  <si>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</si>
  <si>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</si>
  <si>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</si>
  <si>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</si>
  <si>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</si>
  <si>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</si>
  <si>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</si>
  <si>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</si>
  <si>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</si>
  <si>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</si>
  <si>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</si>
  <si>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</si>
  <si>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</si>
  <si>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</si>
  <si>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</si>
  <si>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</si>
  <si>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</si>
  <si>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</si>
  <si>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</si>
  <si>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</si>
  <si>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</si>
  <si>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</si>
  <si>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</si>
  <si>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</si>
  <si>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</si>
  <si>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</si>
  <si>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</si>
  <si>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</si>
  <si>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</si>
  <si>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</si>
  <si>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</si>
  <si>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</si>
  <si>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</si>
  <si>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</si>
  <si>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</si>
  <si>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</si>
  <si>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</si>
  <si>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</si>
  <si>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</si>
  <si>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</si>
  <si>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</si>
  <si>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</si>
  <si>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</si>
  <si>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</si>
  <si>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</si>
  <si>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</si>
  <si>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</si>
  <si>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</si>
  <si>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</si>
  <si>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</si>
  <si>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</si>
  <si>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</si>
  <si>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</si>
  <si>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</si>
  <si>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</si>
  <si>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</si>
  <si>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</si>
  <si>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</si>
  <si>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</si>
  <si>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</si>
  <si>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</si>
  <si>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</si>
  <si>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</si>
  <si>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</si>
  <si>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</si>
  <si>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</si>
  <si>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</si>
  <si>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</si>
  <si>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</si>
  <si>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</si>
  <si>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</si>
  <si>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</si>
  <si>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</si>
  <si>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</si>
  <si>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</si>
  <si>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</si>
  <si>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</si>
  <si>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</si>
  <si>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</si>
  <si>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</si>
  <si>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</si>
  <si>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</si>
  <si>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</si>
  <si>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</si>
  <si>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</si>
  <si>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</si>
  <si>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</si>
  <si>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</si>
  <si>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</si>
  <si>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</si>
  <si>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</si>
  <si>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</si>
  <si>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</si>
  <si>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</si>
  <si>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</si>
  <si>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</si>
  <si>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</si>
  <si>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</si>
  <si>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</si>
  <si>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</si>
  <si>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</si>
  <si>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</si>
  <si>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</si>
  <si>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</si>
  <si>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</si>
  <si>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</si>
  <si>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</si>
  <si>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</si>
  <si>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</si>
  <si>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</si>
  <si>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</si>
  <si>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</si>
  <si>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</si>
  <si>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</si>
  <si>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</si>
  <si>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</si>
  <si>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</si>
  <si>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</si>
  <si>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</si>
  <si>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</si>
  <si>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</si>
  <si>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</si>
  <si>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</si>
  <si>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</si>
  <si>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</si>
  <si>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</si>
  <si>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</si>
  <si>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</si>
  <si>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</si>
  <si>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</si>
  <si>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</si>
  <si>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</si>
  <si>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</si>
  <si>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</si>
  <si>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</si>
  <si>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</si>
  <si>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</si>
  <si>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</si>
  <si>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</si>
  <si>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</si>
  <si>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</si>
  <si>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</si>
  <si>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</si>
  <si>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</si>
  <si>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</si>
  <si>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</si>
  <si>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</si>
  <si>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</si>
  <si>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</si>
  <si>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</si>
  <si>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</si>
  <si>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</si>
  <si>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</si>
  <si>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</si>
  <si>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</si>
  <si>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</si>
  <si>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</si>
  <si>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</si>
  <si>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</si>
  <si>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</si>
  <si>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</si>
  <si>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</si>
  <si>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</si>
  <si>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</si>
  <si>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</si>
  <si>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</si>
  <si>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</si>
  <si>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</si>
  <si>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</si>
  <si>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t>Felhalmozási célú visszatérítendő támogatások, kölcsönök igénybevétele államháztartáson belülről</t>
  </si>
  <si>
    <t>REALIZÁLÁS</t>
  </si>
  <si>
    <t>%-ban</t>
  </si>
  <si>
    <t>Ft-ban</t>
  </si>
  <si>
    <t>rovat</t>
  </si>
  <si>
    <t>BEVÉTELEI</t>
  </si>
  <si>
    <t>KIADÁSAI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</si>
  <si>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</si>
  <si>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</si>
  <si>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</si>
  <si>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</si>
  <si>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</si>
  <si>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</si>
  <si>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</si>
  <si>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</si>
  <si>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</si>
  <si>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</si>
  <si>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</si>
  <si>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</si>
  <si>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</si>
  <si>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</si>
  <si>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</si>
  <si>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</si>
  <si>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</si>
  <si>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</si>
  <si>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</si>
  <si>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</si>
  <si>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</si>
  <si>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</si>
  <si>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</si>
  <si>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</si>
  <si>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</si>
  <si>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</si>
  <si>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</si>
  <si>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</si>
  <si>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</si>
  <si>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</si>
  <si>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</si>
  <si>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</si>
  <si>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</si>
  <si>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</si>
  <si>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</si>
  <si>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Csicsergő Napköziotthonos Óvoda</t>
  </si>
  <si>
    <t>Gólyahír Bőlcsőde</t>
  </si>
  <si>
    <t>BEVÉTELI SEGÉDTÁBLA</t>
  </si>
  <si>
    <t>Dr. Gáspár István HSZK</t>
  </si>
  <si>
    <t>Egyéb működési bevételek és kapott kamatok</t>
  </si>
  <si>
    <t>B411,B408</t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</si>
  <si>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</si>
  <si>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</si>
  <si>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</si>
  <si>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</si>
  <si>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Felhalmozási célú önkormányzati támogatások 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</si>
  <si>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</si>
  <si>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Részletes tételfelsorolás</t>
  </si>
  <si>
    <t>Civil támogatási keret</t>
  </si>
  <si>
    <t>Bursa</t>
  </si>
  <si>
    <t>TÁVÜSZ KFT.</t>
  </si>
  <si>
    <t>Dr Gáspár HSZK</t>
  </si>
  <si>
    <t>Sülysápi Csicsergő Óvoda</t>
  </si>
  <si>
    <t>Sülysáp Város Önkormányzata</t>
  </si>
  <si>
    <t>Önkormányzatnál kapott támogatás (B113)</t>
  </si>
  <si>
    <t>Önkormányzatnál kapott támogatás (B111)</t>
  </si>
  <si>
    <t>B113 (III.2. A települési önkormányzatok
szociális feladatainak egyéb
támogatása)</t>
  </si>
  <si>
    <t>Önkormányzatnál kapott támogatás (házi segítségnyújtás, időskorúak nap el., szoc étk) (B113)</t>
  </si>
  <si>
    <t>Áru és készletértékesítés ellenértéke</t>
  </si>
  <si>
    <t>Elláttotak pénzbeli juttatásai</t>
  </si>
  <si>
    <t>Sülysáp Város Önkormányzata és Intézményei</t>
  </si>
  <si>
    <t>Sülysáp Város Önkormányzata és intézményei</t>
  </si>
  <si>
    <t>Sülysáp Város Önkormáyzata</t>
  </si>
  <si>
    <t>B408, B411</t>
  </si>
  <si>
    <t>Kamatbevételek, Egyéb működési bevételek</t>
  </si>
  <si>
    <t>B402, B405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</si>
  <si>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</t>
    </r>
  </si>
  <si>
    <t>Önkormányzatok működési támogatásának tervezése</t>
  </si>
  <si>
    <t xml:space="preserve"> </t>
  </si>
  <si>
    <t>A települési önkormányzatok működésének általános támogatása</t>
  </si>
  <si>
    <t>A települési önkormányzatok egyes köznevelési feladatainak támogatása</t>
  </si>
  <si>
    <t>A települési önkormányzatok szociális feladatainak egyéb támogatása</t>
  </si>
  <si>
    <t>Egyes szociális és gyermekjóléti feladatok támogatása - család és gyermekjóléti szolgálat/központ, továbbá óvodai és iskolai segítő tevékenység támogatása kivételével</t>
  </si>
  <si>
    <t>Bölcsőde, mini bölcsőde támogatása</t>
  </si>
  <si>
    <t>Intézményi gyermekétkeztetés</t>
  </si>
  <si>
    <t>A rászoruló gyermekek szünidei étkeztetésének támogatása</t>
  </si>
  <si>
    <t>A települési önkormányzatok kulturális feladatainak támogatása</t>
  </si>
  <si>
    <t>2020. Évi eredeti ei</t>
  </si>
  <si>
    <t>I-IV.</t>
  </si>
  <si>
    <t>Finanszírozási melléklet</t>
  </si>
  <si>
    <t>Költségvetési jogcím száma</t>
  </si>
  <si>
    <t>Költségvetési jogcím megnevezése</t>
  </si>
  <si>
    <t>Összes működési támogatás</t>
  </si>
  <si>
    <t>2019. Évi Megalapozó felmérés</t>
  </si>
  <si>
    <t>2020. Évi Megalapozó felmérés</t>
  </si>
  <si>
    <t>Szolgáltatásból származó bevételek</t>
  </si>
  <si>
    <t>Piacbevétel</t>
  </si>
  <si>
    <t>Műfüves pálya bevétel</t>
  </si>
  <si>
    <t>Sportcsarnok bevétel</t>
  </si>
  <si>
    <t>Lakó - és nem lakó ingatlanok bérleti díja</t>
  </si>
  <si>
    <t>építményadó, kommunális adó</t>
  </si>
  <si>
    <t>Sülysáp Város Önkormányzatának és intézményeinek  összesített költségvetés összehasonlítása</t>
  </si>
  <si>
    <t>+ bölcsődei étkezés</t>
  </si>
  <si>
    <t>Piac felújítás támogatása</t>
  </si>
  <si>
    <t xml:space="preserve">Tartalékok 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</si>
  <si>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2022.01.01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</si>
  <si>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2022.06.30</t>
    </r>
  </si>
  <si>
    <r>
      <t xml:space="preserve">Módosított előirányzat </t>
    </r>
    <r>
      <rPr>
        <b/>
        <sz val="12"/>
        <rFont val="Arial"/>
        <family val="2"/>
        <charset val="238"/>
      </rPr>
      <t>2022.09.30</t>
    </r>
  </si>
  <si>
    <r>
      <t xml:space="preserve">Módosított előirányzat </t>
    </r>
    <r>
      <rPr>
        <b/>
        <sz val="12"/>
        <rFont val="Arial"/>
        <family val="2"/>
        <charset val="238"/>
      </rPr>
      <t>2022.12.31</t>
    </r>
  </si>
  <si>
    <r>
      <rPr>
        <b/>
        <sz val="12"/>
        <rFont val="Arial"/>
        <family val="2"/>
        <charset val="238"/>
      </rPr>
      <t>2022.06.30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</si>
  <si>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2022.09.30-ig tényleges realizálás</t>
  </si>
  <si>
    <t>2022.12.31-ig tényleges realizálás</t>
  </si>
  <si>
    <r>
      <t>2022.06.30-i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</si>
  <si>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2022.09.30-i realizálás </t>
    </r>
    <r>
      <rPr>
        <b/>
        <u/>
        <sz val="8"/>
        <rFont val="Arial"/>
        <family val="2"/>
        <charset val="238"/>
      </rPr>
      <t>2022.06.30-i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</si>
  <si>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2022.12.31-i realizálás </t>
    </r>
    <r>
      <rPr>
        <b/>
        <u/>
        <sz val="8"/>
        <rFont val="Arial"/>
        <family val="2"/>
        <charset val="238"/>
      </rPr>
      <t>2022.09.30-i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</si>
  <si>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2022.06.30-i</t>
    </r>
    <r>
      <rPr>
        <b/>
        <sz val="10"/>
        <rFont val="Arial"/>
        <family val="2"/>
        <charset val="238"/>
      </rPr>
      <t xml:space="preserve"> az eredetihez képest</t>
    </r>
  </si>
  <si>
    <t>a 2022.09.30-i a 2022.06.30-ihoz képest</t>
  </si>
  <si>
    <t>a 2022.12.31-i a 2022.09.30-ihoz képest</t>
  </si>
  <si>
    <r>
      <rPr>
        <b/>
        <sz val="12"/>
        <rFont val="Arial"/>
        <family val="2"/>
        <charset val="238"/>
      </rPr>
      <t>2022.06.30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</si>
  <si>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2022.09.30-ig tényleges felhasználás</t>
  </si>
  <si>
    <t>2022.12.31-ig tényleges felhasználás</t>
  </si>
  <si>
    <r>
      <t>2022.06.30-i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</si>
  <si>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2022.09.30-i felhasználás </t>
    </r>
    <r>
      <rPr>
        <b/>
        <u/>
        <sz val="8"/>
        <rFont val="Arial"/>
        <family val="2"/>
        <charset val="238"/>
      </rPr>
      <t>2022.06.30-i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</si>
  <si>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2022.12.31-i felhasználás </t>
    </r>
    <r>
      <rPr>
        <b/>
        <u/>
        <sz val="8"/>
        <rFont val="Arial"/>
        <family val="2"/>
        <charset val="238"/>
      </rPr>
      <t>2022.09.30-i módosított</t>
    </r>
    <r>
      <rPr>
        <b/>
        <sz val="8"/>
        <rFont val="Arial"/>
        <family val="2"/>
        <charset val="238"/>
      </rPr>
      <t xml:space="preserve"> előir-hoz képest</t>
    </r>
  </si>
  <si>
    <t>Egyházak támogatása</t>
  </si>
  <si>
    <t>Egyéb vállalkozások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</si>
  <si>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2021.01.01</t>
    </r>
  </si>
  <si>
    <t>Eredeti előirányzat 2022.01.01</t>
  </si>
  <si>
    <t>Változás 2021.01.01. és 2022.01.01. között</t>
  </si>
  <si>
    <t>2021 - 2022. ÉV</t>
  </si>
  <si>
    <t>2016-2021-es években eladott telkek 2022-re jutó része</t>
  </si>
  <si>
    <t>2022.</t>
  </si>
  <si>
    <t>Állomás utcai ingatlanok 5 db</t>
  </si>
  <si>
    <t>szabályszegések után az önkormányhatot megillető rész, pótlékok</t>
  </si>
  <si>
    <t>2022. Évi eredeti ei</t>
  </si>
  <si>
    <t>2021. Évi eredeti ei</t>
  </si>
  <si>
    <t>Eltérés 2022. - 2021. év között</t>
  </si>
  <si>
    <t>Megalapozó felmérés összehasonlítása a 2022. évi jogcímek szerint</t>
  </si>
  <si>
    <t>2021. Évi Megalapozó felmérés</t>
  </si>
  <si>
    <t>2022. Évi Megalapozó felmérés</t>
  </si>
  <si>
    <t>1.1.</t>
  </si>
  <si>
    <t>1.2.</t>
  </si>
  <si>
    <t>1.3.</t>
  </si>
  <si>
    <t>1.3.3.</t>
  </si>
  <si>
    <t>1.3.2.3-1.3.2.15.</t>
  </si>
  <si>
    <t>1.3.2.1.-1.3.2.2.</t>
  </si>
  <si>
    <t>Egyes szociális és gyermekjóléti feladatok támogatása - család és gyermekjóléti szolgálat/központ támogatása</t>
  </si>
  <si>
    <t>1.4.1</t>
  </si>
  <si>
    <t>1.4.2.</t>
  </si>
  <si>
    <t>1.5.</t>
  </si>
  <si>
    <t>Helyi önkormányzatok működésének általános támogatása</t>
  </si>
  <si>
    <t>Külterületi utak támogatása 2021.</t>
  </si>
  <si>
    <t>2022. ÉV</t>
  </si>
  <si>
    <t>Egyes önkormányzati bevételek részletezése  a 2022. évi KÖLTSÉGVETÉSHEZ</t>
  </si>
  <si>
    <t>Tárgyi eszköz beruházások (K64 512 e; K67 138 e)</t>
  </si>
  <si>
    <t>2019. Évi                       eredeti ei</t>
  </si>
  <si>
    <t>Közterület használati díj</t>
  </si>
  <si>
    <t>2022-es tervadatok a 2021. évi módosított előirányzathoz viszonyítva</t>
  </si>
  <si>
    <t>bevételek</t>
  </si>
  <si>
    <t>2021.09.30. mód. előirányzat</t>
  </si>
  <si>
    <t>2022. tervezet</t>
  </si>
  <si>
    <t>változás</t>
  </si>
  <si>
    <t>kiadások</t>
  </si>
  <si>
    <t>K84, K86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</si>
  <si>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(társadaép,biztosítás pénzügyi alapjai, foglalkoztatást helyettesítő bérkompenzáció)</t>
    </r>
  </si>
  <si>
    <r>
      <t>Egéyb műk c. tám. Elk. Áll. Pénzalapoktól</t>
    </r>
    <r>
      <rPr>
        <sz val="8"/>
        <rFont val="Arial"/>
        <family val="2"/>
        <charset val="238"/>
      </rPr>
      <t xml:space="preserve"> (Közfoglalkoztatottakra kapott tám.)</t>
    </r>
  </si>
  <si>
    <r>
      <t xml:space="preserve">Egyéb műk c. tám. </t>
    </r>
    <r>
      <rPr>
        <sz val="8"/>
        <rFont val="Arial"/>
        <family val="2"/>
        <charset val="238"/>
      </rPr>
      <t>(Társulások és költségvetési szerveik)</t>
    </r>
  </si>
  <si>
    <t>B410, B411</t>
  </si>
  <si>
    <t>Működési célú visszatérítendő támogatások, kölcsönök visszatérülése államháztartáson kívülről (B64)</t>
  </si>
  <si>
    <t>B64</t>
  </si>
  <si>
    <t>B74</t>
  </si>
  <si>
    <t>K1103, K1104</t>
  </si>
  <si>
    <t>K1103,        K1104</t>
  </si>
  <si>
    <t>B65</t>
  </si>
  <si>
    <t>Egyéb működési célú átvett pénzeszközök</t>
  </si>
  <si>
    <t>2022. III. Negyedéves költségvetési beszámoló</t>
  </si>
  <si>
    <r>
      <t xml:space="preserve">Egyéb műk. c. tám kozponti kezelésű ei-tól </t>
    </r>
    <r>
      <rPr>
        <sz val="8"/>
        <rFont val="Arial"/>
        <family val="2"/>
        <charset val="238"/>
      </rPr>
      <t>(mezőőr, Hungaricum, Diákmunka)</t>
    </r>
  </si>
  <si>
    <t>Önkéntes Túzoltó Egyesület támogatása</t>
  </si>
  <si>
    <t>TÉNY 2022.09.30</t>
  </si>
  <si>
    <t>TERV 2022. ÉV</t>
  </si>
  <si>
    <t>TERV</t>
  </si>
  <si>
    <t>Egyéb működési támogatások államháztartáson kívülre a 2022. évi KÖLTSÉGVETÉSHEZ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</si>
</sst>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F_t_-;\-* #,##0.00\ _F_t_-;_-* &quot;-&quot;??\ _F_t_-;_-@_-"/>
    <numFmt numFmtId="165" formatCode="_-* #,##0\ _F_t_-;\-* #,##0\ _F_t_-;_-* &quot;-&quot;??\ _F_t_-;_-@_-"/>
    <numFmt numFmtId="166" formatCode="#,##0_ ;\-#,##0\ "/>
  </numFmts>
  <fonts count="8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color theme="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3"/>
      <name val="Arial"/>
      <family val="2"/>
      <charset val="238"/>
    </font>
    <font>
      <b/>
      <sz val="18"/>
      <name val="Arial"/>
      <family val="2"/>
      <charset val="238"/>
    </font>
    <font>
      <b/>
      <u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Segoe UI"/>
      <charset val="1"/>
    </font>
    <font>
      <b/>
      <sz val="14"/>
      <color theme="1"/>
      <name val="Calibri"/>
      <family val="2"/>
      <charset val="238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rgb="FF0099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0"/>
    <xf numFmtId="164" fontId="1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2" fillId="26" borderId="0" applyNumberFormat="0" applyBorder="0" applyAlignment="0" applyProtection="0"/>
    <xf numFmtId="0" fontId="52" fillId="27" borderId="0" applyNumberFormat="0" applyBorder="0" applyAlignment="0" applyProtection="0"/>
    <xf numFmtId="0" fontId="52" fillId="28" borderId="0" applyNumberFormat="0" applyBorder="0" applyAlignment="0" applyProtection="0"/>
    <xf numFmtId="0" fontId="52" fillId="21" borderId="0" applyNumberFormat="0" applyBorder="0" applyAlignment="0" applyProtection="0"/>
    <xf numFmtId="0" fontId="52" fillId="26" borderId="0" applyNumberFormat="0" applyBorder="0" applyAlignment="0" applyProtection="0"/>
    <xf numFmtId="0" fontId="52" fillId="29" borderId="0" applyNumberFormat="0" applyBorder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53" fillId="32" borderId="0" applyNumberFormat="0" applyBorder="0" applyAlignment="0" applyProtection="0"/>
    <xf numFmtId="0" fontId="53" fillId="27" borderId="0" applyNumberFormat="0" applyBorder="0" applyAlignment="0" applyProtection="0"/>
    <xf numFmtId="0" fontId="53" fillId="28" borderId="0" applyNumberFormat="0" applyBorder="0" applyAlignment="0" applyProtection="0"/>
    <xf numFmtId="0" fontId="53" fillId="25" borderId="0" applyNumberFormat="0" applyBorder="0" applyAlignment="0" applyProtection="0"/>
    <xf numFmtId="0" fontId="53" fillId="30" borderId="0" applyNumberFormat="0" applyBorder="0" applyAlignment="0" applyProtection="0"/>
    <xf numFmtId="0" fontId="53" fillId="33" borderId="0" applyNumberFormat="0" applyBorder="0" applyAlignment="0" applyProtection="0"/>
    <xf numFmtId="0" fontId="54" fillId="23" borderId="41" applyNumberFormat="0" applyAlignment="0" applyProtection="0"/>
    <xf numFmtId="0" fontId="55" fillId="0" borderId="0" applyNumberFormat="0" applyFill="0" applyBorder="0" applyAlignment="0" applyProtection="0"/>
    <xf numFmtId="0" fontId="56" fillId="0" borderId="42" applyNumberFormat="0" applyFill="0" applyAlignment="0" applyProtection="0"/>
    <xf numFmtId="0" fontId="57" fillId="0" borderId="43" applyNumberFormat="0" applyFill="0" applyAlignment="0" applyProtection="0"/>
    <xf numFmtId="0" fontId="58" fillId="0" borderId="44" applyNumberFormat="0" applyFill="0" applyAlignment="0" applyProtection="0"/>
    <xf numFmtId="0" fontId="58" fillId="0" borderId="0" applyNumberFormat="0" applyFill="0" applyBorder="0" applyAlignment="0" applyProtection="0"/>
    <xf numFmtId="0" fontId="59" fillId="34" borderId="45" applyNumberFormat="0" applyAlignment="0" applyProtection="0"/>
    <xf numFmtId="164" fontId="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46" applyNumberFormat="0" applyFill="0" applyAlignment="0" applyProtection="0"/>
    <xf numFmtId="0" fontId="51" fillId="35" borderId="47" applyNumberFormat="0" applyFont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53" fillId="34" borderId="0" applyNumberFormat="0" applyBorder="0" applyAlignment="0" applyProtection="0"/>
    <xf numFmtId="0" fontId="53" fillId="29" borderId="0" applyNumberFormat="0" applyBorder="0" applyAlignment="0" applyProtection="0"/>
    <xf numFmtId="0" fontId="53" fillId="16" borderId="0" applyNumberFormat="0" applyBorder="0" applyAlignment="0" applyProtection="0"/>
    <xf numFmtId="0" fontId="53" fillId="24" borderId="0" applyNumberFormat="0" applyBorder="0" applyAlignment="0" applyProtection="0"/>
    <xf numFmtId="0" fontId="62" fillId="20" borderId="0" applyNumberFormat="0" applyBorder="0" applyAlignment="0" applyProtection="0"/>
    <xf numFmtId="0" fontId="63" fillId="36" borderId="48" applyNumberFormat="0" applyAlignment="0" applyProtection="0"/>
    <xf numFmtId="0" fontId="64" fillId="0" borderId="0" applyNumberFormat="0" applyFill="0" applyBorder="0" applyAlignment="0" applyProtection="0"/>
    <xf numFmtId="0" fontId="52" fillId="0" borderId="0"/>
    <xf numFmtId="0" fontId="51" fillId="0" borderId="0"/>
    <xf numFmtId="0" fontId="65" fillId="0" borderId="49" applyNumberFormat="0" applyFill="0" applyAlignment="0" applyProtection="0"/>
    <xf numFmtId="0" fontId="66" fillId="19" borderId="0" applyNumberFormat="0" applyBorder="0" applyAlignment="0" applyProtection="0"/>
    <xf numFmtId="0" fontId="67" fillId="37" borderId="0" applyNumberFormat="0" applyBorder="0" applyAlignment="0" applyProtection="0"/>
    <xf numFmtId="0" fontId="68" fillId="36" borderId="41" applyNumberFormat="0" applyAlignment="0" applyProtection="0"/>
  </cellStyleXfs>
  <cellXfs count="951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5" fontId="3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5" fontId="0" fillId="0" borderId="0" xfId="1" applyNumberFormat="1" applyFont="1" applyBorder="1"/>
    <xf numFmtId="165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5" fontId="7" fillId="0" borderId="1" xfId="1" applyNumberFormat="1" applyFont="1" applyBorder="1"/>
    <xf numFmtId="165" fontId="7" fillId="0" borderId="0" xfId="1" applyNumberFormat="1" applyFont="1"/>
    <xf numFmtId="0" fontId="8" fillId="0" borderId="1" xfId="0" applyFont="1" applyFill="1" applyBorder="1" applyAlignment="1">
      <alignment wrapText="1"/>
    </xf>
    <xf numFmtId="165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7" fillId="0" borderId="0" xfId="0" applyFont="1" applyBorder="1"/>
    <xf numFmtId="165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3" fillId="2" borderId="1" xfId="3" applyFont="1" applyFill="1" applyBorder="1"/>
    <xf numFmtId="165" fontId="4" fillId="2" borderId="2" xfId="1" applyNumberFormat="1" applyFont="1" applyFill="1" applyBorder="1"/>
    <xf numFmtId="9" fontId="3" fillId="0" borderId="1" xfId="3" applyFont="1" applyFill="1" applyBorder="1"/>
    <xf numFmtId="0" fontId="7" fillId="0" borderId="1" xfId="0" applyFont="1" applyFill="1" applyBorder="1"/>
    <xf numFmtId="9" fontId="7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9" fontId="3" fillId="0" borderId="1" xfId="3" applyFont="1" applyBorder="1"/>
    <xf numFmtId="165" fontId="7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0" fontId="0" fillId="0" borderId="0" xfId="0" applyBorder="1"/>
    <xf numFmtId="0" fontId="7" fillId="0" borderId="0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165" fontId="8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5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 applyBorder="1"/>
    <xf numFmtId="165" fontId="0" fillId="0" borderId="0" xfId="3" applyNumberFormat="1" applyFont="1"/>
    <xf numFmtId="9" fontId="3" fillId="0" borderId="0" xfId="3" applyFo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2" borderId="1" xfId="0" applyNumberFormat="1" applyFont="1" applyFill="1" applyBorder="1"/>
    <xf numFmtId="3" fontId="3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3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 applyBorder="1"/>
    <xf numFmtId="3" fontId="7" fillId="0" borderId="0" xfId="1" applyNumberFormat="1" applyFont="1" applyBorder="1"/>
    <xf numFmtId="3" fontId="9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3" fontId="14" fillId="0" borderId="1" xfId="0" applyNumberFormat="1" applyFont="1" applyFill="1" applyBorder="1"/>
    <xf numFmtId="166" fontId="3" fillId="2" borderId="1" xfId="1" applyNumberFormat="1" applyFont="1" applyFill="1" applyBorder="1"/>
    <xf numFmtId="166" fontId="8" fillId="0" borderId="1" xfId="1" applyNumberFormat="1" applyFont="1" applyBorder="1"/>
    <xf numFmtId="166" fontId="3" fillId="2" borderId="1" xfId="0" applyNumberFormat="1" applyFont="1" applyFill="1" applyBorder="1"/>
    <xf numFmtId="166" fontId="4" fillId="2" borderId="1" xfId="0" applyNumberFormat="1" applyFont="1" applyFill="1" applyBorder="1"/>
    <xf numFmtId="166" fontId="7" fillId="0" borderId="0" xfId="1" applyNumberFormat="1" applyFont="1" applyBorder="1"/>
    <xf numFmtId="9" fontId="15" fillId="2" borderId="1" xfId="3" applyFont="1" applyFill="1" applyBorder="1"/>
    <xf numFmtId="0" fontId="2" fillId="0" borderId="0" xfId="0" applyFont="1"/>
    <xf numFmtId="0" fontId="18" fillId="0" borderId="0" xfId="0" applyFont="1" applyBorder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7" fillId="0" borderId="0" xfId="0" applyNumberFormat="1" applyFont="1"/>
    <xf numFmtId="3" fontId="14" fillId="0" borderId="19" xfId="0" applyNumberFormat="1" applyFont="1" applyFill="1" applyBorder="1"/>
    <xf numFmtId="3" fontId="14" fillId="0" borderId="20" xfId="0" applyNumberFormat="1" applyFont="1" applyFill="1" applyBorder="1"/>
    <xf numFmtId="3" fontId="14" fillId="0" borderId="21" xfId="0" applyNumberFormat="1" applyFont="1" applyFill="1" applyBorder="1"/>
    <xf numFmtId="3" fontId="14" fillId="0" borderId="10" xfId="0" applyNumberFormat="1" applyFont="1" applyFill="1" applyBorder="1"/>
    <xf numFmtId="3" fontId="4" fillId="0" borderId="19" xfId="0" applyNumberFormat="1" applyFont="1" applyFill="1" applyBorder="1"/>
    <xf numFmtId="9" fontId="3" fillId="0" borderId="20" xfId="1" applyNumberFormat="1" applyFont="1" applyFill="1" applyBorder="1"/>
    <xf numFmtId="3" fontId="4" fillId="0" borderId="20" xfId="0" applyNumberFormat="1" applyFont="1" applyFill="1" applyBorder="1"/>
    <xf numFmtId="9" fontId="3" fillId="0" borderId="20" xfId="3" applyFont="1" applyFill="1" applyBorder="1"/>
    <xf numFmtId="9" fontId="3" fillId="0" borderId="21" xfId="3" applyFont="1" applyFill="1" applyBorder="1"/>
    <xf numFmtId="3" fontId="14" fillId="0" borderId="4" xfId="0" applyNumberFormat="1" applyFont="1" applyFill="1" applyBorder="1"/>
    <xf numFmtId="3" fontId="14" fillId="0" borderId="5" xfId="0" applyNumberFormat="1" applyFont="1" applyFill="1" applyBorder="1"/>
    <xf numFmtId="3" fontId="14" fillId="0" borderId="23" xfId="0" applyNumberFormat="1" applyFont="1" applyFill="1" applyBorder="1"/>
    <xf numFmtId="3" fontId="14" fillId="0" borderId="22" xfId="0" applyNumberFormat="1" applyFont="1" applyFill="1" applyBorder="1"/>
    <xf numFmtId="3" fontId="4" fillId="0" borderId="4" xfId="0" applyNumberFormat="1" applyFont="1" applyFill="1" applyBorder="1"/>
    <xf numFmtId="9" fontId="3" fillId="0" borderId="5" xfId="1" applyNumberFormat="1" applyFont="1" applyFill="1" applyBorder="1"/>
    <xf numFmtId="3" fontId="4" fillId="0" borderId="5" xfId="0" applyNumberFormat="1" applyFont="1" applyFill="1" applyBorder="1"/>
    <xf numFmtId="9" fontId="3" fillId="0" borderId="5" xfId="3" applyFont="1" applyFill="1" applyBorder="1"/>
    <xf numFmtId="9" fontId="3" fillId="0" borderId="23" xfId="3" applyFont="1" applyFill="1" applyBorder="1"/>
    <xf numFmtId="3" fontId="7" fillId="0" borderId="2" xfId="0" applyNumberFormat="1" applyFont="1" applyBorder="1"/>
    <xf numFmtId="9" fontId="3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20" fillId="0" borderId="0" xfId="0" applyNumberFormat="1" applyFont="1"/>
    <xf numFmtId="3" fontId="14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2" fillId="0" borderId="2" xfId="0" applyNumberFormat="1" applyFont="1" applyFill="1" applyBorder="1" applyAlignment="1">
      <alignment horizontal="center"/>
    </xf>
    <xf numFmtId="3" fontId="23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5" xfId="0" applyFont="1" applyFill="1" applyBorder="1" applyAlignment="1">
      <alignment horizontal="center"/>
    </xf>
    <xf numFmtId="0" fontId="1" fillId="0" borderId="0" xfId="0" applyFont="1" applyFill="1"/>
    <xf numFmtId="0" fontId="24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166" fontId="7" fillId="4" borderId="1" xfId="1" applyNumberFormat="1" applyFont="1" applyFill="1" applyBorder="1"/>
    <xf numFmtId="166" fontId="7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1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Fill="1" applyBorder="1"/>
    <xf numFmtId="9" fontId="15" fillId="0" borderId="1" xfId="3" applyFont="1" applyFill="1" applyBorder="1"/>
    <xf numFmtId="0" fontId="3" fillId="0" borderId="2" xfId="0" applyFont="1" applyBorder="1" applyAlignment="1">
      <alignment horizontal="center"/>
    </xf>
    <xf numFmtId="3" fontId="31" fillId="0" borderId="1" xfId="0" applyNumberFormat="1" applyFont="1" applyFill="1" applyBorder="1"/>
    <xf numFmtId="166" fontId="27" fillId="9" borderId="1" xfId="1" applyNumberFormat="1" applyFont="1" applyFill="1" applyBorder="1"/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6" fontId="7" fillId="0" borderId="1" xfId="1" applyNumberFormat="1" applyFont="1" applyFill="1" applyBorder="1"/>
    <xf numFmtId="166" fontId="4" fillId="0" borderId="1" xfId="1" applyNumberFormat="1" applyFont="1" applyFill="1" applyBorder="1"/>
    <xf numFmtId="3" fontId="4" fillId="0" borderId="22" xfId="0" applyNumberFormat="1" applyFont="1" applyFill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6" fontId="3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20" fillId="0" borderId="3" xfId="0" applyNumberFormat="1" applyFont="1" applyBorder="1"/>
    <xf numFmtId="3" fontId="20" fillId="0" borderId="23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0" fontId="3" fillId="0" borderId="4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166" fontId="8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7" fillId="0" borderId="1" xfId="0" applyFont="1" applyFill="1" applyBorder="1" applyAlignment="1">
      <alignment wrapText="1"/>
    </xf>
    <xf numFmtId="166" fontId="27" fillId="0" borderId="1" xfId="1" applyNumberFormat="1" applyFont="1" applyFill="1" applyBorder="1"/>
    <xf numFmtId="3" fontId="20" fillId="0" borderId="3" xfId="0" applyNumberFormat="1" applyFont="1" applyFill="1" applyBorder="1"/>
    <xf numFmtId="3" fontId="20" fillId="0" borderId="23" xfId="0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5" fontId="3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textRotation="90" wrapText="1"/>
    </xf>
    <xf numFmtId="0" fontId="25" fillId="9" borderId="1" xfId="0" applyFont="1" applyFill="1" applyBorder="1" applyAlignment="1">
      <alignment horizontal="center" vertical="center" wrapText="1"/>
    </xf>
    <xf numFmtId="165" fontId="3" fillId="9" borderId="1" xfId="0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8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8" fillId="5" borderId="2" xfId="1" applyNumberFormat="1" applyFont="1" applyFill="1" applyBorder="1"/>
    <xf numFmtId="3" fontId="20" fillId="0" borderId="6" xfId="0" applyNumberFormat="1" applyFont="1" applyBorder="1"/>
    <xf numFmtId="3" fontId="20" fillId="0" borderId="22" xfId="0" applyNumberFormat="1" applyFont="1" applyBorder="1"/>
    <xf numFmtId="0" fontId="0" fillId="0" borderId="6" xfId="0" applyBorder="1"/>
    <xf numFmtId="3" fontId="20" fillId="0" borderId="1" xfId="0" applyNumberFormat="1" applyFont="1" applyBorder="1"/>
    <xf numFmtId="3" fontId="31" fillId="0" borderId="2" xfId="0" applyNumberFormat="1" applyFont="1" applyFill="1" applyBorder="1"/>
    <xf numFmtId="0" fontId="3" fillId="0" borderId="22" xfId="0" applyFont="1" applyFill="1" applyBorder="1" applyAlignment="1">
      <alignment horizontal="center"/>
    </xf>
    <xf numFmtId="9" fontId="35" fillId="2" borderId="1" xfId="3" applyFont="1" applyFill="1" applyBorder="1"/>
    <xf numFmtId="9" fontId="35" fillId="2" borderId="2" xfId="3" applyFont="1" applyFill="1" applyBorder="1"/>
    <xf numFmtId="9" fontId="3" fillId="0" borderId="3" xfId="3" applyFont="1" applyFill="1" applyBorder="1"/>
    <xf numFmtId="3" fontId="7" fillId="0" borderId="8" xfId="1" applyNumberFormat="1" applyFont="1" applyBorder="1"/>
    <xf numFmtId="9" fontId="2" fillId="0" borderId="1" xfId="1" applyNumberFormat="1" applyFont="1" applyBorder="1"/>
    <xf numFmtId="9" fontId="2" fillId="0" borderId="1" xfId="3" applyNumberFormat="1" applyFont="1" applyBorder="1"/>
    <xf numFmtId="9" fontId="15" fillId="2" borderId="1" xfId="1" applyNumberFormat="1" applyFont="1" applyFill="1" applyBorder="1"/>
    <xf numFmtId="9" fontId="15" fillId="0" borderId="1" xfId="1" applyNumberFormat="1" applyFont="1" applyBorder="1"/>
    <xf numFmtId="9" fontId="15" fillId="6" borderId="1" xfId="1" applyNumberFormat="1" applyFont="1" applyFill="1" applyBorder="1"/>
    <xf numFmtId="9" fontId="15" fillId="2" borderId="1" xfId="1" applyNumberFormat="1" applyFont="1" applyFill="1" applyBorder="1" applyAlignment="1"/>
    <xf numFmtId="9" fontId="2" fillId="0" borderId="1" xfId="0" applyNumberFormat="1" applyFont="1" applyBorder="1" applyAlignment="1"/>
    <xf numFmtId="9" fontId="35" fillId="2" borderId="1" xfId="0" applyNumberFormat="1" applyFont="1" applyFill="1" applyBorder="1" applyAlignment="1"/>
    <xf numFmtId="9" fontId="2" fillId="0" borderId="1" xfId="1" applyNumberFormat="1" applyFont="1" applyBorder="1" applyAlignment="1"/>
    <xf numFmtId="3" fontId="7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0" xfId="0" applyNumberFormat="1" applyFont="1" applyBorder="1" applyAlignment="1"/>
    <xf numFmtId="3" fontId="4" fillId="2" borderId="1" xfId="0" applyNumberFormat="1" applyFont="1" applyFill="1" applyBorder="1" applyAlignment="1"/>
    <xf numFmtId="3" fontId="7" fillId="0" borderId="1" xfId="0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4" fillId="0" borderId="0" xfId="0" applyFont="1" applyBorder="1" applyAlignment="1">
      <alignment horizontal="right"/>
    </xf>
    <xf numFmtId="0" fontId="2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8" fillId="0" borderId="0" xfId="0" applyFont="1" applyBorder="1" applyAlignment="1"/>
    <xf numFmtId="0" fontId="34" fillId="0" borderId="0" xfId="0" applyFont="1" applyBorder="1" applyAlignment="1">
      <alignment vertical="center"/>
    </xf>
    <xf numFmtId="0" fontId="34" fillId="0" borderId="0" xfId="0" applyFont="1" applyBorder="1" applyAlignme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9" fontId="28" fillId="0" borderId="1" xfId="3" applyFont="1" applyFill="1" applyBorder="1"/>
    <xf numFmtId="3" fontId="20" fillId="0" borderId="8" xfId="0" applyNumberFormat="1" applyFont="1" applyFill="1" applyBorder="1"/>
    <xf numFmtId="3" fontId="20" fillId="0" borderId="1" xfId="0" applyNumberFormat="1" applyFont="1" applyFill="1" applyBorder="1"/>
    <xf numFmtId="3" fontId="23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1" fillId="8" borderId="1" xfId="0" applyFont="1" applyFill="1" applyBorder="1" applyAlignment="1">
      <alignment vertical="center" wrapText="1"/>
    </xf>
    <xf numFmtId="3" fontId="31" fillId="8" borderId="1" xfId="0" applyNumberFormat="1" applyFont="1" applyFill="1" applyBorder="1" applyAlignment="1">
      <alignment vertical="center"/>
    </xf>
    <xf numFmtId="9" fontId="32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3" fontId="20" fillId="0" borderId="8" xfId="0" applyNumberFormat="1" applyFont="1" applyBorder="1" applyAlignment="1">
      <alignment vertical="center"/>
    </xf>
    <xf numFmtId="0" fontId="31" fillId="2" borderId="1" xfId="0" applyFont="1" applyFill="1" applyBorder="1" applyAlignment="1">
      <alignment wrapText="1"/>
    </xf>
    <xf numFmtId="3" fontId="31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22" xfId="0" applyNumberFormat="1" applyFont="1" applyFill="1" applyBorder="1" applyAlignment="1">
      <alignment horizontal="center"/>
    </xf>
    <xf numFmtId="3" fontId="20" fillId="0" borderId="1" xfId="1" applyNumberFormat="1" applyFont="1" applyBorder="1"/>
    <xf numFmtId="3" fontId="21" fillId="2" borderId="1" xfId="1" applyNumberFormat="1" applyFont="1" applyFill="1" applyBorder="1"/>
    <xf numFmtId="3" fontId="21" fillId="0" borderId="1" xfId="1" applyNumberFormat="1" applyFont="1" applyBorder="1"/>
    <xf numFmtId="3" fontId="21" fillId="6" borderId="1" xfId="1" applyNumberFormat="1" applyFont="1" applyFill="1" applyBorder="1"/>
    <xf numFmtId="3" fontId="21" fillId="2" borderId="1" xfId="1" applyNumberFormat="1" applyFont="1" applyFill="1" applyBorder="1" applyAlignment="1"/>
    <xf numFmtId="3" fontId="21" fillId="2" borderId="1" xfId="0" applyNumberFormat="1" applyFont="1" applyFill="1" applyBorder="1" applyAlignment="1"/>
    <xf numFmtId="9" fontId="22" fillId="2" borderId="1" xfId="3" applyFont="1" applyFill="1" applyBorder="1"/>
    <xf numFmtId="9" fontId="36" fillId="0" borderId="1" xfId="3" applyFont="1" applyBorder="1"/>
    <xf numFmtId="9" fontId="22" fillId="0" borderId="1" xfId="3" applyFont="1" applyBorder="1"/>
    <xf numFmtId="9" fontId="22" fillId="6" borderId="1" xfId="3" applyFont="1" applyFill="1" applyBorder="1"/>
    <xf numFmtId="9" fontId="22" fillId="2" borderId="1" xfId="3" applyFont="1" applyFill="1" applyBorder="1" applyAlignment="1"/>
    <xf numFmtId="9" fontId="39" fillId="2" borderId="1" xfId="3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8" fillId="0" borderId="1" xfId="1" applyNumberFormat="1" applyFont="1" applyFill="1" applyBorder="1"/>
    <xf numFmtId="3" fontId="33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7" fillId="0" borderId="0" xfId="1" applyNumberFormat="1" applyFont="1" applyAlignment="1"/>
    <xf numFmtId="3" fontId="7" fillId="0" borderId="0" xfId="0" applyNumberFormat="1" applyFont="1" applyAlignment="1"/>
    <xf numFmtId="9" fontId="22" fillId="0" borderId="1" xfId="3" applyFont="1" applyFill="1" applyBorder="1"/>
    <xf numFmtId="9" fontId="22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3" fontId="7" fillId="0" borderId="10" xfId="1" applyNumberFormat="1" applyFont="1" applyBorder="1" applyAlignment="1"/>
    <xf numFmtId="9" fontId="22" fillId="0" borderId="10" xfId="3" applyFont="1" applyFill="1" applyBorder="1"/>
    <xf numFmtId="9" fontId="7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4" fillId="0" borderId="0" xfId="0" applyNumberFormat="1" applyFont="1" applyBorder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0" applyNumberFormat="1" applyFont="1" applyBorder="1" applyAlignment="1"/>
    <xf numFmtId="3" fontId="7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8" fillId="0" borderId="1" xfId="0" applyNumberFormat="1" applyFont="1" applyFill="1" applyBorder="1" applyAlignment="1"/>
    <xf numFmtId="3" fontId="7" fillId="0" borderId="1" xfId="1" applyNumberFormat="1" applyFont="1" applyFill="1" applyBorder="1" applyAlignment="1"/>
    <xf numFmtId="3" fontId="3" fillId="2" borderId="1" xfId="0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 applyBorder="1"/>
    <xf numFmtId="0" fontId="27" fillId="0" borderId="0" xfId="0" applyFont="1" applyBorder="1"/>
    <xf numFmtId="0" fontId="3" fillId="0" borderId="0" xfId="0" applyFont="1" applyBorder="1"/>
    <xf numFmtId="3" fontId="27" fillId="0" borderId="0" xfId="0" applyNumberFormat="1" applyFont="1" applyBorder="1" applyAlignment="1">
      <alignment horizontal="center"/>
    </xf>
    <xf numFmtId="3" fontId="27" fillId="5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/>
    <xf numFmtId="3" fontId="27" fillId="0" borderId="0" xfId="0" applyNumberFormat="1" applyFont="1" applyFill="1" applyBorder="1" applyAlignment="1">
      <alignment horizontal="center"/>
    </xf>
    <xf numFmtId="3" fontId="26" fillId="5" borderId="0" xfId="0" applyNumberFormat="1" applyFont="1" applyFill="1" applyBorder="1"/>
    <xf numFmtId="0" fontId="1" fillId="0" borderId="0" xfId="0" applyFont="1" applyFill="1" applyBorder="1"/>
    <xf numFmtId="0" fontId="40" fillId="0" borderId="0" xfId="0" applyFont="1" applyFill="1" applyBorder="1"/>
    <xf numFmtId="3" fontId="40" fillId="0" borderId="0" xfId="1" applyNumberFormat="1" applyFont="1" applyBorder="1"/>
    <xf numFmtId="0" fontId="40" fillId="0" borderId="0" xfId="0" applyFont="1"/>
    <xf numFmtId="0" fontId="42" fillId="0" borderId="0" xfId="0" applyFont="1" applyBorder="1"/>
    <xf numFmtId="3" fontId="42" fillId="0" borderId="0" xfId="0" applyNumberFormat="1" applyFont="1" applyBorder="1"/>
    <xf numFmtId="3" fontId="42" fillId="0" borderId="0" xfId="1" applyNumberFormat="1" applyFont="1" applyBorder="1"/>
    <xf numFmtId="0" fontId="7" fillId="10" borderId="0" xfId="0" applyFont="1" applyFill="1" applyBorder="1"/>
    <xf numFmtId="3" fontId="7" fillId="10" borderId="0" xfId="0" applyNumberFormat="1" applyFont="1" applyFill="1" applyBorder="1"/>
    <xf numFmtId="3" fontId="7" fillId="10" borderId="0" xfId="1" applyNumberFormat="1" applyFont="1" applyFill="1" applyBorder="1"/>
    <xf numFmtId="165" fontId="7" fillId="10" borderId="0" xfId="1" applyNumberFormat="1" applyFont="1" applyFill="1" applyBorder="1"/>
    <xf numFmtId="0" fontId="7" fillId="10" borderId="0" xfId="0" applyFont="1" applyFill="1"/>
    <xf numFmtId="0" fontId="1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166" fontId="8" fillId="0" borderId="0" xfId="1" applyNumberFormat="1" applyFont="1" applyBorder="1"/>
    <xf numFmtId="3" fontId="14" fillId="0" borderId="0" xfId="0" applyNumberFormat="1" applyFont="1" applyFill="1" applyBorder="1"/>
    <xf numFmtId="3" fontId="4" fillId="0" borderId="0" xfId="0" applyNumberFormat="1" applyFont="1" applyFill="1" applyBorder="1"/>
    <xf numFmtId="9" fontId="3" fillId="0" borderId="0" xfId="1" applyNumberFormat="1" applyFont="1" applyFill="1" applyBorder="1"/>
    <xf numFmtId="3" fontId="31" fillId="0" borderId="0" xfId="0" applyNumberFormat="1" applyFont="1" applyFill="1" applyBorder="1"/>
    <xf numFmtId="3" fontId="23" fillId="7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0" fontId="31" fillId="8" borderId="0" xfId="0" applyFont="1" applyFill="1" applyBorder="1" applyAlignment="1">
      <alignment vertical="center" wrapText="1"/>
    </xf>
    <xf numFmtId="3" fontId="31" fillId="8" borderId="0" xfId="0" applyNumberFormat="1" applyFont="1" applyFill="1" applyBorder="1" applyAlignment="1">
      <alignment vertical="center"/>
    </xf>
    <xf numFmtId="3" fontId="14" fillId="8" borderId="0" xfId="0" applyNumberFormat="1" applyFont="1" applyFill="1" applyBorder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2" fillId="8" borderId="0" xfId="3" applyFont="1" applyFill="1" applyBorder="1" applyAlignment="1">
      <alignment vertical="center"/>
    </xf>
    <xf numFmtId="0" fontId="4" fillId="0" borderId="0" xfId="0" applyFont="1" applyFill="1" applyBorder="1"/>
    <xf numFmtId="0" fontId="14" fillId="0" borderId="0" xfId="0" applyFont="1" applyFill="1" applyBorder="1" applyAlignment="1">
      <alignment wrapText="1"/>
    </xf>
    <xf numFmtId="9" fontId="13" fillId="0" borderId="0" xfId="1" applyNumberFormat="1" applyFont="1" applyFill="1" applyBorder="1"/>
    <xf numFmtId="9" fontId="28" fillId="0" borderId="0" xfId="3" applyFont="1" applyFill="1" applyBorder="1"/>
    <xf numFmtId="0" fontId="3" fillId="3" borderId="0" xfId="0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5" fontId="3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3" fontId="8" fillId="0" borderId="0" xfId="1" applyNumberFormat="1" applyFont="1" applyBorder="1"/>
    <xf numFmtId="9" fontId="13" fillId="0" borderId="0" xfId="3" applyFont="1" applyFill="1" applyBorder="1"/>
    <xf numFmtId="0" fontId="3" fillId="11" borderId="0" xfId="0" applyFont="1" applyFill="1" applyBorder="1"/>
    <xf numFmtId="3" fontId="3" fillId="11" borderId="0" xfId="0" applyNumberFormat="1" applyFont="1" applyFill="1" applyBorder="1"/>
    <xf numFmtId="3" fontId="8" fillId="0" borderId="20" xfId="1" applyNumberFormat="1" applyFont="1" applyBorder="1"/>
    <xf numFmtId="9" fontId="27" fillId="0" borderId="1" xfId="3" applyFont="1" applyFill="1" applyBorder="1"/>
    <xf numFmtId="0" fontId="44" fillId="0" borderId="1" xfId="0" applyFont="1" applyFill="1" applyBorder="1" applyAlignment="1">
      <alignment wrapText="1"/>
    </xf>
    <xf numFmtId="3" fontId="21" fillId="0" borderId="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166" fontId="1" fillId="4" borderId="1" xfId="1" applyNumberFormat="1" applyFont="1" applyFill="1" applyBorder="1"/>
    <xf numFmtId="3" fontId="45" fillId="0" borderId="0" xfId="0" applyNumberFormat="1" applyFont="1" applyBorder="1"/>
    <xf numFmtId="166" fontId="1" fillId="0" borderId="1" xfId="1" applyNumberFormat="1" applyFont="1" applyFill="1" applyBorder="1"/>
    <xf numFmtId="3" fontId="3" fillId="0" borderId="2" xfId="1" applyNumberFormat="1" applyFont="1" applyBorder="1"/>
    <xf numFmtId="165" fontId="3" fillId="0" borderId="1" xfId="1" applyNumberFormat="1" applyFont="1" applyBorder="1"/>
    <xf numFmtId="166" fontId="4" fillId="0" borderId="1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26" fillId="0" borderId="20" xfId="0" applyNumberFormat="1" applyFont="1" applyBorder="1"/>
    <xf numFmtId="0" fontId="26" fillId="0" borderId="20" xfId="0" applyFont="1" applyBorder="1"/>
    <xf numFmtId="166" fontId="3" fillId="0" borderId="0" xfId="0" applyNumberFormat="1" applyFont="1" applyBorder="1"/>
    <xf numFmtId="3" fontId="46" fillId="12" borderId="0" xfId="0" applyNumberFormat="1" applyFont="1" applyFill="1" applyBorder="1"/>
    <xf numFmtId="0" fontId="47" fillId="12" borderId="0" xfId="0" applyFont="1" applyFill="1" applyBorder="1"/>
    <xf numFmtId="0" fontId="3" fillId="14" borderId="0" xfId="0" applyFont="1" applyFill="1" applyBorder="1"/>
    <xf numFmtId="166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0" fontId="3" fillId="0" borderId="8" xfId="0" applyFont="1" applyFill="1" applyBorder="1"/>
    <xf numFmtId="3" fontId="3" fillId="0" borderId="8" xfId="0" applyNumberFormat="1" applyFont="1" applyFill="1" applyBorder="1"/>
    <xf numFmtId="3" fontId="3" fillId="0" borderId="8" xfId="1" applyNumberFormat="1" applyFont="1" applyFill="1" applyBorder="1"/>
    <xf numFmtId="3" fontId="3" fillId="0" borderId="9" xfId="0" applyNumberFormat="1" applyFont="1" applyFill="1" applyBorder="1"/>
    <xf numFmtId="3" fontId="7" fillId="0" borderId="8" xfId="1" applyNumberFormat="1" applyFont="1" applyFill="1" applyBorder="1"/>
    <xf numFmtId="3" fontId="1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5" fontId="7" fillId="0" borderId="16" xfId="1" applyNumberFormat="1" applyFont="1" applyBorder="1"/>
    <xf numFmtId="0" fontId="7" fillId="0" borderId="18" xfId="0" applyFont="1" applyBorder="1"/>
    <xf numFmtId="0" fontId="1" fillId="0" borderId="32" xfId="0" applyFont="1" applyBorder="1"/>
    <xf numFmtId="0" fontId="1" fillId="0" borderId="32" xfId="0" applyFont="1" applyFill="1" applyBorder="1"/>
    <xf numFmtId="0" fontId="1" fillId="0" borderId="34" xfId="0" applyFont="1" applyBorder="1"/>
    <xf numFmtId="0" fontId="7" fillId="0" borderId="32" xfId="0" applyFont="1" applyBorder="1"/>
    <xf numFmtId="0" fontId="3" fillId="0" borderId="34" xfId="0" applyFont="1" applyBorder="1"/>
    <xf numFmtId="0" fontId="7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1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3" fontId="7" fillId="0" borderId="16" xfId="0" applyNumberFormat="1" applyFont="1" applyBorder="1" applyAlignment="1"/>
    <xf numFmtId="0" fontId="18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6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3" fontId="3" fillId="0" borderId="34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2" xfId="0" applyNumberFormat="1" applyFont="1" applyBorder="1" applyAlignment="1"/>
    <xf numFmtId="3" fontId="7" fillId="0" borderId="31" xfId="0" applyNumberFormat="1" applyFont="1" applyBorder="1" applyAlignment="1"/>
    <xf numFmtId="3" fontId="7" fillId="0" borderId="33" xfId="0" applyNumberFormat="1" applyFont="1" applyBorder="1"/>
    <xf numFmtId="165" fontId="7" fillId="0" borderId="38" xfId="1" applyNumberFormat="1" applyFont="1" applyBorder="1"/>
    <xf numFmtId="3" fontId="14" fillId="0" borderId="32" xfId="0" applyNumberFormat="1" applyFont="1" applyFill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5" fontId="7" fillId="0" borderId="33" xfId="1" applyNumberFormat="1" applyFont="1" applyBorder="1"/>
    <xf numFmtId="165" fontId="7" fillId="0" borderId="18" xfId="1" applyNumberFormat="1" applyFont="1" applyBorder="1"/>
    <xf numFmtId="3" fontId="3" fillId="0" borderId="39" xfId="0" applyNumberFormat="1" applyFont="1" applyFill="1" applyBorder="1"/>
    <xf numFmtId="165" fontId="7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0" fontId="3" fillId="0" borderId="32" xfId="0" applyFont="1" applyFill="1" applyBorder="1"/>
    <xf numFmtId="0" fontId="1" fillId="0" borderId="34" xfId="0" applyFont="1" applyFill="1" applyBorder="1"/>
    <xf numFmtId="0" fontId="3" fillId="0" borderId="34" xfId="0" applyFont="1" applyFill="1" applyBorder="1"/>
    <xf numFmtId="166" fontId="8" fillId="0" borderId="3" xfId="1" applyNumberFormat="1" applyFont="1" applyBorder="1"/>
    <xf numFmtId="165" fontId="7" fillId="0" borderId="3" xfId="1" applyNumberFormat="1" applyFont="1" applyBorder="1"/>
    <xf numFmtId="165" fontId="7" fillId="0" borderId="24" xfId="1" applyNumberFormat="1" applyFont="1" applyBorder="1"/>
    <xf numFmtId="3" fontId="7" fillId="0" borderId="3" xfId="0" applyNumberFormat="1" applyFont="1" applyBorder="1"/>
    <xf numFmtId="3" fontId="1" fillId="0" borderId="3" xfId="0" applyNumberFormat="1" applyFont="1" applyBorder="1"/>
    <xf numFmtId="3" fontId="7" fillId="0" borderId="24" xfId="0" applyNumberFormat="1" applyFont="1" applyBorder="1"/>
    <xf numFmtId="165" fontId="7" fillId="0" borderId="27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1" fillId="0" borderId="1" xfId="0" applyNumberFormat="1" applyFont="1" applyFill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 applyBorder="1"/>
    <xf numFmtId="3" fontId="20" fillId="15" borderId="6" xfId="0" applyNumberFormat="1" applyFont="1" applyFill="1" applyBorder="1"/>
    <xf numFmtId="0" fontId="25" fillId="2" borderId="1" xfId="0" applyFont="1" applyFill="1" applyBorder="1" applyAlignment="1">
      <alignment vertical="center" wrapText="1"/>
    </xf>
    <xf numFmtId="3" fontId="25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22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20" fillId="0" borderId="6" xfId="0" applyNumberFormat="1" applyFont="1" applyBorder="1" applyAlignment="1">
      <alignment vertical="center"/>
    </xf>
    <xf numFmtId="3" fontId="25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5" fillId="2" borderId="2" xfId="1" applyNumberFormat="1" applyFont="1" applyFill="1" applyBorder="1" applyAlignment="1">
      <alignment horizontal="right" vertical="center"/>
    </xf>
    <xf numFmtId="3" fontId="25" fillId="2" borderId="2" xfId="1" applyNumberFormat="1" applyFont="1" applyFill="1" applyBorder="1" applyAlignment="1">
      <alignment vertical="center"/>
    </xf>
    <xf numFmtId="166" fontId="7" fillId="0" borderId="9" xfId="1" applyNumberFormat="1" applyFont="1" applyFill="1" applyBorder="1"/>
    <xf numFmtId="166" fontId="3" fillId="0" borderId="9" xfId="1" applyNumberFormat="1" applyFont="1" applyFill="1" applyBorder="1"/>
    <xf numFmtId="166" fontId="27" fillId="0" borderId="9" xfId="1" applyNumberFormat="1" applyFont="1" applyFill="1" applyBorder="1"/>
    <xf numFmtId="3" fontId="23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1" fillId="8" borderId="7" xfId="0" applyNumberFormat="1" applyFont="1" applyFill="1" applyBorder="1" applyAlignment="1">
      <alignment vertical="center"/>
    </xf>
    <xf numFmtId="9" fontId="32" fillId="8" borderId="3" xfId="3" applyFont="1" applyFill="1" applyBorder="1" applyAlignment="1">
      <alignment vertical="center"/>
    </xf>
    <xf numFmtId="3" fontId="14" fillId="0" borderId="7" xfId="0" applyNumberFormat="1" applyFont="1" applyFill="1" applyBorder="1"/>
    <xf numFmtId="9" fontId="28" fillId="0" borderId="3" xfId="3" applyFont="1" applyFill="1" applyBorder="1"/>
    <xf numFmtId="165" fontId="3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6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6" fillId="12" borderId="7" xfId="0" applyNumberFormat="1" applyFont="1" applyFill="1" applyBorder="1"/>
    <xf numFmtId="3" fontId="3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6" fontId="7" fillId="0" borderId="8" xfId="1" applyNumberFormat="1" applyFont="1" applyFill="1" applyBorder="1"/>
    <xf numFmtId="166" fontId="3" fillId="0" borderId="8" xfId="1" applyNumberFormat="1" applyFont="1" applyFill="1" applyBorder="1"/>
    <xf numFmtId="166" fontId="27" fillId="0" borderId="8" xfId="1" applyNumberFormat="1" applyFont="1" applyFill="1" applyBorder="1"/>
    <xf numFmtId="9" fontId="13" fillId="0" borderId="3" xfId="3" applyFont="1" applyFill="1" applyBorder="1"/>
    <xf numFmtId="3" fontId="7" fillId="0" borderId="7" xfId="0" applyNumberFormat="1" applyFont="1" applyBorder="1" applyAlignment="1"/>
    <xf numFmtId="3" fontId="46" fillId="12" borderId="3" xfId="0" applyNumberFormat="1" applyFont="1" applyFill="1" applyBorder="1"/>
    <xf numFmtId="3" fontId="3" fillId="11" borderId="3" xfId="0" applyNumberFormat="1" applyFont="1" applyFill="1" applyBorder="1"/>
    <xf numFmtId="165" fontId="7" fillId="0" borderId="5" xfId="1" applyNumberFormat="1" applyFont="1" applyBorder="1"/>
    <xf numFmtId="0" fontId="8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wrapText="1"/>
    </xf>
    <xf numFmtId="3" fontId="14" fillId="0" borderId="7" xfId="0" applyNumberFormat="1" applyFont="1" applyFill="1" applyBorder="1" applyAlignment="1">
      <alignment horizontal="center"/>
    </xf>
    <xf numFmtId="3" fontId="31" fillId="8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5" fillId="0" borderId="7" xfId="0" applyNumberFormat="1" applyFont="1" applyBorder="1"/>
    <xf numFmtId="165" fontId="7" fillId="0" borderId="23" xfId="1" applyNumberFormat="1" applyFont="1" applyBorder="1"/>
    <xf numFmtId="3" fontId="1" fillId="0" borderId="7" xfId="0" applyNumberFormat="1" applyFont="1" applyBorder="1"/>
    <xf numFmtId="0" fontId="26" fillId="0" borderId="12" xfId="0" applyFont="1" applyFill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48" fillId="0" borderId="0" xfId="3" applyFont="1" applyBorder="1" applyAlignment="1">
      <alignment horizontal="center"/>
    </xf>
    <xf numFmtId="9" fontId="48" fillId="0" borderId="33" xfId="3" applyFont="1" applyBorder="1" applyAlignment="1">
      <alignment horizontal="center"/>
    </xf>
    <xf numFmtId="9" fontId="48" fillId="0" borderId="8" xfId="3" applyFont="1" applyBorder="1" applyAlignment="1">
      <alignment horizontal="center"/>
    </xf>
    <xf numFmtId="9" fontId="48" fillId="0" borderId="39" xfId="3" applyFont="1" applyBorder="1" applyAlignment="1">
      <alignment horizontal="center"/>
    </xf>
    <xf numFmtId="9" fontId="28" fillId="0" borderId="8" xfId="3" applyFont="1" applyBorder="1" applyAlignment="1">
      <alignment horizontal="center"/>
    </xf>
    <xf numFmtId="9" fontId="28" fillId="0" borderId="39" xfId="3" applyFont="1" applyBorder="1" applyAlignment="1">
      <alignment horizontal="center"/>
    </xf>
    <xf numFmtId="9" fontId="28" fillId="13" borderId="26" xfId="3" applyFont="1" applyFill="1" applyBorder="1" applyAlignment="1">
      <alignment horizontal="center"/>
    </xf>
    <xf numFmtId="9" fontId="28" fillId="13" borderId="28" xfId="3" applyFont="1" applyFill="1" applyBorder="1" applyAlignment="1">
      <alignment horizontal="center"/>
    </xf>
    <xf numFmtId="9" fontId="48" fillId="0" borderId="16" xfId="3" applyFont="1" applyBorder="1" applyAlignment="1">
      <alignment horizontal="center"/>
    </xf>
    <xf numFmtId="9" fontId="48" fillId="0" borderId="18" xfId="3" applyFont="1" applyBorder="1" applyAlignment="1">
      <alignment horizontal="center"/>
    </xf>
    <xf numFmtId="9" fontId="48" fillId="0" borderId="8" xfId="3" applyFont="1" applyFill="1" applyBorder="1" applyAlignment="1">
      <alignment horizontal="center"/>
    </xf>
    <xf numFmtId="9" fontId="48" fillId="0" borderId="39" xfId="3" applyFont="1" applyFill="1" applyBorder="1" applyAlignment="1">
      <alignment horizontal="center"/>
    </xf>
    <xf numFmtId="9" fontId="28" fillId="0" borderId="8" xfId="3" applyFont="1" applyFill="1" applyBorder="1" applyAlignment="1">
      <alignment horizontal="center"/>
    </xf>
    <xf numFmtId="9" fontId="28" fillId="0" borderId="39" xfId="3" applyFont="1" applyFill="1" applyBorder="1" applyAlignment="1">
      <alignment horizontal="center"/>
    </xf>
    <xf numFmtId="9" fontId="48" fillId="0" borderId="38" xfId="3" applyFont="1" applyBorder="1" applyAlignment="1">
      <alignment horizontal="center"/>
    </xf>
    <xf numFmtId="9" fontId="48" fillId="0" borderId="14" xfId="3" applyFont="1" applyBorder="1" applyAlignment="1">
      <alignment horizontal="center"/>
    </xf>
    <xf numFmtId="9" fontId="48" fillId="0" borderId="33" xfId="3" applyNumberFormat="1" applyFont="1" applyBorder="1" applyAlignment="1">
      <alignment horizontal="center"/>
    </xf>
    <xf numFmtId="9" fontId="48" fillId="0" borderId="17" xfId="3" applyNumberFormat="1" applyFont="1" applyBorder="1" applyAlignment="1">
      <alignment horizontal="center"/>
    </xf>
    <xf numFmtId="9" fontId="18" fillId="0" borderId="33" xfId="0" applyNumberFormat="1" applyFont="1" applyBorder="1" applyAlignment="1">
      <alignment horizontal="center"/>
    </xf>
    <xf numFmtId="9" fontId="18" fillId="0" borderId="14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/>
    </xf>
    <xf numFmtId="9" fontId="18" fillId="0" borderId="0" xfId="0" applyNumberFormat="1" applyFont="1" applyBorder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1" fillId="0" borderId="0" xfId="0" applyNumberFormat="1" applyFont="1"/>
    <xf numFmtId="3" fontId="3" fillId="0" borderId="1" xfId="1" applyNumberFormat="1" applyFont="1" applyBorder="1" applyAlignment="1">
      <alignment vertical="center"/>
    </xf>
    <xf numFmtId="3" fontId="21" fillId="0" borderId="6" xfId="0" applyNumberFormat="1" applyFont="1" applyBorder="1"/>
    <xf numFmtId="0" fontId="49" fillId="0" borderId="1" xfId="0" applyFont="1" applyBorder="1" applyAlignment="1">
      <alignment wrapText="1"/>
    </xf>
    <xf numFmtId="165" fontId="70" fillId="0" borderId="0" xfId="1" applyNumberFormat="1" applyFont="1" applyBorder="1"/>
    <xf numFmtId="0" fontId="51" fillId="0" borderId="0" xfId="49" applyBorder="1"/>
    <xf numFmtId="0" fontId="51" fillId="0" borderId="0" xfId="49"/>
    <xf numFmtId="0" fontId="51" fillId="0" borderId="32" xfId="49" applyBorder="1"/>
    <xf numFmtId="0" fontId="51" fillId="0" borderId="37" xfId="49" applyBorder="1"/>
    <xf numFmtId="0" fontId="51" fillId="0" borderId="38" xfId="49" applyBorder="1"/>
    <xf numFmtId="3" fontId="3" fillId="0" borderId="0" xfId="0" applyNumberFormat="1" applyFont="1" applyBorder="1" applyAlignment="1">
      <alignment horizontal="center"/>
    </xf>
    <xf numFmtId="3" fontId="1" fillId="0" borderId="2" xfId="1" applyNumberFormat="1" applyFont="1" applyBorder="1"/>
    <xf numFmtId="0" fontId="1" fillId="0" borderId="0" xfId="0" applyFont="1" applyAlignment="1">
      <alignment wrapText="1"/>
    </xf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/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/>
    </xf>
    <xf numFmtId="3" fontId="1" fillId="0" borderId="2" xfId="1" applyNumberFormat="1" applyFont="1" applyBorder="1" applyAlignment="1">
      <alignment vertical="center"/>
    </xf>
    <xf numFmtId="165" fontId="1" fillId="0" borderId="0" xfId="1" applyNumberFormat="1" applyFont="1" applyBorder="1"/>
    <xf numFmtId="165" fontId="1" fillId="0" borderId="55" xfId="1" applyNumberFormat="1" applyFont="1" applyBorder="1"/>
    <xf numFmtId="165" fontId="1" fillId="0" borderId="0" xfId="1" applyNumberFormat="1" applyFont="1"/>
    <xf numFmtId="3" fontId="7" fillId="4" borderId="1" xfId="1" applyNumberFormat="1" applyFont="1" applyFill="1" applyBorder="1" applyAlignment="1"/>
    <xf numFmtId="3" fontId="7" fillId="4" borderId="1" xfId="1" applyNumberFormat="1" applyFont="1" applyFill="1" applyBorder="1" applyAlignment="1">
      <alignment horizontal="right"/>
    </xf>
    <xf numFmtId="0" fontId="34" fillId="4" borderId="0" xfId="0" applyFont="1" applyFill="1" applyBorder="1" applyAlignment="1">
      <alignment vertical="center"/>
    </xf>
    <xf numFmtId="0" fontId="3" fillId="0" borderId="0" xfId="49" applyFont="1"/>
    <xf numFmtId="0" fontId="1" fillId="0" borderId="5" xfId="0" applyFont="1" applyBorder="1" applyAlignment="1">
      <alignment wrapText="1"/>
    </xf>
    <xf numFmtId="3" fontId="7" fillId="0" borderId="5" xfId="1" applyNumberFormat="1" applyFont="1" applyBorder="1"/>
    <xf numFmtId="0" fontId="15" fillId="0" borderId="5" xfId="0" applyFont="1" applyBorder="1" applyAlignment="1">
      <alignment horizontal="center"/>
    </xf>
    <xf numFmtId="3" fontId="2" fillId="0" borderId="0" xfId="0" applyNumberFormat="1" applyFont="1" applyBorder="1" applyAlignment="1"/>
    <xf numFmtId="165" fontId="2" fillId="0" borderId="0" xfId="1" applyNumberFormat="1" applyFont="1"/>
    <xf numFmtId="166" fontId="0" fillId="0" borderId="0" xfId="0" applyNumberFormat="1"/>
    <xf numFmtId="165" fontId="0" fillId="0" borderId="0" xfId="1" applyNumberFormat="1" applyFont="1"/>
    <xf numFmtId="0" fontId="0" fillId="0" borderId="20" xfId="0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74" fillId="7" borderId="1" xfId="0" applyNumberFormat="1" applyFont="1" applyFill="1" applyBorder="1" applyAlignment="1">
      <alignment vertical="center"/>
    </xf>
    <xf numFmtId="3" fontId="75" fillId="7" borderId="1" xfId="0" applyNumberFormat="1" applyFont="1" applyFill="1" applyBorder="1" applyAlignment="1">
      <alignment vertical="center"/>
    </xf>
    <xf numFmtId="0" fontId="18" fillId="0" borderId="1" xfId="0" applyFont="1" applyBorder="1" applyAlignment="1">
      <alignment horizontal="right" wrapText="1"/>
    </xf>
    <xf numFmtId="0" fontId="13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3" fontId="26" fillId="0" borderId="1" xfId="0" applyNumberFormat="1" applyFont="1" applyBorder="1"/>
    <xf numFmtId="3" fontId="26" fillId="0" borderId="1" xfId="1" applyNumberFormat="1" applyFont="1" applyBorder="1"/>
    <xf numFmtId="0" fontId="2" fillId="0" borderId="1" xfId="0" applyFont="1" applyBorder="1" applyAlignment="1">
      <alignment horizontal="center"/>
    </xf>
    <xf numFmtId="9" fontId="15" fillId="2" borderId="1" xfId="3" applyFont="1" applyFill="1" applyBorder="1" applyAlignment="1">
      <alignment horizontal="center"/>
    </xf>
    <xf numFmtId="9" fontId="2" fillId="0" borderId="1" xfId="3" applyNumberFormat="1" applyFont="1" applyBorder="1" applyAlignment="1">
      <alignment horizontal="center"/>
    </xf>
    <xf numFmtId="9" fontId="15" fillId="0" borderId="1" xfId="3" applyFont="1" applyFill="1" applyBorder="1" applyAlignment="1">
      <alignment horizontal="center"/>
    </xf>
    <xf numFmtId="9" fontId="2" fillId="0" borderId="1" xfId="3" applyFont="1" applyBorder="1" applyAlignment="1">
      <alignment horizontal="center"/>
    </xf>
    <xf numFmtId="9" fontId="15" fillId="0" borderId="1" xfId="3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9" fontId="15" fillId="2" borderId="1" xfId="3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3" fontId="7" fillId="15" borderId="0" xfId="0" applyNumberFormat="1" applyFont="1" applyFill="1" applyAlignment="1">
      <alignment horizontal="center"/>
    </xf>
    <xf numFmtId="9" fontId="2" fillId="0" borderId="1" xfId="3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9" fontId="13" fillId="0" borderId="1" xfId="3" applyFont="1" applyBorder="1" applyAlignment="1">
      <alignment horizontal="center"/>
    </xf>
    <xf numFmtId="9" fontId="15" fillId="5" borderId="1" xfId="3" applyFont="1" applyFill="1" applyBorder="1" applyAlignment="1">
      <alignment horizontal="center"/>
    </xf>
    <xf numFmtId="9" fontId="15" fillId="0" borderId="0" xfId="3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9" fontId="7" fillId="0" borderId="0" xfId="3" applyFont="1" applyAlignment="1">
      <alignment horizontal="center"/>
    </xf>
    <xf numFmtId="9" fontId="7" fillId="15" borderId="0" xfId="3" applyFont="1" applyFill="1" applyAlignment="1">
      <alignment horizontal="center"/>
    </xf>
    <xf numFmtId="9" fontId="2" fillId="0" borderId="0" xfId="3" applyFont="1" applyAlignment="1">
      <alignment horizontal="center"/>
    </xf>
    <xf numFmtId="9" fontId="7" fillId="0" borderId="1" xfId="3" applyFont="1" applyBorder="1" applyAlignment="1">
      <alignment horizontal="center"/>
    </xf>
    <xf numFmtId="9" fontId="15" fillId="0" borderId="10" xfId="3" applyFont="1" applyFill="1" applyBorder="1" applyAlignment="1">
      <alignment horizontal="center"/>
    </xf>
    <xf numFmtId="9" fontId="3" fillId="0" borderId="0" xfId="3" applyFont="1" applyFill="1" applyBorder="1" applyAlignment="1">
      <alignment horizontal="center"/>
    </xf>
    <xf numFmtId="3" fontId="8" fillId="38" borderId="1" xfId="1" applyNumberFormat="1" applyFont="1" applyFill="1" applyBorder="1"/>
    <xf numFmtId="3" fontId="7" fillId="38" borderId="1" xfId="1" applyNumberFormat="1" applyFont="1" applyFill="1" applyBorder="1" applyAlignment="1">
      <alignment horizontal="center"/>
    </xf>
    <xf numFmtId="3" fontId="7" fillId="38" borderId="2" xfId="1" applyNumberFormat="1" applyFont="1" applyFill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9" fontId="3" fillId="5" borderId="1" xfId="3" applyFont="1" applyFill="1" applyBorder="1" applyAlignment="1">
      <alignment horizontal="center"/>
    </xf>
    <xf numFmtId="9" fontId="2" fillId="0" borderId="1" xfId="1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9" fontId="15" fillId="2" borderId="1" xfId="1" applyNumberFormat="1" applyFont="1" applyFill="1" applyBorder="1" applyAlignment="1">
      <alignment horizontal="center"/>
    </xf>
    <xf numFmtId="9" fontId="15" fillId="2" borderId="1" xfId="3" applyNumberFormat="1" applyFont="1" applyFill="1" applyBorder="1" applyAlignment="1">
      <alignment horizontal="center"/>
    </xf>
    <xf numFmtId="9" fontId="15" fillId="0" borderId="1" xfId="1" applyNumberFormat="1" applyFont="1" applyBorder="1" applyAlignment="1">
      <alignment horizontal="center"/>
    </xf>
    <xf numFmtId="9" fontId="15" fillId="4" borderId="1" xfId="3" applyNumberFormat="1" applyFont="1" applyFill="1" applyBorder="1" applyAlignment="1">
      <alignment horizontal="center"/>
    </xf>
    <xf numFmtId="9" fontId="2" fillId="4" borderId="1" xfId="3" applyNumberFormat="1" applyFont="1" applyFill="1" applyBorder="1" applyAlignment="1">
      <alignment horizontal="center"/>
    </xf>
    <xf numFmtId="9" fontId="15" fillId="6" borderId="1" xfId="1" applyNumberFormat="1" applyFont="1" applyFill="1" applyBorder="1" applyAlignment="1">
      <alignment horizontal="center"/>
    </xf>
    <xf numFmtId="9" fontId="15" fillId="6" borderId="1" xfId="3" applyNumberFormat="1" applyFont="1" applyFill="1" applyBorder="1" applyAlignment="1">
      <alignment horizontal="center"/>
    </xf>
    <xf numFmtId="9" fontId="35" fillId="2" borderId="1" xfId="0" applyNumberFormat="1" applyFont="1" applyFill="1" applyBorder="1" applyAlignment="1">
      <alignment horizontal="center"/>
    </xf>
    <xf numFmtId="9" fontId="2" fillId="0" borderId="1" xfId="3" applyNumberFormat="1" applyFont="1" applyFill="1" applyBorder="1" applyAlignment="1">
      <alignment horizontal="center"/>
    </xf>
    <xf numFmtId="9" fontId="2" fillId="0" borderId="1" xfId="0" applyNumberFormat="1" applyFont="1" applyFill="1" applyBorder="1" applyAlignment="1">
      <alignment horizontal="center"/>
    </xf>
    <xf numFmtId="9" fontId="13" fillId="0" borderId="1" xfId="3" applyFont="1" applyFill="1" applyBorder="1" applyAlignment="1">
      <alignment horizontal="center"/>
    </xf>
    <xf numFmtId="9" fontId="13" fillId="2" borderId="1" xfId="3" applyFont="1" applyFill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165" fontId="7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9" fontId="32" fillId="8" borderId="1" xfId="3" applyFont="1" applyFill="1" applyBorder="1" applyAlignment="1">
      <alignment horizontal="center" vertical="center"/>
    </xf>
    <xf numFmtId="9" fontId="28" fillId="0" borderId="1" xfId="3" applyFont="1" applyFill="1" applyBorder="1" applyAlignment="1">
      <alignment horizontal="center"/>
    </xf>
    <xf numFmtId="3" fontId="3" fillId="2" borderId="1" xfId="1" applyNumberFormat="1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3" fontId="7" fillId="0" borderId="0" xfId="1" applyNumberFormat="1" applyFont="1" applyBorder="1" applyAlignment="1">
      <alignment horizontal="center"/>
    </xf>
    <xf numFmtId="9" fontId="3" fillId="2" borderId="1" xfId="3" applyFont="1" applyFill="1" applyBorder="1" applyAlignment="1">
      <alignment horizontal="center"/>
    </xf>
    <xf numFmtId="9" fontId="3" fillId="8" borderId="1" xfId="3" applyFont="1" applyFill="1" applyBorder="1" applyAlignment="1">
      <alignment horizontal="center" vertical="center"/>
    </xf>
    <xf numFmtId="9" fontId="14" fillId="8" borderId="1" xfId="3" applyFont="1" applyFill="1" applyBorder="1" applyAlignment="1">
      <alignment horizontal="center" vertical="center"/>
    </xf>
    <xf numFmtId="9" fontId="14" fillId="0" borderId="1" xfId="3" applyFont="1" applyFill="1" applyBorder="1" applyAlignment="1">
      <alignment horizontal="center"/>
    </xf>
    <xf numFmtId="9" fontId="8" fillId="0" borderId="1" xfId="3" applyFont="1" applyBorder="1" applyAlignment="1">
      <alignment horizontal="center"/>
    </xf>
    <xf numFmtId="9" fontId="4" fillId="2" borderId="1" xfId="3" applyFont="1" applyFill="1" applyBorder="1" applyAlignment="1">
      <alignment horizontal="center"/>
    </xf>
    <xf numFmtId="9" fontId="8" fillId="5" borderId="1" xfId="3" applyFont="1" applyFill="1" applyBorder="1" applyAlignment="1">
      <alignment horizontal="center"/>
    </xf>
    <xf numFmtId="9" fontId="18" fillId="0" borderId="0" xfId="3" applyFont="1" applyBorder="1" applyAlignment="1">
      <alignment horizontal="center"/>
    </xf>
    <xf numFmtId="9" fontId="18" fillId="0" borderId="0" xfId="3" applyFont="1" applyAlignment="1">
      <alignment horizontal="center"/>
    </xf>
    <xf numFmtId="9" fontId="7" fillId="0" borderId="0" xfId="3" applyFont="1" applyBorder="1" applyAlignment="1">
      <alignment horizontal="center"/>
    </xf>
    <xf numFmtId="9" fontId="40" fillId="0" borderId="0" xfId="3" applyFont="1" applyBorder="1" applyAlignment="1">
      <alignment horizontal="center"/>
    </xf>
    <xf numFmtId="9" fontId="18" fillId="10" borderId="0" xfId="3" applyFont="1" applyFill="1" applyBorder="1" applyAlignment="1">
      <alignment horizontal="center"/>
    </xf>
    <xf numFmtId="9" fontId="18" fillId="10" borderId="0" xfId="3" applyFont="1" applyFill="1" applyAlignment="1">
      <alignment horizontal="center"/>
    </xf>
    <xf numFmtId="9" fontId="7" fillId="10" borderId="0" xfId="3" applyFont="1" applyFill="1" applyAlignment="1">
      <alignment horizontal="center"/>
    </xf>
    <xf numFmtId="9" fontId="7" fillId="10" borderId="0" xfId="3" applyFont="1" applyFill="1" applyBorder="1" applyAlignment="1">
      <alignment horizontal="center"/>
    </xf>
    <xf numFmtId="9" fontId="0" fillId="0" borderId="0" xfId="3" applyFont="1" applyAlignment="1">
      <alignment horizontal="center"/>
    </xf>
    <xf numFmtId="9" fontId="42" fillId="0" borderId="0" xfId="3" applyFont="1" applyBorder="1" applyAlignment="1">
      <alignment horizontal="center"/>
    </xf>
    <xf numFmtId="9" fontId="42" fillId="0" borderId="0" xfId="3" applyFont="1" applyAlignment="1">
      <alignment horizontal="center"/>
    </xf>
    <xf numFmtId="9" fontId="7" fillId="11" borderId="8" xfId="3" applyFont="1" applyFill="1" applyBorder="1" applyAlignment="1">
      <alignment horizontal="center"/>
    </xf>
    <xf numFmtId="9" fontId="13" fillId="5" borderId="1" xfId="3" applyFont="1" applyFill="1" applyBorder="1"/>
    <xf numFmtId="9" fontId="18" fillId="0" borderId="1" xfId="3" applyFont="1" applyFill="1" applyBorder="1" applyAlignment="1">
      <alignment horizontal="center"/>
    </xf>
    <xf numFmtId="9" fontId="76" fillId="7" borderId="1" xfId="3" applyFont="1" applyFill="1" applyBorder="1" applyAlignment="1">
      <alignment horizontal="center" vertical="center"/>
    </xf>
    <xf numFmtId="9" fontId="13" fillId="5" borderId="1" xfId="3" applyFont="1" applyFill="1" applyBorder="1" applyAlignment="1">
      <alignment horizontal="center"/>
    </xf>
    <xf numFmtId="3" fontId="74" fillId="7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1" fillId="0" borderId="1" xfId="1" applyNumberFormat="1" applyFont="1" applyBorder="1" applyAlignment="1">
      <alignment horizontal="center"/>
    </xf>
    <xf numFmtId="3" fontId="3" fillId="5" borderId="1" xfId="1" applyNumberFormat="1" applyFont="1" applyFill="1" applyBorder="1" applyAlignment="1">
      <alignment horizontal="center"/>
    </xf>
    <xf numFmtId="3" fontId="7" fillId="4" borderId="1" xfId="1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9" fontId="7" fillId="0" borderId="1" xfId="3" applyFont="1" applyFill="1" applyBorder="1" applyAlignment="1">
      <alignment horizontal="center"/>
    </xf>
    <xf numFmtId="166" fontId="7" fillId="0" borderId="1" xfId="1" applyNumberFormat="1" applyFont="1" applyFill="1" applyBorder="1" applyAlignment="1">
      <alignment horizontal="center"/>
    </xf>
    <xf numFmtId="9" fontId="3" fillId="0" borderId="1" xfId="3" applyFont="1" applyFill="1" applyBorder="1" applyAlignment="1">
      <alignment horizontal="center"/>
    </xf>
    <xf numFmtId="166" fontId="7" fillId="9" borderId="1" xfId="1" applyNumberFormat="1" applyFont="1" applyFill="1" applyBorder="1" applyAlignment="1">
      <alignment horizontal="center"/>
    </xf>
    <xf numFmtId="9" fontId="7" fillId="4" borderId="1" xfId="3" applyFont="1" applyFill="1" applyBorder="1" applyAlignment="1">
      <alignment horizontal="center"/>
    </xf>
    <xf numFmtId="166" fontId="7" fillId="4" borderId="1" xfId="1" applyNumberFormat="1" applyFont="1" applyFill="1" applyBorder="1" applyAlignment="1">
      <alignment horizontal="center"/>
    </xf>
    <xf numFmtId="166" fontId="3" fillId="2" borderId="1" xfId="1" applyNumberFormat="1" applyFont="1" applyFill="1" applyBorder="1" applyAlignment="1">
      <alignment horizontal="center"/>
    </xf>
    <xf numFmtId="9" fontId="27" fillId="9" borderId="1" xfId="3" applyFont="1" applyFill="1" applyBorder="1" applyAlignment="1">
      <alignment horizontal="center"/>
    </xf>
    <xf numFmtId="166" fontId="7" fillId="0" borderId="8" xfId="1" applyNumberFormat="1" applyFont="1" applyFill="1" applyBorder="1" applyAlignment="1">
      <alignment horizontal="center"/>
    </xf>
    <xf numFmtId="166" fontId="3" fillId="0" borderId="8" xfId="1" applyNumberFormat="1" applyFont="1" applyFill="1" applyBorder="1" applyAlignment="1">
      <alignment horizontal="center"/>
    </xf>
    <xf numFmtId="9" fontId="27" fillId="0" borderId="1" xfId="3" applyFont="1" applyFill="1" applyBorder="1" applyAlignment="1">
      <alignment horizontal="center"/>
    </xf>
    <xf numFmtId="166" fontId="27" fillId="0" borderId="8" xfId="1" applyNumberFormat="1" applyFont="1" applyFill="1" applyBorder="1" applyAlignment="1">
      <alignment horizontal="center"/>
    </xf>
    <xf numFmtId="3" fontId="46" fillId="12" borderId="0" xfId="0" applyNumberFormat="1" applyFont="1" applyFill="1" applyBorder="1" applyAlignment="1">
      <alignment horizontal="center"/>
    </xf>
    <xf numFmtId="3" fontId="3" fillId="11" borderId="0" xfId="0" applyNumberFormat="1" applyFont="1" applyFill="1" applyBorder="1" applyAlignment="1">
      <alignment horizontal="center"/>
    </xf>
    <xf numFmtId="9" fontId="3" fillId="8" borderId="0" xfId="1" applyNumberFormat="1" applyFont="1" applyFill="1" applyBorder="1" applyAlignment="1">
      <alignment horizontal="center" vertical="center"/>
    </xf>
    <xf numFmtId="9" fontId="32" fillId="8" borderId="0" xfId="3" applyFont="1" applyFill="1" applyBorder="1" applyAlignment="1">
      <alignment horizontal="center" vertical="center"/>
    </xf>
    <xf numFmtId="9" fontId="32" fillId="8" borderId="3" xfId="3" applyFont="1" applyFill="1" applyBorder="1" applyAlignment="1">
      <alignment horizontal="center" vertical="center"/>
    </xf>
    <xf numFmtId="9" fontId="7" fillId="0" borderId="3" xfId="3" applyFont="1" applyBorder="1" applyAlignment="1">
      <alignment horizontal="center"/>
    </xf>
    <xf numFmtId="9" fontId="46" fillId="12" borderId="0" xfId="3" applyFont="1" applyFill="1" applyBorder="1" applyAlignment="1">
      <alignment horizontal="center"/>
    </xf>
    <xf numFmtId="9" fontId="46" fillId="12" borderId="3" xfId="3" applyFont="1" applyFill="1" applyBorder="1" applyAlignment="1">
      <alignment horizontal="center"/>
    </xf>
    <xf numFmtId="9" fontId="3" fillId="11" borderId="0" xfId="3" applyFont="1" applyFill="1" applyBorder="1" applyAlignment="1">
      <alignment horizontal="center"/>
    </xf>
    <xf numFmtId="9" fontId="3" fillId="11" borderId="3" xfId="3" applyFont="1" applyFill="1" applyBorder="1" applyAlignment="1">
      <alignment horizontal="center"/>
    </xf>
    <xf numFmtId="9" fontId="7" fillId="0" borderId="5" xfId="3" applyFont="1" applyBorder="1" applyAlignment="1">
      <alignment horizontal="center"/>
    </xf>
    <xf numFmtId="9" fontId="7" fillId="0" borderId="23" xfId="3" applyFont="1" applyBorder="1" applyAlignment="1">
      <alignment horizontal="center"/>
    </xf>
    <xf numFmtId="9" fontId="13" fillId="0" borderId="0" xfId="3" applyFont="1" applyFill="1" applyBorder="1" applyAlignment="1">
      <alignment horizontal="center"/>
    </xf>
    <xf numFmtId="9" fontId="13" fillId="0" borderId="3" xfId="3" applyFont="1" applyFill="1" applyBorder="1" applyAlignment="1">
      <alignment horizontal="center"/>
    </xf>
    <xf numFmtId="9" fontId="2" fillId="2" borderId="1" xfId="3" applyFont="1" applyFill="1" applyBorder="1" applyAlignment="1">
      <alignment horizontal="center"/>
    </xf>
    <xf numFmtId="0" fontId="4" fillId="5" borderId="1" xfId="0" applyFont="1" applyFill="1" applyBorder="1"/>
    <xf numFmtId="166" fontId="4" fillId="5" borderId="1" xfId="1" applyNumberFormat="1" applyFont="1" applyFill="1" applyBorder="1"/>
    <xf numFmtId="166" fontId="4" fillId="5" borderId="1" xfId="1" applyNumberFormat="1" applyFont="1" applyFill="1" applyBorder="1" applyAlignment="1">
      <alignment horizontal="center"/>
    </xf>
    <xf numFmtId="3" fontId="4" fillId="39" borderId="1" xfId="0" applyNumberFormat="1" applyFont="1" applyFill="1" applyBorder="1"/>
    <xf numFmtId="3" fontId="3" fillId="39" borderId="1" xfId="0" applyNumberFormat="1" applyFont="1" applyFill="1" applyBorder="1" applyAlignment="1">
      <alignment horizontal="center"/>
    </xf>
    <xf numFmtId="3" fontId="3" fillId="39" borderId="2" xfId="0" applyNumberFormat="1" applyFont="1" applyFill="1" applyBorder="1" applyAlignment="1">
      <alignment horizontal="center"/>
    </xf>
    <xf numFmtId="0" fontId="0" fillId="39" borderId="8" xfId="0" applyFill="1" applyBorder="1" applyAlignment="1">
      <alignment horizontal="center"/>
    </xf>
    <xf numFmtId="0" fontId="0" fillId="39" borderId="9" xfId="0" applyFill="1" applyBorder="1" applyAlignment="1">
      <alignment horizontal="center"/>
    </xf>
    <xf numFmtId="3" fontId="77" fillId="2" borderId="1" xfId="0" applyNumberFormat="1" applyFont="1" applyFill="1" applyBorder="1" applyAlignment="1">
      <alignment horizontal="center"/>
    </xf>
    <xf numFmtId="9" fontId="18" fillId="0" borderId="1" xfId="3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49" fontId="7" fillId="0" borderId="0" xfId="0" applyNumberFormat="1" applyFont="1"/>
    <xf numFmtId="3" fontId="71" fillId="0" borderId="0" xfId="0" applyNumberFormat="1" applyFont="1" applyFill="1" applyBorder="1"/>
    <xf numFmtId="0" fontId="18" fillId="4" borderId="1" xfId="0" applyFont="1" applyFill="1" applyBorder="1" applyAlignment="1">
      <alignment horizontal="right" wrapText="1"/>
    </xf>
    <xf numFmtId="0" fontId="78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80" fillId="0" borderId="0" xfId="0" applyFont="1"/>
    <xf numFmtId="3" fontId="80" fillId="0" borderId="0" xfId="0" applyNumberFormat="1" applyFont="1"/>
    <xf numFmtId="0" fontId="79" fillId="0" borderId="0" xfId="0" applyFont="1" applyFill="1" applyBorder="1" applyAlignment="1">
      <alignment horizontal="left" vertical="top"/>
    </xf>
    <xf numFmtId="0" fontId="80" fillId="0" borderId="0" xfId="0" applyFont="1" applyBorder="1" applyAlignment="1">
      <alignment horizontal="center" vertical="center" wrapText="1"/>
    </xf>
    <xf numFmtId="0" fontId="80" fillId="0" borderId="1" xfId="0" applyFont="1" applyBorder="1" applyAlignment="1">
      <alignment vertical="center" wrapText="1"/>
    </xf>
    <xf numFmtId="0" fontId="79" fillId="0" borderId="61" xfId="0" applyFont="1" applyFill="1" applyBorder="1" applyAlignment="1">
      <alignment vertical="center" wrapText="1"/>
    </xf>
    <xf numFmtId="0" fontId="79" fillId="0" borderId="62" xfId="0" applyFont="1" applyFill="1" applyBorder="1" applyAlignment="1">
      <alignment vertical="center" wrapText="1"/>
    </xf>
    <xf numFmtId="165" fontId="79" fillId="0" borderId="63" xfId="0" applyNumberFormat="1" applyFont="1" applyBorder="1"/>
    <xf numFmtId="0" fontId="80" fillId="0" borderId="0" xfId="0" applyFont="1" applyBorder="1"/>
    <xf numFmtId="0" fontId="81" fillId="0" borderId="0" xfId="0" applyFont="1"/>
    <xf numFmtId="0" fontId="80" fillId="0" borderId="6" xfId="0" applyFont="1" applyBorder="1" applyAlignment="1">
      <alignment vertical="center" wrapText="1"/>
    </xf>
    <xf numFmtId="165" fontId="80" fillId="0" borderId="65" xfId="1" applyNumberFormat="1" applyFont="1" applyBorder="1" applyAlignment="1">
      <alignment vertical="center" wrapText="1"/>
    </xf>
    <xf numFmtId="0" fontId="80" fillId="0" borderId="62" xfId="0" applyFont="1" applyBorder="1" applyAlignment="1">
      <alignment vertical="center" wrapText="1"/>
    </xf>
    <xf numFmtId="165" fontId="80" fillId="0" borderId="63" xfId="1" applyNumberFormat="1" applyFont="1" applyBorder="1" applyAlignment="1">
      <alignment vertical="center" wrapText="1"/>
    </xf>
    <xf numFmtId="0" fontId="80" fillId="0" borderId="60" xfId="0" applyFont="1" applyBorder="1" applyAlignment="1">
      <alignment vertical="center" wrapText="1"/>
    </xf>
    <xf numFmtId="0" fontId="80" fillId="0" borderId="51" xfId="0" applyFont="1" applyBorder="1" applyAlignment="1">
      <alignment vertical="center" wrapText="1"/>
    </xf>
    <xf numFmtId="165" fontId="80" fillId="4" borderId="59" xfId="1" applyNumberFormat="1" applyFont="1" applyFill="1" applyBorder="1" applyAlignment="1">
      <alignment vertical="center" wrapText="1"/>
    </xf>
    <xf numFmtId="165" fontId="80" fillId="4" borderId="17" xfId="1" applyNumberFormat="1" applyFont="1" applyFill="1" applyBorder="1" applyAlignment="1">
      <alignment vertical="center" wrapText="1"/>
    </xf>
    <xf numFmtId="165" fontId="80" fillId="4" borderId="52" xfId="1" applyNumberFormat="1" applyFont="1" applyFill="1" applyBorder="1" applyAlignment="1">
      <alignment vertical="center" wrapText="1"/>
    </xf>
    <xf numFmtId="0" fontId="79" fillId="40" borderId="61" xfId="0" applyFont="1" applyFill="1" applyBorder="1" applyAlignment="1">
      <alignment horizontal="center" vertical="center"/>
    </xf>
    <xf numFmtId="0" fontId="79" fillId="40" borderId="62" xfId="0" applyFont="1" applyFill="1" applyBorder="1" applyAlignment="1">
      <alignment horizontal="center" vertical="center" wrapText="1"/>
    </xf>
    <xf numFmtId="0" fontId="82" fillId="40" borderId="63" xfId="0" applyFont="1" applyFill="1" applyBorder="1" applyAlignment="1">
      <alignment horizontal="center" vertical="center" wrapText="1"/>
    </xf>
    <xf numFmtId="0" fontId="79" fillId="40" borderId="66" xfId="0" applyFont="1" applyFill="1" applyBorder="1" applyAlignment="1">
      <alignment horizontal="center" vertical="center" wrapText="1"/>
    </xf>
    <xf numFmtId="165" fontId="80" fillId="0" borderId="7" xfId="1" applyNumberFormat="1" applyFont="1" applyBorder="1" applyAlignment="1">
      <alignment vertical="center" wrapText="1"/>
    </xf>
    <xf numFmtId="165" fontId="80" fillId="4" borderId="67" xfId="1" applyNumberFormat="1" applyFont="1" applyFill="1" applyBorder="1" applyAlignment="1">
      <alignment vertical="center" wrapText="1"/>
    </xf>
    <xf numFmtId="165" fontId="80" fillId="4" borderId="2" xfId="1" applyNumberFormat="1" applyFont="1" applyFill="1" applyBorder="1" applyAlignment="1">
      <alignment vertical="center" wrapText="1"/>
    </xf>
    <xf numFmtId="165" fontId="80" fillId="4" borderId="68" xfId="1" applyNumberFormat="1" applyFont="1" applyFill="1" applyBorder="1" applyAlignment="1">
      <alignment vertical="center" wrapText="1"/>
    </xf>
    <xf numFmtId="165" fontId="79" fillId="0" borderId="66" xfId="0" applyNumberFormat="1" applyFont="1" applyBorder="1"/>
    <xf numFmtId="165" fontId="80" fillId="0" borderId="66" xfId="1" applyNumberFormat="1" applyFont="1" applyBorder="1" applyAlignment="1">
      <alignment vertical="center" wrapText="1"/>
    </xf>
    <xf numFmtId="0" fontId="3" fillId="0" borderId="0" xfId="0" applyFont="1" applyAlignment="1"/>
    <xf numFmtId="0" fontId="1" fillId="0" borderId="69" xfId="49" applyFont="1" applyBorder="1"/>
    <xf numFmtId="0" fontId="78" fillId="0" borderId="34" xfId="0" applyFont="1" applyBorder="1" applyAlignment="1">
      <alignment wrapText="1"/>
    </xf>
    <xf numFmtId="0" fontId="78" fillId="0" borderId="35" xfId="0" applyFont="1" applyBorder="1" applyAlignment="1">
      <alignment wrapText="1"/>
    </xf>
    <xf numFmtId="0" fontId="3" fillId="0" borderId="0" xfId="49" applyFont="1" applyAlignment="1"/>
    <xf numFmtId="0" fontId="3" fillId="0" borderId="0" xfId="0" applyFont="1" applyAlignment="1">
      <alignment horizontal="center" vertical="center"/>
    </xf>
    <xf numFmtId="0" fontId="83" fillId="0" borderId="0" xfId="49" applyFont="1"/>
    <xf numFmtId="0" fontId="78" fillId="0" borderId="40" xfId="0" applyFont="1" applyBorder="1" applyAlignment="1">
      <alignment wrapText="1"/>
    </xf>
    <xf numFmtId="0" fontId="3" fillId="10" borderId="12" xfId="49" applyFont="1" applyFill="1" applyBorder="1"/>
    <xf numFmtId="165" fontId="1" fillId="0" borderId="53" xfId="1" applyNumberFormat="1" applyFont="1" applyBorder="1"/>
    <xf numFmtId="0" fontId="1" fillId="0" borderId="0" xfId="0" quotePrefix="1" applyFont="1"/>
    <xf numFmtId="0" fontId="37" fillId="0" borderId="0" xfId="0" applyFont="1" applyAlignment="1"/>
    <xf numFmtId="0" fontId="83" fillId="0" borderId="0" xfId="49" applyFont="1" applyAlignment="1">
      <alignment horizontal="center"/>
    </xf>
    <xf numFmtId="3" fontId="71" fillId="0" borderId="1" xfId="0" applyNumberFormat="1" applyFont="1" applyFill="1" applyBorder="1"/>
    <xf numFmtId="0" fontId="84" fillId="0" borderId="0" xfId="0" applyFont="1" applyBorder="1" applyAlignment="1"/>
    <xf numFmtId="0" fontId="1" fillId="0" borderId="0" xfId="49" applyFont="1" applyBorder="1" applyAlignment="1">
      <alignment vertical="center" wrapText="1"/>
    </xf>
    <xf numFmtId="0" fontId="3" fillId="0" borderId="0" xfId="49" applyFont="1" applyAlignment="1">
      <alignment vertical="center"/>
    </xf>
    <xf numFmtId="0" fontId="51" fillId="0" borderId="32" xfId="49" applyBorder="1" applyAlignment="1">
      <alignment vertical="center"/>
    </xf>
    <xf numFmtId="0" fontId="3" fillId="0" borderId="11" xfId="49" applyFont="1" applyBorder="1" applyAlignment="1">
      <alignment vertical="center"/>
    </xf>
    <xf numFmtId="165" fontId="3" fillId="0" borderId="70" xfId="49" applyNumberFormat="1" applyFont="1" applyBorder="1" applyAlignment="1">
      <alignment vertical="center"/>
    </xf>
    <xf numFmtId="165" fontId="1" fillId="0" borderId="55" xfId="1" applyNumberFormat="1" applyFont="1" applyBorder="1" applyAlignment="1">
      <alignment vertical="center"/>
    </xf>
    <xf numFmtId="165" fontId="3" fillId="0" borderId="0" xfId="1" applyNumberFormat="1" applyFont="1" applyBorder="1" applyAlignment="1">
      <alignment vertical="center"/>
    </xf>
    <xf numFmtId="165" fontId="1" fillId="0" borderId="0" xfId="1" applyNumberFormat="1" applyFont="1" applyBorder="1" applyAlignment="1">
      <alignment vertical="center"/>
    </xf>
    <xf numFmtId="0" fontId="83" fillId="0" borderId="0" xfId="49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165" fontId="3" fillId="0" borderId="0" xfId="49" applyNumberFormat="1" applyFont="1" applyBorder="1" applyAlignment="1">
      <alignment vertical="center"/>
    </xf>
    <xf numFmtId="0" fontId="3" fillId="10" borderId="11" xfId="49" applyFont="1" applyFill="1" applyBorder="1" applyAlignment="1">
      <alignment wrapText="1"/>
    </xf>
    <xf numFmtId="0" fontId="3" fillId="0" borderId="11" xfId="49" applyFont="1" applyBorder="1" applyAlignment="1">
      <alignment horizontal="left" vertical="center"/>
    </xf>
    <xf numFmtId="165" fontId="3" fillId="0" borderId="70" xfId="1" applyNumberFormat="1" applyFont="1" applyBorder="1" applyAlignment="1">
      <alignment vertical="center"/>
    </xf>
    <xf numFmtId="0" fontId="3" fillId="10" borderId="11" xfId="49" applyFont="1" applyFill="1" applyBorder="1"/>
    <xf numFmtId="165" fontId="1" fillId="0" borderId="53" xfId="1" applyNumberFormat="1" applyFont="1" applyBorder="1" applyAlignment="1">
      <alignment vertical="center"/>
    </xf>
    <xf numFmtId="0" fontId="78" fillId="0" borderId="34" xfId="0" applyFont="1" applyBorder="1" applyAlignment="1">
      <alignment vertical="center" wrapText="1"/>
    </xf>
    <xf numFmtId="0" fontId="1" fillId="0" borderId="29" xfId="49" applyFont="1" applyBorder="1" applyAlignment="1">
      <alignment vertical="center"/>
    </xf>
    <xf numFmtId="165" fontId="1" fillId="0" borderId="54" xfId="1" applyNumberFormat="1" applyFont="1" applyBorder="1" applyAlignment="1">
      <alignment vertical="center"/>
    </xf>
    <xf numFmtId="0" fontId="83" fillId="10" borderId="11" xfId="49" applyFont="1" applyFill="1" applyBorder="1" applyAlignment="1">
      <alignment vertical="center"/>
    </xf>
    <xf numFmtId="0" fontId="83" fillId="10" borderId="70" xfId="49" applyFont="1" applyFill="1" applyBorder="1"/>
    <xf numFmtId="3" fontId="80" fillId="0" borderId="39" xfId="0" applyNumberFormat="1" applyFont="1" applyBorder="1" applyAlignment="1">
      <alignment horizontal="right" vertical="center"/>
    </xf>
    <xf numFmtId="3" fontId="80" fillId="0" borderId="28" xfId="0" applyNumberFormat="1" applyFont="1" applyBorder="1" applyAlignment="1">
      <alignment horizontal="right" vertical="center"/>
    </xf>
    <xf numFmtId="3" fontId="80" fillId="0" borderId="34" xfId="1" applyNumberFormat="1" applyFont="1" applyBorder="1" applyAlignment="1">
      <alignment horizontal="right" vertical="center"/>
    </xf>
    <xf numFmtId="3" fontId="80" fillId="0" borderId="34" xfId="0" applyNumberFormat="1" applyFont="1" applyBorder="1" applyAlignment="1">
      <alignment horizontal="right" vertical="center"/>
    </xf>
    <xf numFmtId="3" fontId="80" fillId="0" borderId="35" xfId="0" applyNumberFormat="1" applyFont="1" applyBorder="1" applyAlignment="1">
      <alignment horizontal="right" vertical="center"/>
    </xf>
    <xf numFmtId="3" fontId="80" fillId="0" borderId="56" xfId="1" applyNumberFormat="1" applyFont="1" applyBorder="1" applyAlignment="1">
      <alignment horizontal="right" vertical="center"/>
    </xf>
    <xf numFmtId="3" fontId="80" fillId="0" borderId="56" xfId="0" applyNumberFormat="1" applyFont="1" applyBorder="1" applyAlignment="1">
      <alignment horizontal="right" vertical="center"/>
    </xf>
    <xf numFmtId="3" fontId="80" fillId="0" borderId="57" xfId="0" applyNumberFormat="1" applyFont="1" applyBorder="1" applyAlignment="1">
      <alignment horizontal="right" vertical="center"/>
    </xf>
    <xf numFmtId="0" fontId="80" fillId="0" borderId="56" xfId="0" applyFont="1" applyBorder="1" applyAlignment="1">
      <alignment horizontal="left" vertical="center" wrapText="1"/>
    </xf>
    <xf numFmtId="0" fontId="80" fillId="0" borderId="57" xfId="0" applyFont="1" applyBorder="1" applyAlignment="1">
      <alignment horizontal="left" vertical="center" wrapText="1"/>
    </xf>
    <xf numFmtId="0" fontId="80" fillId="0" borderId="56" xfId="0" applyFont="1" applyBorder="1" applyAlignment="1">
      <alignment horizontal="center" vertical="center"/>
    </xf>
    <xf numFmtId="0" fontId="80" fillId="0" borderId="57" xfId="0" applyFont="1" applyBorder="1" applyAlignment="1">
      <alignment horizontal="center" vertical="center"/>
    </xf>
    <xf numFmtId="3" fontId="79" fillId="5" borderId="37" xfId="0" applyNumberFormat="1" applyFont="1" applyFill="1" applyBorder="1" applyAlignment="1">
      <alignment vertical="center"/>
    </xf>
    <xf numFmtId="3" fontId="79" fillId="5" borderId="53" xfId="0" applyNumberFormat="1" applyFont="1" applyFill="1" applyBorder="1" applyAlignment="1">
      <alignment vertical="center"/>
    </xf>
    <xf numFmtId="0" fontId="82" fillId="5" borderId="11" xfId="0" applyFont="1" applyFill="1" applyBorder="1" applyAlignment="1">
      <alignment horizontal="center" vertical="center" wrapText="1"/>
    </xf>
    <xf numFmtId="0" fontId="82" fillId="5" borderId="70" xfId="0" applyFont="1" applyFill="1" applyBorder="1" applyAlignment="1">
      <alignment horizontal="center" vertical="center" wrapText="1"/>
    </xf>
    <xf numFmtId="0" fontId="85" fillId="0" borderId="0" xfId="0" applyFont="1" applyFill="1" applyBorder="1" applyAlignment="1">
      <alignment horizontal="left" vertical="top"/>
    </xf>
    <xf numFmtId="0" fontId="80" fillId="0" borderId="0" xfId="0" applyFont="1" applyBorder="1" applyAlignment="1">
      <alignment horizontal="center" vertical="center"/>
    </xf>
    <xf numFmtId="0" fontId="80" fillId="0" borderId="0" xfId="0" applyFont="1" applyBorder="1" applyAlignment="1">
      <alignment horizontal="left" vertical="center" wrapText="1"/>
    </xf>
    <xf numFmtId="3" fontId="80" fillId="0" borderId="0" xfId="0" applyNumberFormat="1" applyFont="1" applyBorder="1" applyAlignment="1">
      <alignment horizontal="right" vertical="center"/>
    </xf>
    <xf numFmtId="165" fontId="1" fillId="4" borderId="55" xfId="1" applyNumberFormat="1" applyFont="1" applyFill="1" applyBorder="1" applyAlignment="1">
      <alignment vertical="center"/>
    </xf>
    <xf numFmtId="0" fontId="78" fillId="0" borderId="35" xfId="0" applyFont="1" applyBorder="1" applyAlignment="1">
      <alignment vertical="center" wrapText="1"/>
    </xf>
    <xf numFmtId="0" fontId="3" fillId="0" borderId="0" xfId="49" applyFont="1" applyAlignment="1">
      <alignment horizontal="center"/>
    </xf>
    <xf numFmtId="3" fontId="80" fillId="0" borderId="39" xfId="1" applyNumberFormat="1" applyFont="1" applyBorder="1" applyAlignment="1">
      <alignment horizontal="right" vertical="center"/>
    </xf>
    <xf numFmtId="0" fontId="80" fillId="0" borderId="54" xfId="0" applyFont="1" applyBorder="1" applyAlignment="1">
      <alignment horizontal="center" vertical="center"/>
    </xf>
    <xf numFmtId="0" fontId="80" fillId="0" borderId="54" xfId="0" applyFont="1" applyBorder="1" applyAlignment="1">
      <alignment horizontal="left" vertical="center" wrapText="1"/>
    </xf>
    <xf numFmtId="3" fontId="80" fillId="0" borderId="29" xfId="1" applyNumberFormat="1" applyFont="1" applyBorder="1" applyAlignment="1">
      <alignment horizontal="right" vertical="center"/>
    </xf>
    <xf numFmtId="3" fontId="80" fillId="0" borderId="54" xfId="1" applyNumberFormat="1" applyFont="1" applyBorder="1" applyAlignment="1">
      <alignment horizontal="right" vertical="center"/>
    </xf>
    <xf numFmtId="3" fontId="80" fillId="0" borderId="30" xfId="1" applyNumberFormat="1" applyFont="1" applyBorder="1" applyAlignment="1">
      <alignment horizontal="right" vertical="center"/>
    </xf>
    <xf numFmtId="49" fontId="80" fillId="0" borderId="64" xfId="0" applyNumberFormat="1" applyFont="1" applyBorder="1" applyAlignment="1">
      <alignment vertical="center" wrapText="1"/>
    </xf>
    <xf numFmtId="49" fontId="80" fillId="0" borderId="61" xfId="0" applyNumberFormat="1" applyFont="1" applyBorder="1" applyAlignment="1">
      <alignment vertical="center" wrapText="1"/>
    </xf>
    <xf numFmtId="49" fontId="80" fillId="0" borderId="58" xfId="0" applyNumberFormat="1" applyFont="1" applyBorder="1" applyAlignment="1">
      <alignment vertical="center" wrapText="1"/>
    </xf>
    <xf numFmtId="49" fontId="80" fillId="0" borderId="50" xfId="0" applyNumberFormat="1" applyFont="1" applyBorder="1" applyAlignment="1">
      <alignment vertical="center" wrapText="1"/>
    </xf>
    <xf numFmtId="166" fontId="26" fillId="9" borderId="1" xfId="1" applyNumberFormat="1" applyFont="1" applyFill="1" applyBorder="1"/>
    <xf numFmtId="0" fontId="80" fillId="0" borderId="28" xfId="0" applyFont="1" applyBorder="1" applyAlignment="1">
      <alignment horizontal="right" wrapText="1"/>
    </xf>
    <xf numFmtId="0" fontId="80" fillId="0" borderId="0" xfId="0" applyFont="1" applyBorder="1" applyAlignment="1">
      <alignment horizontal="right" wrapText="1"/>
    </xf>
    <xf numFmtId="165" fontId="1" fillId="0" borderId="56" xfId="1" applyNumberFormat="1" applyFont="1" applyBorder="1"/>
    <xf numFmtId="0" fontId="86" fillId="0" borderId="0" xfId="0" applyFont="1" applyAlignment="1"/>
    <xf numFmtId="0" fontId="0" fillId="0" borderId="19" xfId="0" applyBorder="1"/>
    <xf numFmtId="0" fontId="3" fillId="0" borderId="20" xfId="0" applyFont="1" applyBorder="1" applyAlignment="1">
      <alignment horizontal="center"/>
    </xf>
    <xf numFmtId="0" fontId="0" fillId="0" borderId="21" xfId="0" applyBorder="1"/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3" fontId="4" fillId="0" borderId="10" xfId="0" applyNumberFormat="1" applyFont="1" applyFill="1" applyBorder="1"/>
    <xf numFmtId="3" fontId="4" fillId="0" borderId="10" xfId="0" applyNumberFormat="1" applyFont="1" applyFill="1" applyBorder="1" applyAlignment="1">
      <alignment vertical="center"/>
    </xf>
    <xf numFmtId="3" fontId="4" fillId="0" borderId="22" xfId="0" applyNumberFormat="1" applyFont="1" applyFill="1" applyBorder="1"/>
    <xf numFmtId="0" fontId="25" fillId="9" borderId="2" xfId="0" applyFont="1" applyFill="1" applyBorder="1" applyAlignment="1">
      <alignment horizontal="center" vertical="center" wrapText="1"/>
    </xf>
    <xf numFmtId="3" fontId="3" fillId="9" borderId="2" xfId="0" applyNumberFormat="1" applyFont="1" applyFill="1" applyBorder="1" applyAlignment="1">
      <alignment horizontal="center" vertical="center" wrapText="1"/>
    </xf>
    <xf numFmtId="0" fontId="44" fillId="0" borderId="2" xfId="0" applyFont="1" applyFill="1" applyBorder="1" applyAlignment="1">
      <alignment wrapText="1"/>
    </xf>
    <xf numFmtId="0" fontId="4" fillId="5" borderId="2" xfId="0" applyFont="1" applyFill="1" applyBorder="1" applyAlignment="1">
      <alignment wrapText="1"/>
    </xf>
    <xf numFmtId="166" fontId="0" fillId="0" borderId="20" xfId="0" applyNumberFormat="1" applyBorder="1"/>
    <xf numFmtId="0" fontId="0" fillId="0" borderId="7" xfId="0" applyBorder="1"/>
    <xf numFmtId="166" fontId="0" fillId="0" borderId="0" xfId="0" applyNumberFormat="1" applyBorder="1"/>
    <xf numFmtId="0" fontId="0" fillId="0" borderId="3" xfId="0" applyBorder="1"/>
    <xf numFmtId="166" fontId="3" fillId="9" borderId="1" xfId="1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wrapText="1"/>
    </xf>
    <xf numFmtId="165" fontId="1" fillId="0" borderId="0" xfId="0" applyNumberFormat="1" applyFont="1"/>
    <xf numFmtId="0" fontId="84" fillId="0" borderId="7" xfId="0" applyFont="1" applyBorder="1" applyAlignment="1"/>
    <xf numFmtId="0" fontId="38" fillId="0" borderId="0" xfId="0" applyFont="1" applyAlignment="1"/>
    <xf numFmtId="0" fontId="0" fillId="4" borderId="0" xfId="0" applyFill="1"/>
    <xf numFmtId="0" fontId="4" fillId="2" borderId="1" xfId="0" applyFont="1" applyFill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3" fontId="5" fillId="4" borderId="1" xfId="1" applyNumberFormat="1" applyFont="1" applyFill="1" applyBorder="1"/>
    <xf numFmtId="3" fontId="3" fillId="4" borderId="1" xfId="1" applyNumberFormat="1" applyFont="1" applyFill="1" applyBorder="1"/>
    <xf numFmtId="166" fontId="8" fillId="4" borderId="1" xfId="1" applyNumberFormat="1" applyFont="1" applyFill="1" applyBorder="1"/>
    <xf numFmtId="3" fontId="8" fillId="4" borderId="1" xfId="1" applyNumberFormat="1" applyFont="1" applyFill="1" applyBorder="1"/>
    <xf numFmtId="0" fontId="3" fillId="0" borderId="0" xfId="49" applyFont="1" applyAlignment="1">
      <alignment horizontal="center"/>
    </xf>
    <xf numFmtId="165" fontId="3" fillId="8" borderId="1" xfId="1" applyNumberFormat="1" applyFont="1" applyFill="1" applyBorder="1"/>
    <xf numFmtId="165" fontId="69" fillId="0" borderId="1" xfId="1" applyNumberFormat="1" applyFont="1" applyBorder="1"/>
    <xf numFmtId="165" fontId="69" fillId="0" borderId="1" xfId="1" applyNumberFormat="1" applyFont="1" applyBorder="1" applyAlignment="1">
      <alignment vertical="center"/>
    </xf>
    <xf numFmtId="0" fontId="3" fillId="8" borderId="8" xfId="49" applyFont="1" applyFill="1" applyBorder="1" applyAlignment="1">
      <alignment vertical="center" wrapText="1"/>
    </xf>
    <xf numFmtId="0" fontId="3" fillId="8" borderId="1" xfId="49" applyFont="1" applyFill="1" applyBorder="1" applyAlignment="1">
      <alignment horizontal="left" vertical="center"/>
    </xf>
    <xf numFmtId="0" fontId="69" fillId="0" borderId="1" xfId="49" applyFont="1" applyBorder="1"/>
    <xf numFmtId="0" fontId="69" fillId="0" borderId="1" xfId="49" applyFont="1" applyBorder="1" applyAlignment="1">
      <alignment vertical="center"/>
    </xf>
    <xf numFmtId="3" fontId="31" fillId="0" borderId="19" xfId="0" applyNumberFormat="1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0" xfId="0" applyFont="1" applyBorder="1" applyAlignment="1"/>
    <xf numFmtId="0" fontId="19" fillId="0" borderId="21" xfId="0" applyFont="1" applyBorder="1" applyAlignment="1"/>
    <xf numFmtId="3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1" fillId="0" borderId="29" xfId="0" applyNumberFormat="1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25" xfId="0" applyFont="1" applyBorder="1" applyAlignment="1"/>
    <xf numFmtId="0" fontId="19" fillId="0" borderId="30" xfId="0" applyFont="1" applyBorder="1" applyAlignment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4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4" fillId="0" borderId="7" xfId="0" applyFont="1" applyBorder="1" applyAlignment="1"/>
    <xf numFmtId="0" fontId="37" fillId="0" borderId="0" xfId="0" applyFont="1" applyAlignment="1"/>
    <xf numFmtId="3" fontId="31" fillId="0" borderId="2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1" fillId="0" borderId="19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1" fillId="0" borderId="4" xfId="0" applyNumberFormat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19" fillId="0" borderId="5" xfId="0" applyFont="1" applyFill="1" applyBorder="1" applyAlignment="1"/>
    <xf numFmtId="0" fontId="19" fillId="0" borderId="23" xfId="0" applyFont="1" applyFill="1" applyBorder="1" applyAlignment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1" fillId="0" borderId="2" xfId="0" applyNumberFormat="1" applyFont="1" applyFill="1" applyBorder="1" applyAlignment="1">
      <alignment horizontal="center"/>
    </xf>
    <xf numFmtId="0" fontId="19" fillId="0" borderId="8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9" fontId="3" fillId="0" borderId="2" xfId="3" applyFont="1" applyBorder="1" applyAlignment="1">
      <alignment horizontal="center"/>
    </xf>
    <xf numFmtId="9" fontId="0" fillId="0" borderId="8" xfId="3" applyFont="1" applyBorder="1" applyAlignment="1">
      <alignment horizontal="center"/>
    </xf>
    <xf numFmtId="9" fontId="0" fillId="0" borderId="9" xfId="3" applyFont="1" applyBorder="1" applyAlignment="1">
      <alignment horizontal="center"/>
    </xf>
    <xf numFmtId="3" fontId="31" fillId="0" borderId="8" xfId="0" applyNumberFormat="1" applyFont="1" applyFill="1" applyBorder="1" applyAlignment="1">
      <alignment horizontal="center"/>
    </xf>
    <xf numFmtId="3" fontId="31" fillId="0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3" fillId="0" borderId="0" xfId="49" applyFont="1" applyAlignment="1">
      <alignment horizontal="center"/>
    </xf>
    <xf numFmtId="0" fontId="83" fillId="0" borderId="0" xfId="49" applyFont="1" applyAlignment="1">
      <alignment horizontal="center"/>
    </xf>
    <xf numFmtId="0" fontId="79" fillId="5" borderId="15" xfId="0" applyFont="1" applyFill="1" applyBorder="1" applyAlignment="1">
      <alignment horizontal="center" vertical="center"/>
    </xf>
    <xf numFmtId="0" fontId="79" fillId="5" borderId="53" xfId="0" applyFont="1" applyFill="1" applyBorder="1" applyAlignment="1">
      <alignment horizontal="center" vertical="center"/>
    </xf>
    <xf numFmtId="0" fontId="79" fillId="5" borderId="15" xfId="0" applyFont="1" applyFill="1" applyBorder="1" applyAlignment="1">
      <alignment horizontal="center" vertical="center" wrapText="1"/>
    </xf>
    <xf numFmtId="0" fontId="79" fillId="5" borderId="53" xfId="0" applyFont="1" applyFill="1" applyBorder="1" applyAlignment="1">
      <alignment horizontal="center" vertical="center" wrapText="1"/>
    </xf>
    <xf numFmtId="0" fontId="88" fillId="0" borderId="10" xfId="0" applyFont="1" applyBorder="1" applyAlignment="1">
      <alignment horizontal="center" vertical="center" textRotation="90" wrapText="1"/>
    </xf>
    <xf numFmtId="0" fontId="88" fillId="0" borderId="6" xfId="0" applyFont="1" applyBorder="1" applyAlignment="1">
      <alignment horizontal="center" vertical="center" textRotation="90" wrapText="1"/>
    </xf>
    <xf numFmtId="0" fontId="88" fillId="0" borderId="22" xfId="0" applyFont="1" applyBorder="1" applyAlignment="1">
      <alignment horizontal="center" vertical="center" textRotation="90" wrapText="1"/>
    </xf>
    <xf numFmtId="0" fontId="0" fillId="0" borderId="22" xfId="0" applyBorder="1" applyAlignment="1">
      <alignment textRotation="90" wrapText="1"/>
    </xf>
    <xf numFmtId="0" fontId="51" fillId="0" borderId="31" xfId="49" applyBorder="1"/>
    <xf numFmtId="0" fontId="51" fillId="0" borderId="16" xfId="49" applyBorder="1"/>
    <xf numFmtId="0" fontId="3" fillId="0" borderId="60" xfId="49" applyFont="1" applyBorder="1" applyAlignment="1">
      <alignment horizontal="center" vertical="center"/>
    </xf>
    <xf numFmtId="14" fontId="3" fillId="0" borderId="59" xfId="49" applyNumberFormat="1" applyFont="1" applyBorder="1" applyAlignment="1">
      <alignment horizontal="center" vertical="center" wrapText="1"/>
    </xf>
    <xf numFmtId="0" fontId="11" fillId="8" borderId="34" xfId="49" applyFont="1" applyFill="1" applyBorder="1" applyAlignment="1">
      <alignment vertical="center"/>
    </xf>
    <xf numFmtId="165" fontId="3" fillId="8" borderId="17" xfId="1" applyNumberFormat="1" applyFont="1" applyFill="1" applyBorder="1"/>
    <xf numFmtId="0" fontId="51" fillId="0" borderId="32" xfId="49" applyBorder="1" applyAlignment="1">
      <alignment horizontal="left" vertical="top"/>
    </xf>
    <xf numFmtId="165" fontId="69" fillId="0" borderId="17" xfId="1" applyNumberFormat="1" applyFont="1" applyBorder="1"/>
    <xf numFmtId="165" fontId="69" fillId="0" borderId="17" xfId="1" applyNumberFormat="1" applyFont="1" applyBorder="1" applyAlignment="1">
      <alignment vertical="center"/>
    </xf>
    <xf numFmtId="0" fontId="69" fillId="0" borderId="51" xfId="49" applyFont="1" applyBorder="1"/>
    <xf numFmtId="165" fontId="69" fillId="4" borderId="51" xfId="1" applyNumberFormat="1" applyFont="1" applyFill="1" applyBorder="1"/>
    <xf numFmtId="165" fontId="69" fillId="0" borderId="52" xfId="1" applyNumberFormat="1" applyFont="1" applyBorder="1"/>
  </cellXfs>
  <cellStyles count="54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_2016 évi terv." xfId="49"/>
    <cellStyle name="Összesen 2" xfId="50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66CC"/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zoomScale="70" zoomScaleNormal="75" zoomScaleSheetLayoutView="70" workbookViewId="0">
      <selection activeCell="I21" sqref="I21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6" width="15.5546875" style="23" customWidth="1"/>
    <col min="7" max="7" width="0.6640625" style="23" customWidth="1"/>
    <col min="8" max="8" width="15.5546875" style="22" customWidth="1"/>
    <col min="9" max="10" width="15.5546875" style="23" customWidth="1"/>
    <col min="11" max="11" width="0.6640625" style="23" customWidth="1"/>
    <col min="12" max="12" width="14.21875" style="22" customWidth="1"/>
    <col min="13" max="14" width="15.21875" style="22" bestFit="1" customWidth="1"/>
    <col min="15" max="15" width="0.664062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440</v>
      </c>
      <c r="B1" s="227"/>
      <c r="C1" s="227"/>
      <c r="D1" s="227"/>
      <c r="E1" s="227"/>
      <c r="F1" s="341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225"/>
    </row>
    <row r="3" spans="1:27" ht="21" hidden="1" x14ac:dyDescent="0.4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225"/>
    </row>
    <row r="4" spans="1:27" x14ac:dyDescent="0.25">
      <c r="A4" s="46"/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46"/>
      <c r="U4"/>
    </row>
    <row r="5" spans="1:27" ht="14.1" hidden="1" customHeight="1" x14ac:dyDescent="0.25">
      <c r="A5" s="46"/>
      <c r="B5" s="46"/>
      <c r="C5" s="342"/>
      <c r="D5" s="342"/>
      <c r="E5" s="342"/>
      <c r="F5" s="342"/>
      <c r="G5" s="342"/>
      <c r="H5" s="343"/>
      <c r="I5" s="343"/>
      <c r="J5" s="343"/>
      <c r="K5" s="342"/>
      <c r="L5" s="344"/>
      <c r="M5" s="36"/>
      <c r="N5" s="36"/>
      <c r="O5" s="342"/>
      <c r="P5" s="343"/>
      <c r="Q5" s="343"/>
      <c r="R5" s="343"/>
      <c r="S5" s="343"/>
      <c r="T5" s="36"/>
      <c r="U5" s="267"/>
    </row>
    <row r="6" spans="1:27" ht="14.1" hidden="1" customHeight="1" x14ac:dyDescent="0.25">
      <c r="A6" s="46"/>
      <c r="B6" s="46"/>
      <c r="C6" s="342"/>
      <c r="D6" s="342"/>
      <c r="E6" s="342"/>
      <c r="F6" s="342"/>
      <c r="G6" s="342"/>
      <c r="H6" s="343"/>
      <c r="I6" s="343"/>
      <c r="J6" s="343"/>
      <c r="K6" s="342"/>
      <c r="L6" s="344"/>
      <c r="M6" s="36"/>
      <c r="N6" s="36"/>
      <c r="O6" s="342"/>
      <c r="P6" s="343"/>
      <c r="Q6" s="343"/>
      <c r="R6" s="343"/>
      <c r="S6" s="343"/>
      <c r="T6" s="36"/>
      <c r="U6" s="267"/>
    </row>
    <row r="7" spans="1:27" ht="15.6" x14ac:dyDescent="0.3">
      <c r="A7" s="46"/>
      <c r="B7" s="46"/>
      <c r="C7" s="865" t="s">
        <v>404</v>
      </c>
      <c r="D7" s="866"/>
      <c r="E7" s="866"/>
      <c r="F7" s="867"/>
      <c r="G7" s="345"/>
      <c r="H7" s="865" t="s">
        <v>403</v>
      </c>
      <c r="I7" s="868"/>
      <c r="J7" s="868"/>
      <c r="K7" s="868"/>
      <c r="L7" s="868"/>
      <c r="M7" s="868"/>
      <c r="N7" s="869"/>
      <c r="O7" s="345"/>
      <c r="P7" s="865" t="s">
        <v>400</v>
      </c>
      <c r="Q7" s="866"/>
      <c r="R7" s="866"/>
      <c r="S7" s="866"/>
      <c r="T7" s="867"/>
      <c r="U7"/>
    </row>
    <row r="8" spans="1:27" ht="13.8" x14ac:dyDescent="0.25">
      <c r="A8" s="46"/>
      <c r="B8" s="46"/>
      <c r="C8" s="517"/>
      <c r="D8" s="464"/>
      <c r="E8" s="464"/>
      <c r="F8" s="489"/>
      <c r="G8" s="342"/>
      <c r="H8" s="870" t="s">
        <v>413</v>
      </c>
      <c r="I8" s="871"/>
      <c r="J8" s="871"/>
      <c r="K8" s="463"/>
      <c r="L8" s="872" t="s">
        <v>412</v>
      </c>
      <c r="M8" s="871"/>
      <c r="N8" s="873"/>
      <c r="O8" s="342"/>
      <c r="P8" s="488">
        <f>+'1. Sülysáp összesen'!P8</f>
        <v>1</v>
      </c>
      <c r="Q8" s="346">
        <f>+' 2. Önk. Bevételek'!Q8</f>
        <v>1</v>
      </c>
      <c r="R8" s="346">
        <f>+'1. Sülysáp összesen'!R8</f>
        <v>0</v>
      </c>
      <c r="S8" s="464"/>
      <c r="T8" s="489"/>
      <c r="U8"/>
    </row>
    <row r="9" spans="1:27" ht="20.100000000000001" customHeight="1" x14ac:dyDescent="0.25">
      <c r="A9" s="347"/>
      <c r="B9" s="348" t="s">
        <v>372</v>
      </c>
      <c r="C9" s="490">
        <f>+C23</f>
        <v>1369849619</v>
      </c>
      <c r="D9" s="349">
        <f t="shared" ref="D9:J9" si="0">+D23</f>
        <v>1434961892</v>
      </c>
      <c r="E9" s="349">
        <f t="shared" si="0"/>
        <v>1467238387</v>
      </c>
      <c r="F9" s="518">
        <f t="shared" si="0"/>
        <v>0</v>
      </c>
      <c r="G9" s="349"/>
      <c r="H9" s="490">
        <f t="shared" si="0"/>
        <v>652525541</v>
      </c>
      <c r="I9" s="349">
        <f t="shared" si="0"/>
        <v>1015294567</v>
      </c>
      <c r="J9" s="349">
        <f t="shared" si="0"/>
        <v>0</v>
      </c>
      <c r="K9" s="350"/>
      <c r="L9" s="351">
        <f>H9/C9</f>
        <v>0.47634830272562934</v>
      </c>
      <c r="M9" s="352">
        <f>I9/D9</f>
        <v>0.70754113587289602</v>
      </c>
      <c r="N9" s="491">
        <f>+J9/E9</f>
        <v>0</v>
      </c>
      <c r="O9" s="350"/>
      <c r="P9" s="490">
        <f>IF(D9&gt;0,+D9-C9,0)</f>
        <v>65112273</v>
      </c>
      <c r="Q9" s="349">
        <f>IF(E9&gt;0,+E9-D9,0)</f>
        <v>32276495</v>
      </c>
      <c r="R9" s="349">
        <f>IF(F9&gt;0,+F9-E9,0)</f>
        <v>0</v>
      </c>
      <c r="S9" s="349">
        <f>SUM(P9:R9)</f>
        <v>97388768</v>
      </c>
      <c r="T9" s="491">
        <f>+S9/C9</f>
        <v>7.1094495811222333E-2</v>
      </c>
      <c r="U9" s="248"/>
      <c r="V9" s="232">
        <f>+S9-E9+C9</f>
        <v>0</v>
      </c>
    </row>
    <row r="10" spans="1:27" ht="13.8" x14ac:dyDescent="0.25">
      <c r="A10" s="353"/>
      <c r="B10" s="354"/>
      <c r="C10" s="492"/>
      <c r="D10" s="342"/>
      <c r="E10" s="342"/>
      <c r="F10" s="519"/>
      <c r="G10" s="342"/>
      <c r="H10" s="492"/>
      <c r="I10" s="342"/>
      <c r="J10" s="342"/>
      <c r="K10" s="342"/>
      <c r="L10" s="355"/>
      <c r="M10" s="356"/>
      <c r="N10" s="493"/>
      <c r="O10" s="342"/>
      <c r="P10" s="492"/>
      <c r="Q10" s="342"/>
      <c r="R10" s="342"/>
      <c r="S10" s="342"/>
      <c r="T10" s="493"/>
      <c r="U10" s="240"/>
      <c r="V10" s="241"/>
    </row>
    <row r="11" spans="1:27" s="1" customFormat="1" ht="64.5" customHeight="1" x14ac:dyDescent="0.25">
      <c r="A11" s="357" t="s">
        <v>367</v>
      </c>
      <c r="B11" s="35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</row>
    <row r="12" spans="1:27" x14ac:dyDescent="0.25">
      <c r="A12" s="361"/>
      <c r="B12" s="47"/>
      <c r="C12" s="522"/>
      <c r="D12" s="362"/>
      <c r="E12" s="362"/>
      <c r="F12" s="523"/>
      <c r="G12" s="362"/>
      <c r="H12" s="496"/>
      <c r="I12" s="341"/>
      <c r="J12" s="341"/>
      <c r="K12" s="362"/>
      <c r="L12" s="355"/>
      <c r="M12" s="363"/>
      <c r="N12" s="509"/>
      <c r="O12" s="362"/>
      <c r="P12" s="496"/>
      <c r="Q12" s="341"/>
      <c r="R12" s="341"/>
      <c r="S12" s="341"/>
      <c r="T12" s="497"/>
      <c r="U12" s="366"/>
      <c r="V12" s="195"/>
    </row>
    <row r="13" spans="1:27" x14ac:dyDescent="0.25">
      <c r="A13" s="34" t="s">
        <v>0</v>
      </c>
      <c r="B13" s="514" t="s">
        <v>3</v>
      </c>
      <c r="C13" s="160">
        <f>+C37</f>
        <v>590239000</v>
      </c>
      <c r="D13" s="160">
        <f t="shared" ref="D13:E13" si="1">+D37</f>
        <v>604139000</v>
      </c>
      <c r="E13" s="160">
        <f t="shared" si="1"/>
        <v>604337000</v>
      </c>
      <c r="F13" s="160">
        <f t="shared" ref="F13:J13" si="2">+F37</f>
        <v>0</v>
      </c>
      <c r="G13" s="506"/>
      <c r="H13" s="160">
        <f t="shared" si="2"/>
        <v>284624783</v>
      </c>
      <c r="I13" s="160">
        <f t="shared" si="2"/>
        <v>436310302</v>
      </c>
      <c r="J13" s="160">
        <f t="shared" si="2"/>
        <v>0</v>
      </c>
      <c r="K13" s="160"/>
      <c r="L13" s="35">
        <f t="shared" ref="L13:N19" si="3">H13/D13</f>
        <v>0.47112466336389475</v>
      </c>
      <c r="M13" s="35">
        <f t="shared" si="3"/>
        <v>0.72196523131961143</v>
      </c>
      <c r="N13" s="35" t="e">
        <f t="shared" si="3"/>
        <v>#DIV/0!</v>
      </c>
      <c r="O13" s="506"/>
      <c r="P13" s="175">
        <f t="shared" ref="P13:R21" si="4">+(D13-C13)*P$8</f>
        <v>13900000</v>
      </c>
      <c r="Q13" s="175">
        <f t="shared" si="4"/>
        <v>198000</v>
      </c>
      <c r="R13" s="175">
        <f t="shared" si="4"/>
        <v>0</v>
      </c>
      <c r="S13" s="175">
        <f t="shared" ref="S13:S21" si="5">SUM(P13:R13)</f>
        <v>14098000</v>
      </c>
      <c r="T13" s="176">
        <f t="shared" ref="T13:T24" si="6">IF(C13=0,0,+S13/C13)</f>
        <v>2.3885239707982699E-2</v>
      </c>
      <c r="U13" s="485"/>
      <c r="V13" s="241">
        <f t="shared" ref="V13:V24" si="7">+S13-E13+C13</f>
        <v>0</v>
      </c>
    </row>
    <row r="14" spans="1:27" ht="15" customHeight="1" x14ac:dyDescent="0.25">
      <c r="A14" s="34" t="s">
        <v>26</v>
      </c>
      <c r="B14" s="514" t="s">
        <v>445</v>
      </c>
      <c r="C14" s="160">
        <f>+C49</f>
        <v>76600000</v>
      </c>
      <c r="D14" s="160">
        <f t="shared" ref="D14:E14" si="8">+D49</f>
        <v>78315308</v>
      </c>
      <c r="E14" s="160">
        <f t="shared" si="8"/>
        <v>78315308</v>
      </c>
      <c r="F14" s="160">
        <f t="shared" ref="F14:J14" si="9">+F49</f>
        <v>0</v>
      </c>
      <c r="G14" s="506"/>
      <c r="H14" s="160">
        <f t="shared" si="9"/>
        <v>40732165</v>
      </c>
      <c r="I14" s="160">
        <f t="shared" si="9"/>
        <v>60206257</v>
      </c>
      <c r="J14" s="160">
        <f t="shared" si="9"/>
        <v>0</v>
      </c>
      <c r="K14" s="160"/>
      <c r="L14" s="35">
        <f t="shared" si="3"/>
        <v>0.52010476674624073</v>
      </c>
      <c r="M14" s="35">
        <f t="shared" si="3"/>
        <v>0.76876741645451996</v>
      </c>
      <c r="N14" s="35" t="e">
        <f t="shared" si="3"/>
        <v>#DIV/0!</v>
      </c>
      <c r="O14" s="506"/>
      <c r="P14" s="175">
        <f t="shared" si="4"/>
        <v>1715308</v>
      </c>
      <c r="Q14" s="175">
        <f t="shared" si="4"/>
        <v>0</v>
      </c>
      <c r="R14" s="175">
        <f t="shared" si="4"/>
        <v>0</v>
      </c>
      <c r="S14" s="175">
        <f t="shared" si="5"/>
        <v>1715308</v>
      </c>
      <c r="T14" s="176">
        <f t="shared" si="6"/>
        <v>2.2393054830287206E-2</v>
      </c>
      <c r="U14" s="485"/>
      <c r="V14" s="241">
        <f t="shared" si="7"/>
        <v>0</v>
      </c>
    </row>
    <row r="15" spans="1:27" x14ac:dyDescent="0.25">
      <c r="A15" s="34" t="s">
        <v>29</v>
      </c>
      <c r="B15" s="514" t="s">
        <v>30</v>
      </c>
      <c r="C15" s="160">
        <f>+C61</f>
        <v>357274000</v>
      </c>
      <c r="D15" s="373">
        <f t="shared" ref="D15:E15" si="10">+D61</f>
        <v>346106825</v>
      </c>
      <c r="E15" s="160">
        <f t="shared" si="10"/>
        <v>362368286</v>
      </c>
      <c r="F15" s="160">
        <f t="shared" ref="F15:J15" si="11">+F61</f>
        <v>0</v>
      </c>
      <c r="G15" s="506"/>
      <c r="H15" s="373">
        <f t="shared" si="11"/>
        <v>160841788</v>
      </c>
      <c r="I15" s="373">
        <f t="shared" si="11"/>
        <v>234965696</v>
      </c>
      <c r="J15" s="160">
        <f t="shared" si="11"/>
        <v>0</v>
      </c>
      <c r="K15" s="160"/>
      <c r="L15" s="35">
        <f t="shared" si="3"/>
        <v>0.46471718088772157</v>
      </c>
      <c r="M15" s="35">
        <f t="shared" si="3"/>
        <v>0.64841683192993327</v>
      </c>
      <c r="N15" s="35" t="e">
        <f t="shared" si="3"/>
        <v>#DIV/0!</v>
      </c>
      <c r="O15" s="506"/>
      <c r="P15" s="175">
        <f t="shared" si="4"/>
        <v>-11167175</v>
      </c>
      <c r="Q15" s="175">
        <f t="shared" si="4"/>
        <v>16261461</v>
      </c>
      <c r="R15" s="175">
        <f t="shared" si="4"/>
        <v>0</v>
      </c>
      <c r="S15" s="175">
        <f t="shared" si="5"/>
        <v>5094286</v>
      </c>
      <c r="T15" s="176">
        <f t="shared" si="6"/>
        <v>1.4258764981498794E-2</v>
      </c>
      <c r="U15" s="485"/>
      <c r="V15" s="241">
        <f t="shared" si="7"/>
        <v>0</v>
      </c>
    </row>
    <row r="16" spans="1:27" x14ac:dyDescent="0.25">
      <c r="A16" s="34" t="s">
        <v>111</v>
      </c>
      <c r="B16" s="514" t="s">
        <v>112</v>
      </c>
      <c r="C16" s="160">
        <f>+C73</f>
        <v>16000000</v>
      </c>
      <c r="D16" s="160">
        <f t="shared" ref="D16:E16" si="12">+D73</f>
        <v>16000000</v>
      </c>
      <c r="E16" s="160">
        <f t="shared" si="12"/>
        <v>16000000</v>
      </c>
      <c r="F16" s="160">
        <f t="shared" ref="F16:J16" si="13">+F73</f>
        <v>0</v>
      </c>
      <c r="G16" s="506"/>
      <c r="H16" s="160">
        <f t="shared" si="13"/>
        <v>4998433</v>
      </c>
      <c r="I16" s="160">
        <f t="shared" si="13"/>
        <v>8147040</v>
      </c>
      <c r="J16" s="160">
        <f t="shared" si="13"/>
        <v>0</v>
      </c>
      <c r="K16" s="160"/>
      <c r="L16" s="35">
        <f t="shared" si="3"/>
        <v>0.31240206250000002</v>
      </c>
      <c r="M16" s="35">
        <f t="shared" si="3"/>
        <v>0.50919000000000003</v>
      </c>
      <c r="N16" s="35" t="e">
        <f t="shared" si="3"/>
        <v>#DIV/0!</v>
      </c>
      <c r="O16" s="506"/>
      <c r="P16" s="175">
        <f t="shared" si="4"/>
        <v>0</v>
      </c>
      <c r="Q16" s="175">
        <f t="shared" si="4"/>
        <v>0</v>
      </c>
      <c r="R16" s="175">
        <f t="shared" si="4"/>
        <v>0</v>
      </c>
      <c r="S16" s="175">
        <f t="shared" si="5"/>
        <v>0</v>
      </c>
      <c r="T16" s="176">
        <f t="shared" si="6"/>
        <v>0</v>
      </c>
      <c r="U16" s="485"/>
      <c r="V16" s="241">
        <f t="shared" si="7"/>
        <v>0</v>
      </c>
    </row>
    <row r="17" spans="1:22" x14ac:dyDescent="0.25">
      <c r="A17" s="34" t="s">
        <v>370</v>
      </c>
      <c r="B17" s="514" t="s">
        <v>141</v>
      </c>
      <c r="C17" s="160">
        <f>+C85</f>
        <v>151426315</v>
      </c>
      <c r="D17" s="160">
        <f t="shared" ref="D17:E17" si="14">+D85</f>
        <v>221879015</v>
      </c>
      <c r="E17" s="160">
        <f t="shared" si="14"/>
        <v>225231315</v>
      </c>
      <c r="F17" s="160">
        <f t="shared" ref="F17:J17" si="15">+F85</f>
        <v>0</v>
      </c>
      <c r="G17" s="506"/>
      <c r="H17" s="160">
        <f t="shared" si="15"/>
        <v>91594087</v>
      </c>
      <c r="I17" s="160">
        <f t="shared" si="15"/>
        <v>153439419</v>
      </c>
      <c r="J17" s="160">
        <f t="shared" si="15"/>
        <v>0</v>
      </c>
      <c r="K17" s="160"/>
      <c r="L17" s="35">
        <f t="shared" si="3"/>
        <v>0.41281095014776409</v>
      </c>
      <c r="M17" s="35">
        <f t="shared" si="3"/>
        <v>0.68125260024344303</v>
      </c>
      <c r="N17" s="35" t="e">
        <f t="shared" si="3"/>
        <v>#DIV/0!</v>
      </c>
      <c r="O17" s="506"/>
      <c r="P17" s="175">
        <f t="shared" si="4"/>
        <v>70452700</v>
      </c>
      <c r="Q17" s="175">
        <f t="shared" si="4"/>
        <v>3352300</v>
      </c>
      <c r="R17" s="175">
        <f t="shared" si="4"/>
        <v>0</v>
      </c>
      <c r="S17" s="175">
        <f t="shared" si="5"/>
        <v>73805000</v>
      </c>
      <c r="T17" s="176">
        <f t="shared" si="6"/>
        <v>0.48739877213547722</v>
      </c>
      <c r="U17" s="485"/>
      <c r="V17" s="241">
        <f t="shared" si="7"/>
        <v>0</v>
      </c>
    </row>
    <row r="18" spans="1:22" x14ac:dyDescent="0.25">
      <c r="A18" s="34" t="s">
        <v>158</v>
      </c>
      <c r="B18" s="514" t="s">
        <v>159</v>
      </c>
      <c r="C18" s="160">
        <f>+C97</f>
        <v>70280500</v>
      </c>
      <c r="D18" s="160">
        <f t="shared" ref="D18:E18" si="16">+D97</f>
        <v>59793445</v>
      </c>
      <c r="E18" s="160">
        <f t="shared" si="16"/>
        <v>72112179</v>
      </c>
      <c r="F18" s="160">
        <f t="shared" ref="F18:J18" si="17">+F97</f>
        <v>0</v>
      </c>
      <c r="G18" s="506"/>
      <c r="H18" s="160">
        <f t="shared" si="17"/>
        <v>11687839</v>
      </c>
      <c r="I18" s="160">
        <f t="shared" si="17"/>
        <v>61419713</v>
      </c>
      <c r="J18" s="160">
        <f t="shared" si="17"/>
        <v>0</v>
      </c>
      <c r="K18" s="160"/>
      <c r="L18" s="35">
        <f t="shared" si="3"/>
        <v>0.19547023925448684</v>
      </c>
      <c r="M18" s="35">
        <f t="shared" si="3"/>
        <v>0.8517245471115219</v>
      </c>
      <c r="N18" s="35" t="e">
        <f t="shared" si="3"/>
        <v>#DIV/0!</v>
      </c>
      <c r="O18" s="506"/>
      <c r="P18" s="175">
        <f t="shared" si="4"/>
        <v>-10487055</v>
      </c>
      <c r="Q18" s="175">
        <f t="shared" si="4"/>
        <v>12318734</v>
      </c>
      <c r="R18" s="175">
        <f t="shared" si="4"/>
        <v>0</v>
      </c>
      <c r="S18" s="175">
        <f t="shared" si="5"/>
        <v>1831679</v>
      </c>
      <c r="T18" s="176">
        <f t="shared" si="6"/>
        <v>2.6062407068817097E-2</v>
      </c>
      <c r="U18" s="485"/>
      <c r="V18" s="241">
        <f t="shared" si="7"/>
        <v>0</v>
      </c>
    </row>
    <row r="19" spans="1:22" x14ac:dyDescent="0.25">
      <c r="A19" s="34" t="s">
        <v>173</v>
      </c>
      <c r="B19" s="514" t="s">
        <v>174</v>
      </c>
      <c r="C19" s="160">
        <f>+C109</f>
        <v>83452445</v>
      </c>
      <c r="D19" s="160">
        <f t="shared" ref="D19:E19" si="18">+D109</f>
        <v>83452445</v>
      </c>
      <c r="E19" s="160">
        <f t="shared" si="18"/>
        <v>83452445</v>
      </c>
      <c r="F19" s="160">
        <f t="shared" ref="F19:J19" si="19">+F109</f>
        <v>0</v>
      </c>
      <c r="G19" s="506"/>
      <c r="H19" s="160">
        <f t="shared" si="19"/>
        <v>32771553</v>
      </c>
      <c r="I19" s="160">
        <f t="shared" si="19"/>
        <v>35385584</v>
      </c>
      <c r="J19" s="160">
        <f t="shared" si="19"/>
        <v>0</v>
      </c>
      <c r="K19" s="160"/>
      <c r="L19" s="35">
        <f t="shared" si="3"/>
        <v>0.39269733798692175</v>
      </c>
      <c r="M19" s="35">
        <f t="shared" si="3"/>
        <v>0.42402093791260398</v>
      </c>
      <c r="N19" s="35" t="e">
        <f t="shared" si="3"/>
        <v>#DIV/0!</v>
      </c>
      <c r="O19" s="506"/>
      <c r="P19" s="175">
        <f t="shared" si="4"/>
        <v>0</v>
      </c>
      <c r="Q19" s="175">
        <f t="shared" si="4"/>
        <v>0</v>
      </c>
      <c r="R19" s="175">
        <f t="shared" si="4"/>
        <v>0</v>
      </c>
      <c r="S19" s="175">
        <f t="shared" si="5"/>
        <v>0</v>
      </c>
      <c r="T19" s="176">
        <f t="shared" si="6"/>
        <v>0</v>
      </c>
      <c r="U19" s="485"/>
      <c r="V19" s="241">
        <f t="shared" si="7"/>
        <v>0</v>
      </c>
    </row>
    <row r="20" spans="1:22" x14ac:dyDescent="0.25">
      <c r="A20" s="34" t="s">
        <v>183</v>
      </c>
      <c r="B20" s="514" t="s">
        <v>184</v>
      </c>
      <c r="C20" s="160">
        <f>+C121</f>
        <v>0</v>
      </c>
      <c r="D20" s="160">
        <f t="shared" ref="D20:E20" si="20">+D121</f>
        <v>44000</v>
      </c>
      <c r="E20" s="160">
        <f t="shared" si="20"/>
        <v>190000</v>
      </c>
      <c r="F20" s="160">
        <f t="shared" ref="F20:J20" si="21">+F121</f>
        <v>0</v>
      </c>
      <c r="G20" s="506"/>
      <c r="H20" s="160">
        <f t="shared" si="21"/>
        <v>43039</v>
      </c>
      <c r="I20" s="160">
        <f t="shared" si="21"/>
        <v>188702</v>
      </c>
      <c r="J20" s="160">
        <f t="shared" si="21"/>
        <v>0</v>
      </c>
      <c r="K20" s="160"/>
      <c r="L20" s="35">
        <v>0</v>
      </c>
      <c r="M20" s="35">
        <v>0</v>
      </c>
      <c r="N20" s="35">
        <v>0</v>
      </c>
      <c r="O20" s="506"/>
      <c r="P20" s="175">
        <f t="shared" si="4"/>
        <v>44000</v>
      </c>
      <c r="Q20" s="175">
        <f t="shared" si="4"/>
        <v>146000</v>
      </c>
      <c r="R20" s="175">
        <f t="shared" si="4"/>
        <v>0</v>
      </c>
      <c r="S20" s="175">
        <f t="shared" si="5"/>
        <v>190000</v>
      </c>
      <c r="T20" s="176">
        <f t="shared" si="6"/>
        <v>0</v>
      </c>
      <c r="U20" s="485"/>
      <c r="V20" s="241">
        <f t="shared" si="7"/>
        <v>0</v>
      </c>
    </row>
    <row r="21" spans="1:22" x14ac:dyDescent="0.25">
      <c r="A21" s="34" t="s">
        <v>200</v>
      </c>
      <c r="B21" s="514" t="s">
        <v>201</v>
      </c>
      <c r="C21" s="160">
        <f>+C133</f>
        <v>675998039</v>
      </c>
      <c r="D21" s="160">
        <f t="shared" ref="D21:E21" si="22">+D133</f>
        <v>676652534</v>
      </c>
      <c r="E21" s="160">
        <f t="shared" si="22"/>
        <v>682652534</v>
      </c>
      <c r="F21" s="160">
        <f t="shared" ref="F21:J21" si="23">+F133</f>
        <v>0</v>
      </c>
      <c r="G21" s="506"/>
      <c r="H21" s="160">
        <f t="shared" si="23"/>
        <v>347736936</v>
      </c>
      <c r="I21" s="160">
        <f t="shared" si="23"/>
        <v>515503086</v>
      </c>
      <c r="J21" s="160">
        <f t="shared" si="23"/>
        <v>0</v>
      </c>
      <c r="K21" s="160"/>
      <c r="L21" s="35">
        <f>+H21/D21</f>
        <v>0.51390768308273271</v>
      </c>
      <c r="M21" s="35">
        <f>+I21/E21</f>
        <v>0.75514710680030961</v>
      </c>
      <c r="N21" s="35" t="e">
        <f>+J21/F21</f>
        <v>#DIV/0!</v>
      </c>
      <c r="O21" s="506"/>
      <c r="P21" s="175">
        <f t="shared" si="4"/>
        <v>654495</v>
      </c>
      <c r="Q21" s="175">
        <f t="shared" si="4"/>
        <v>6000000</v>
      </c>
      <c r="R21" s="175">
        <f t="shared" si="4"/>
        <v>0</v>
      </c>
      <c r="S21" s="175">
        <f t="shared" si="5"/>
        <v>6654495</v>
      </c>
      <c r="T21" s="176">
        <f t="shared" si="6"/>
        <v>9.8439560710027445E-3</v>
      </c>
      <c r="U21" s="485"/>
      <c r="V21" s="241">
        <f t="shared" si="7"/>
        <v>0</v>
      </c>
    </row>
    <row r="22" spans="1:22" x14ac:dyDescent="0.25">
      <c r="A22" s="34"/>
      <c r="B22" s="514" t="s">
        <v>438</v>
      </c>
      <c r="C22" s="160">
        <f>-C145</f>
        <v>-651420680</v>
      </c>
      <c r="D22" s="160">
        <f t="shared" ref="D22:J22" si="24">-D145</f>
        <v>-651420680</v>
      </c>
      <c r="E22" s="160">
        <f t="shared" si="24"/>
        <v>-657420680</v>
      </c>
      <c r="F22" s="160">
        <f t="shared" si="24"/>
        <v>0</v>
      </c>
      <c r="G22" s="506"/>
      <c r="H22" s="160">
        <f t="shared" si="24"/>
        <v>-322505082</v>
      </c>
      <c r="I22" s="160">
        <f t="shared" si="24"/>
        <v>-490271232</v>
      </c>
      <c r="J22" s="160">
        <f t="shared" si="24"/>
        <v>0</v>
      </c>
      <c r="K22" s="160"/>
      <c r="L22" s="35"/>
      <c r="M22" s="35"/>
      <c r="N22" s="35"/>
      <c r="O22" s="506"/>
      <c r="P22" s="160">
        <f t="shared" ref="P22:S22" si="25">-P145</f>
        <v>0</v>
      </c>
      <c r="Q22" s="160">
        <f t="shared" si="25"/>
        <v>-6000000</v>
      </c>
      <c r="R22" s="160">
        <f t="shared" si="25"/>
        <v>0</v>
      </c>
      <c r="S22" s="160">
        <f t="shared" si="25"/>
        <v>-6000000</v>
      </c>
      <c r="T22" s="176">
        <f t="shared" si="6"/>
        <v>9.2106378937800992E-3</v>
      </c>
      <c r="U22" s="485"/>
      <c r="V22" s="241">
        <f t="shared" si="7"/>
        <v>0</v>
      </c>
    </row>
    <row r="23" spans="1:22" x14ac:dyDescent="0.25">
      <c r="A23" s="12"/>
      <c r="B23" s="515" t="s">
        <v>372</v>
      </c>
      <c r="C23" s="164">
        <f>SUM(C13:C22)</f>
        <v>1369849619</v>
      </c>
      <c r="D23" s="164">
        <f t="shared" ref="D23:F23" si="26">SUM(D13:D22)</f>
        <v>1434961892</v>
      </c>
      <c r="E23" s="164">
        <f t="shared" si="26"/>
        <v>1467238387</v>
      </c>
      <c r="F23" s="164">
        <f t="shared" si="26"/>
        <v>0</v>
      </c>
      <c r="G23" s="507"/>
      <c r="H23" s="164">
        <f t="shared" ref="H23" si="27">SUM(H13:H22)</f>
        <v>652525541</v>
      </c>
      <c r="I23" s="164">
        <f t="shared" ref="I23" si="28">SUM(I13:I22)</f>
        <v>1015294567</v>
      </c>
      <c r="J23" s="164">
        <f t="shared" ref="J23" si="29">SUM(J13:J22)</f>
        <v>0</v>
      </c>
      <c r="K23" s="164"/>
      <c r="L23" s="33">
        <f>H23/D23</f>
        <v>0.45473370731158064</v>
      </c>
      <c r="M23" s="33">
        <f>I23/E23</f>
        <v>0.69197655677202508</v>
      </c>
      <c r="N23" s="33" t="e">
        <f>J23/F23</f>
        <v>#DIV/0!</v>
      </c>
      <c r="O23" s="507"/>
      <c r="P23" s="164">
        <f>SUM(P13:P22)</f>
        <v>65112273</v>
      </c>
      <c r="Q23" s="164">
        <f>SUM(Q13:Q22)</f>
        <v>32276495</v>
      </c>
      <c r="R23" s="164">
        <f t="shared" ref="R23:S23" si="30">SUM(R13:R22)</f>
        <v>0</v>
      </c>
      <c r="S23" s="164">
        <f t="shared" si="30"/>
        <v>97388768</v>
      </c>
      <c r="T23" s="176">
        <f t="shared" si="6"/>
        <v>7.1094495811222333E-2</v>
      </c>
      <c r="U23" s="486"/>
      <c r="V23" s="241">
        <f t="shared" si="7"/>
        <v>0</v>
      </c>
    </row>
    <row r="24" spans="1:22" x14ac:dyDescent="0.25">
      <c r="A24" s="34"/>
      <c r="B24" s="516" t="s">
        <v>406</v>
      </c>
      <c r="C24" s="178"/>
      <c r="D24" s="178"/>
      <c r="E24" s="178"/>
      <c r="F24" s="178"/>
      <c r="G24" s="508"/>
      <c r="H24" s="178"/>
      <c r="I24" s="178"/>
      <c r="J24" s="178"/>
      <c r="K24" s="178"/>
      <c r="L24" s="367"/>
      <c r="M24" s="367"/>
      <c r="N24" s="367"/>
      <c r="O24" s="508"/>
      <c r="P24" s="178"/>
      <c r="Q24" s="178"/>
      <c r="R24" s="178"/>
      <c r="S24" s="178"/>
      <c r="T24" s="176">
        <f t="shared" si="6"/>
        <v>0</v>
      </c>
      <c r="U24" s="487"/>
      <c r="V24" s="241">
        <f t="shared" si="7"/>
        <v>0</v>
      </c>
    </row>
    <row r="25" spans="1:22" x14ac:dyDescent="0.25">
      <c r="C25" s="498"/>
      <c r="D25" s="74"/>
      <c r="E25" s="74"/>
      <c r="F25" s="524"/>
      <c r="G25" s="74"/>
      <c r="H25" s="498"/>
      <c r="K25" s="74"/>
      <c r="L25" s="87"/>
      <c r="M25" s="87"/>
      <c r="N25" s="499"/>
      <c r="O25" s="74"/>
      <c r="P25" s="498"/>
      <c r="Q25" s="73"/>
      <c r="R25" s="73"/>
      <c r="S25" s="73"/>
      <c r="T25" s="499"/>
      <c r="U25" s="74"/>
    </row>
    <row r="26" spans="1:22" x14ac:dyDescent="0.25">
      <c r="C26" s="498"/>
      <c r="D26" s="74"/>
      <c r="E26" s="74"/>
      <c r="F26" s="524"/>
      <c r="G26" s="74"/>
      <c r="H26" s="498"/>
      <c r="K26" s="74"/>
      <c r="L26" s="87"/>
      <c r="M26" s="87"/>
      <c r="N26" s="499"/>
      <c r="O26" s="74"/>
      <c r="P26" s="498"/>
      <c r="Q26" s="73"/>
      <c r="R26" s="73"/>
      <c r="S26" s="73"/>
      <c r="T26" s="499"/>
      <c r="U26" s="74"/>
    </row>
    <row r="27" spans="1:22" x14ac:dyDescent="0.25">
      <c r="C27" s="498"/>
      <c r="D27" s="74"/>
      <c r="E27" s="74"/>
      <c r="F27" s="524"/>
      <c r="G27" s="74"/>
      <c r="H27" s="498"/>
      <c r="K27" s="74"/>
      <c r="L27" s="87"/>
      <c r="M27" s="87"/>
      <c r="N27" s="499"/>
      <c r="O27" s="74"/>
      <c r="P27" s="498"/>
      <c r="Q27" s="73"/>
      <c r="R27" s="73"/>
      <c r="S27" s="73"/>
      <c r="T27" s="499"/>
      <c r="U27" s="74"/>
    </row>
    <row r="28" spans="1:22" x14ac:dyDescent="0.25">
      <c r="A28" s="320" t="s">
        <v>0</v>
      </c>
      <c r="B28" s="320" t="str">
        <f>+'3. Önk. Kiadások'!B13</f>
        <v>Személyi juttatások</v>
      </c>
      <c r="C28" s="498"/>
      <c r="D28" s="74"/>
      <c r="E28" s="74"/>
      <c r="F28" s="524"/>
      <c r="G28" s="74"/>
      <c r="H28" s="498"/>
      <c r="K28" s="74"/>
      <c r="L28" s="87"/>
      <c r="M28" s="87"/>
      <c r="N28" s="499"/>
      <c r="O28" s="74"/>
      <c r="P28" s="498"/>
      <c r="Q28" s="73"/>
      <c r="R28" s="73"/>
      <c r="S28" s="73"/>
      <c r="T28" s="499"/>
      <c r="U28" s="74"/>
    </row>
    <row r="29" spans="1:22" x14ac:dyDescent="0.25">
      <c r="B29" s="22" t="str">
        <f>+'3. Önk. Kiadások'!A1</f>
        <v>Sülysáp Város Önkormányzata</v>
      </c>
      <c r="C29" s="498">
        <f>+'3. Önk. Kiadások'!C13</f>
        <v>100510000</v>
      </c>
      <c r="D29" s="73">
        <f>+'3. Önk. Kiadások'!D13</f>
        <v>112270000</v>
      </c>
      <c r="E29" s="73">
        <f>+'3. Önk. Kiadások'!E13</f>
        <v>112270000</v>
      </c>
      <c r="F29" s="459">
        <f>+'3. Önk. Kiadások'!F13</f>
        <v>0</v>
      </c>
      <c r="G29" s="73">
        <f>+'3. Önk. Kiadások'!G13</f>
        <v>0</v>
      </c>
      <c r="H29" s="498">
        <f>+'3. Önk. Kiadások'!H13</f>
        <v>46032044</v>
      </c>
      <c r="I29" s="73">
        <f>+'3. Önk. Kiadások'!I13</f>
        <v>77087587</v>
      </c>
      <c r="J29" s="73">
        <f>+'3. Önk. Kiadások'!J13</f>
        <v>0</v>
      </c>
      <c r="K29" s="73"/>
      <c r="L29" s="73"/>
      <c r="M29" s="73"/>
      <c r="N29" s="459"/>
      <c r="O29" s="73"/>
      <c r="P29" s="498">
        <f>+'3. Önk. Kiadások'!P13</f>
        <v>11760000</v>
      </c>
      <c r="Q29" s="73">
        <f>+'3. Önk. Kiadások'!Q13</f>
        <v>0</v>
      </c>
      <c r="R29" s="73">
        <f>+'3. Önk. Kiadások'!R13</f>
        <v>0</v>
      </c>
      <c r="S29" s="73">
        <f>+'3. Önk. Kiadások'!S13</f>
        <v>11760000</v>
      </c>
      <c r="T29" s="499"/>
      <c r="U29" s="74"/>
    </row>
    <row r="30" spans="1:22" x14ac:dyDescent="0.25">
      <c r="B30" s="56" t="s">
        <v>446</v>
      </c>
      <c r="C30" s="498">
        <f>+'8. Dr Gáspár HSZK'!C13</f>
        <v>29825000</v>
      </c>
      <c r="D30" s="73">
        <f>+'8. Dr Gáspár HSZK'!D13</f>
        <v>29825000</v>
      </c>
      <c r="E30" s="73">
        <f>+'8. Dr Gáspár HSZK'!E13</f>
        <v>29825000</v>
      </c>
      <c r="F30" s="459">
        <f>+'8. Dr Gáspár HSZK'!F13</f>
        <v>0</v>
      </c>
      <c r="G30" s="73"/>
      <c r="H30" s="498">
        <f>+'8. Dr Gáspár HSZK'!H13</f>
        <v>14014974</v>
      </c>
      <c r="I30" s="73">
        <f>+'8. Dr Gáspár HSZK'!I13</f>
        <v>22459864</v>
      </c>
      <c r="J30" s="73">
        <f>+'8. Dr Gáspár HSZK'!J13</f>
        <v>0</v>
      </c>
      <c r="K30" s="73"/>
      <c r="L30" s="73"/>
      <c r="M30" s="73"/>
      <c r="N30" s="459"/>
      <c r="O30" s="73"/>
      <c r="P30" s="498">
        <f>+'8. Dr Gáspár HSZK'!P13</f>
        <v>0</v>
      </c>
      <c r="Q30" s="73">
        <f>+'8. Dr Gáspár HSZK'!Q13</f>
        <v>0</v>
      </c>
      <c r="R30" s="73">
        <f>+'8. Dr Gáspár HSZK'!R13</f>
        <v>0</v>
      </c>
      <c r="S30" s="73">
        <f>+'8. Dr Gáspár HSZK'!S13</f>
        <v>0</v>
      </c>
      <c r="T30" s="499"/>
      <c r="U30" s="74"/>
    </row>
    <row r="31" spans="1:22" x14ac:dyDescent="0.25">
      <c r="B31" s="56" t="s">
        <v>452</v>
      </c>
      <c r="C31" s="498">
        <f>+'6. Csicsergő'!C13</f>
        <v>193790000</v>
      </c>
      <c r="D31" s="73">
        <f>+'6. Csicsergő'!D13</f>
        <v>193790000</v>
      </c>
      <c r="E31" s="73">
        <f>+'6. Csicsergő'!E13</f>
        <v>193790000</v>
      </c>
      <c r="F31" s="459">
        <f>+'6. Csicsergő'!F13</f>
        <v>0</v>
      </c>
      <c r="G31" s="73"/>
      <c r="H31" s="498">
        <f>+'6. Csicsergő'!H13</f>
        <v>90223993</v>
      </c>
      <c r="I31" s="73">
        <f>+'6. Csicsergő'!I13</f>
        <v>137245051</v>
      </c>
      <c r="J31" s="73">
        <f>+'6. Csicsergő'!J13</f>
        <v>0</v>
      </c>
      <c r="K31" s="73"/>
      <c r="L31" s="73"/>
      <c r="M31" s="73"/>
      <c r="N31" s="459"/>
      <c r="O31" s="73"/>
      <c r="P31" s="498">
        <f>+'6. Csicsergő'!P13</f>
        <v>0</v>
      </c>
      <c r="Q31" s="73">
        <f>+'6. Csicsergő'!Q13</f>
        <v>0</v>
      </c>
      <c r="R31" s="73">
        <f>+'6. Csicsergő'!R13</f>
        <v>0</v>
      </c>
      <c r="S31" s="73">
        <f>+'6. Csicsergő'!S13</f>
        <v>0</v>
      </c>
      <c r="T31" s="499"/>
      <c r="U31" s="74"/>
    </row>
    <row r="32" spans="1:22" x14ac:dyDescent="0.25">
      <c r="B32" s="56" t="s">
        <v>453</v>
      </c>
      <c r="C32" s="498">
        <f>+'5. Gólyahír'!C13</f>
        <v>70787000</v>
      </c>
      <c r="D32" s="73">
        <f>+'5. Gólyahír'!D13</f>
        <v>70787000</v>
      </c>
      <c r="E32" s="73">
        <f>+'5. Gólyahír'!E13</f>
        <v>70787000</v>
      </c>
      <c r="F32" s="459">
        <f>+'5. Gólyahír'!F13</f>
        <v>0</v>
      </c>
      <c r="G32" s="73"/>
      <c r="H32" s="498">
        <f>+'5. Gólyahír'!H13</f>
        <v>33440240</v>
      </c>
      <c r="I32" s="73">
        <f>+'5. Gólyahír'!I13</f>
        <v>52226930</v>
      </c>
      <c r="J32" s="73">
        <f>+'5. Gólyahír'!J13</f>
        <v>0</v>
      </c>
      <c r="K32" s="73"/>
      <c r="L32" s="73"/>
      <c r="M32" s="73"/>
      <c r="N32" s="459"/>
      <c r="O32" s="73"/>
      <c r="P32" s="498">
        <f>+'5. Gólyahír'!P13</f>
        <v>0</v>
      </c>
      <c r="Q32" s="73">
        <f>+'5. Gólyahír'!Q13</f>
        <v>0</v>
      </c>
      <c r="R32" s="73">
        <f>+'5. Gólyahír'!R13</f>
        <v>0</v>
      </c>
      <c r="S32" s="73">
        <f>+'5. Gólyahír'!S13</f>
        <v>0</v>
      </c>
      <c r="T32" s="499"/>
      <c r="U32" s="74"/>
    </row>
    <row r="33" spans="1:21" x14ac:dyDescent="0.25">
      <c r="B33" s="318" t="s">
        <v>448</v>
      </c>
      <c r="C33" s="498">
        <f>+'4. Polg.Hiv.'!C13</f>
        <v>136770000</v>
      </c>
      <c r="D33" s="73">
        <f>+'4. Polg.Hiv.'!D13</f>
        <v>138910000</v>
      </c>
      <c r="E33" s="73">
        <f>+'4. Polg.Hiv.'!E13</f>
        <v>138910000</v>
      </c>
      <c r="F33" s="459">
        <f>+'4. Polg.Hiv.'!F13</f>
        <v>0</v>
      </c>
      <c r="G33" s="73"/>
      <c r="H33" s="498">
        <f>+'4. Polg.Hiv.'!H13</f>
        <v>73242121</v>
      </c>
      <c r="I33" s="73">
        <f>+'4. Polg.Hiv.'!I13</f>
        <v>105852857</v>
      </c>
      <c r="J33" s="73">
        <f>+'4. Polg.Hiv.'!J13</f>
        <v>0</v>
      </c>
      <c r="K33" s="73"/>
      <c r="L33" s="73"/>
      <c r="M33" s="73"/>
      <c r="N33" s="459"/>
      <c r="O33" s="73"/>
      <c r="P33" s="498">
        <f>+'4. Polg.Hiv.'!P13</f>
        <v>2140000</v>
      </c>
      <c r="Q33" s="73">
        <f>+'4. Polg.Hiv.'!Q13</f>
        <v>0</v>
      </c>
      <c r="R33" s="73">
        <f>+'4. Polg.Hiv.'!R13</f>
        <v>0</v>
      </c>
      <c r="S33" s="73">
        <f>+'4. Polg.Hiv.'!S13</f>
        <v>2140000</v>
      </c>
      <c r="T33" s="499"/>
      <c r="U33" s="74"/>
    </row>
    <row r="34" spans="1:21" x14ac:dyDescent="0.25">
      <c r="B34" s="73" t="s">
        <v>419</v>
      </c>
      <c r="C34" s="498">
        <f>+'7. WAMKK'!C13</f>
        <v>20982000</v>
      </c>
      <c r="D34" s="73">
        <f>+'7. WAMKK'!D13</f>
        <v>20982000</v>
      </c>
      <c r="E34" s="73">
        <f>+'7. WAMKK'!E13</f>
        <v>20982000</v>
      </c>
      <c r="F34" s="459">
        <f>+'7. WAMKK'!F13</f>
        <v>0</v>
      </c>
      <c r="G34" s="73"/>
      <c r="H34" s="498">
        <f>+'7. WAMKK'!H13</f>
        <v>8356256</v>
      </c>
      <c r="I34" s="73">
        <f>+'7. WAMKK'!I13</f>
        <v>12538644</v>
      </c>
      <c r="J34" s="73">
        <f>+'7. WAMKK'!J13</f>
        <v>0</v>
      </c>
      <c r="K34" s="73"/>
      <c r="L34" s="73"/>
      <c r="M34" s="73"/>
      <c r="N34" s="459"/>
      <c r="O34" s="73"/>
      <c r="P34" s="498">
        <f>+'7. WAMKK'!P13</f>
        <v>0</v>
      </c>
      <c r="Q34" s="73">
        <f>+'7. WAMKK'!Q13</f>
        <v>0</v>
      </c>
      <c r="R34" s="73">
        <f>+'7. WAMKK'!R13</f>
        <v>0</v>
      </c>
      <c r="S34" s="73">
        <f>+'7. WAMKK'!S13</f>
        <v>0</v>
      </c>
      <c r="T34" s="499"/>
      <c r="U34" s="74"/>
    </row>
    <row r="35" spans="1:21" x14ac:dyDescent="0.25">
      <c r="B35" s="73" t="s">
        <v>420</v>
      </c>
      <c r="C35" s="498">
        <f>+'9. Közp. Konyha'!C13</f>
        <v>37575000</v>
      </c>
      <c r="D35" s="73">
        <f>+'9. Közp. Konyha'!D13</f>
        <v>37575000</v>
      </c>
      <c r="E35" s="73">
        <f>+'9. Közp. Konyha'!E13</f>
        <v>37773000</v>
      </c>
      <c r="F35" s="459">
        <f>+'9. Közp. Konyha'!F13</f>
        <v>0</v>
      </c>
      <c r="G35" s="73"/>
      <c r="H35" s="498">
        <f>+'9. Közp. Konyha'!H13</f>
        <v>19315155</v>
      </c>
      <c r="I35" s="73">
        <f>+'9. Közp. Konyha'!I13</f>
        <v>28899369</v>
      </c>
      <c r="J35" s="73">
        <f>+'9. Közp. Konyha'!J13</f>
        <v>0</v>
      </c>
      <c r="K35" s="73"/>
      <c r="L35" s="73"/>
      <c r="M35" s="73"/>
      <c r="N35" s="459"/>
      <c r="O35" s="73"/>
      <c r="P35" s="498">
        <f>+'9. Közp. Konyha'!P13</f>
        <v>0</v>
      </c>
      <c r="Q35" s="73">
        <f>+'9. Közp. Konyha'!Q13</f>
        <v>198000</v>
      </c>
      <c r="R35" s="73">
        <f>+'9. Közp. Konyha'!R13</f>
        <v>0</v>
      </c>
      <c r="S35" s="73">
        <f>+'9. Közp. Konyha'!S13</f>
        <v>198000</v>
      </c>
      <c r="T35" s="499"/>
      <c r="U35" s="74"/>
    </row>
    <row r="36" spans="1:21" ht="8.1" customHeight="1" x14ac:dyDescent="0.25">
      <c r="B36" s="383" t="s">
        <v>443</v>
      </c>
      <c r="C36" s="500"/>
      <c r="D36" s="382"/>
      <c r="E36" s="382"/>
      <c r="F36" s="511"/>
      <c r="G36" s="382"/>
      <c r="H36" s="500"/>
      <c r="I36" s="382"/>
      <c r="J36" s="382"/>
      <c r="K36" s="382"/>
      <c r="L36" s="382"/>
      <c r="M36" s="382"/>
      <c r="N36" s="511"/>
      <c r="O36" s="382"/>
      <c r="P36" s="500"/>
      <c r="Q36" s="382"/>
      <c r="R36" s="382"/>
      <c r="S36" s="382"/>
      <c r="T36" s="499"/>
      <c r="U36" s="74"/>
    </row>
    <row r="37" spans="1:21" x14ac:dyDescent="0.25">
      <c r="A37" s="384" t="str">
        <f>+A28</f>
        <v>K1</v>
      </c>
      <c r="B37" s="364" t="s">
        <v>437</v>
      </c>
      <c r="C37" s="501">
        <f>SUM(C29:C36)</f>
        <v>590239000</v>
      </c>
      <c r="D37" s="365">
        <f t="shared" ref="D37:F37" si="31">SUM(D29:D36)</f>
        <v>604139000</v>
      </c>
      <c r="E37" s="365">
        <f t="shared" si="31"/>
        <v>604337000</v>
      </c>
      <c r="F37" s="512">
        <f t="shared" si="31"/>
        <v>0</v>
      </c>
      <c r="G37" s="365"/>
      <c r="H37" s="501">
        <f>SUM(H29:H36)</f>
        <v>284624783</v>
      </c>
      <c r="I37" s="365">
        <f t="shared" ref="I37:J37" si="32">SUM(I29:I36)</f>
        <v>436310302</v>
      </c>
      <c r="J37" s="365">
        <f t="shared" si="32"/>
        <v>0</v>
      </c>
      <c r="K37" s="365"/>
      <c r="L37" s="365"/>
      <c r="M37" s="365"/>
      <c r="N37" s="512"/>
      <c r="O37" s="365"/>
      <c r="P37" s="501">
        <f>SUM(P29:P36)</f>
        <v>13900000</v>
      </c>
      <c r="Q37" s="365">
        <f t="shared" ref="Q37:S37" si="33">SUM(Q29:Q36)</f>
        <v>198000</v>
      </c>
      <c r="R37" s="365">
        <f t="shared" si="33"/>
        <v>0</v>
      </c>
      <c r="S37" s="365">
        <f t="shared" si="33"/>
        <v>14098000</v>
      </c>
      <c r="T37" s="499"/>
      <c r="U37" s="74"/>
    </row>
    <row r="38" spans="1:21" x14ac:dyDescent="0.25">
      <c r="C38" s="498"/>
      <c r="D38" s="74"/>
      <c r="E38" s="74"/>
      <c r="F38" s="524"/>
      <c r="G38" s="74"/>
      <c r="H38" s="498"/>
      <c r="K38" s="74"/>
      <c r="L38" s="87"/>
      <c r="M38" s="87"/>
      <c r="N38" s="499"/>
      <c r="O38" s="74"/>
      <c r="P38" s="498"/>
      <c r="Q38" s="73"/>
      <c r="R38" s="73"/>
      <c r="S38" s="73"/>
      <c r="T38" s="499"/>
      <c r="U38" s="74"/>
    </row>
    <row r="39" spans="1:21" x14ac:dyDescent="0.25">
      <c r="C39" s="498"/>
      <c r="D39" s="74"/>
      <c r="E39" s="74"/>
      <c r="F39" s="524"/>
      <c r="G39" s="74"/>
      <c r="H39" s="498"/>
      <c r="K39" s="74"/>
      <c r="L39" s="87"/>
      <c r="M39" s="87"/>
      <c r="N39" s="499"/>
      <c r="O39" s="74"/>
      <c r="P39" s="498"/>
      <c r="Q39" s="73"/>
      <c r="R39" s="73"/>
      <c r="S39" s="73"/>
      <c r="T39" s="499"/>
      <c r="U39" s="74"/>
    </row>
    <row r="40" spans="1:21" x14ac:dyDescent="0.25">
      <c r="A40" s="320" t="s">
        <v>26</v>
      </c>
      <c r="B40" s="320" t="str">
        <f>+'3. Önk. Kiadások'!B29</f>
        <v>Munkaadót terhelő járulékok és szociális hozzájárulás</v>
      </c>
      <c r="C40" s="498"/>
      <c r="D40" s="74"/>
      <c r="E40" s="74"/>
      <c r="F40" s="524"/>
      <c r="G40" s="74"/>
      <c r="H40" s="498"/>
      <c r="K40" s="74"/>
      <c r="L40" s="87"/>
      <c r="M40" s="87"/>
      <c r="N40" s="499"/>
      <c r="O40" s="74"/>
      <c r="P40" s="498"/>
      <c r="Q40" s="73"/>
      <c r="R40" s="73"/>
      <c r="S40" s="73"/>
      <c r="T40" s="499"/>
      <c r="U40" s="74"/>
    </row>
    <row r="41" spans="1:21" x14ac:dyDescent="0.25">
      <c r="B41" s="56" t="str">
        <f t="shared" ref="B41:B47" si="34">+B29</f>
        <v>Sülysáp Város Önkormányzata</v>
      </c>
      <c r="C41" s="498">
        <f>+'3. Önk. Kiadások'!C29</f>
        <v>13000000</v>
      </c>
      <c r="D41" s="73">
        <f>+'3. Önk. Kiadások'!D29</f>
        <v>14415000</v>
      </c>
      <c r="E41" s="73">
        <f>+'3. Önk. Kiadások'!E29</f>
        <v>14415000</v>
      </c>
      <c r="F41" s="459">
        <f>+'3. Önk. Kiadások'!F29</f>
        <v>0</v>
      </c>
      <c r="G41" s="74"/>
      <c r="H41" s="498">
        <f>+'3. Önk. Kiadások'!H29</f>
        <v>5715394</v>
      </c>
      <c r="I41" s="73">
        <f>+'3. Önk. Kiadások'!I29</f>
        <v>9195251</v>
      </c>
      <c r="J41" s="73">
        <f>+'3. Önk. Kiadások'!J29</f>
        <v>0</v>
      </c>
      <c r="K41" s="74"/>
      <c r="L41" s="87"/>
      <c r="M41" s="87"/>
      <c r="N41" s="499"/>
      <c r="O41" s="74"/>
      <c r="P41" s="498">
        <f>+'3. Önk. Kiadások'!P29</f>
        <v>1415000</v>
      </c>
      <c r="Q41" s="73">
        <f>+'3. Önk. Kiadások'!Q29</f>
        <v>0</v>
      </c>
      <c r="R41" s="73">
        <f>+'3. Önk. Kiadások'!R29</f>
        <v>0</v>
      </c>
      <c r="S41" s="73">
        <f>+'3. Önk. Kiadások'!S29</f>
        <v>1415000</v>
      </c>
      <c r="T41" s="499"/>
      <c r="U41" s="74"/>
    </row>
    <row r="42" spans="1:21" x14ac:dyDescent="0.25">
      <c r="B42" s="56" t="str">
        <f t="shared" si="34"/>
        <v>Gondozási Központ</v>
      </c>
      <c r="C42" s="498">
        <f>+'8. Dr Gáspár HSZK'!C29</f>
        <v>3900000</v>
      </c>
      <c r="D42" s="73">
        <f>+'8. Dr Gáspár HSZK'!D29</f>
        <v>3900000</v>
      </c>
      <c r="E42" s="73">
        <f>+'8. Dr Gáspár HSZK'!E29</f>
        <v>3900000</v>
      </c>
      <c r="F42" s="459">
        <f>+'8. Dr Gáspár HSZK'!F29</f>
        <v>0</v>
      </c>
      <c r="G42" s="73"/>
      <c r="H42" s="498">
        <f>+'8. Dr Gáspár HSZK'!H29</f>
        <v>2020593</v>
      </c>
      <c r="I42" s="73">
        <f>+'8. Dr Gáspár HSZK'!I29</f>
        <v>3125665</v>
      </c>
      <c r="J42" s="73">
        <f>+'8. Dr Gáspár HSZK'!J29</f>
        <v>0</v>
      </c>
      <c r="K42" s="73"/>
      <c r="L42" s="73"/>
      <c r="M42" s="73"/>
      <c r="N42" s="459"/>
      <c r="O42" s="73"/>
      <c r="P42" s="498">
        <f>+'8. Dr Gáspár HSZK'!P29</f>
        <v>0</v>
      </c>
      <c r="Q42" s="73">
        <f>+'8. Dr Gáspár HSZK'!Q29</f>
        <v>0</v>
      </c>
      <c r="R42" s="73">
        <f>+'8. Dr Gáspár HSZK'!R29</f>
        <v>0</v>
      </c>
      <c r="S42" s="73">
        <f>+'8. Dr Gáspár HSZK'!S29</f>
        <v>0</v>
      </c>
      <c r="T42" s="499"/>
      <c r="U42" s="74"/>
    </row>
    <row r="43" spans="1:21" x14ac:dyDescent="0.25">
      <c r="B43" s="56" t="str">
        <f t="shared" si="34"/>
        <v>Csicsergő Napköziotthonos Óvoda</v>
      </c>
      <c r="C43" s="498">
        <f>+'6. Csicsergő'!C30</f>
        <v>25000000</v>
      </c>
      <c r="D43" s="73">
        <f>+'6. Csicsergő'!D30</f>
        <v>25000000</v>
      </c>
      <c r="E43" s="73">
        <f>+'6. Csicsergő'!E30</f>
        <v>25000000</v>
      </c>
      <c r="F43" s="459">
        <f>+'6. Csicsergő'!F30</f>
        <v>0</v>
      </c>
      <c r="G43" s="73"/>
      <c r="H43" s="498">
        <f>+'6. Csicsergő'!H30</f>
        <v>13078152</v>
      </c>
      <c r="I43" s="73">
        <f>+'6. Csicsergő'!I30</f>
        <v>19369353</v>
      </c>
      <c r="J43" s="73">
        <f>+'6. Csicsergő'!J30</f>
        <v>0</v>
      </c>
      <c r="K43" s="73"/>
      <c r="L43" s="73"/>
      <c r="M43" s="73"/>
      <c r="N43" s="459"/>
      <c r="O43" s="73"/>
      <c r="P43" s="498">
        <f>+'6. Csicsergő'!P30</f>
        <v>0</v>
      </c>
      <c r="Q43" s="73">
        <f>+'6. Csicsergő'!Q30</f>
        <v>0</v>
      </c>
      <c r="R43" s="73">
        <f>+'6. Csicsergő'!R30</f>
        <v>0</v>
      </c>
      <c r="S43" s="73">
        <f>+'6. Csicsergő'!S30</f>
        <v>0</v>
      </c>
      <c r="T43" s="499"/>
      <c r="U43" s="74"/>
    </row>
    <row r="44" spans="1:21" x14ac:dyDescent="0.25">
      <c r="B44" s="56" t="str">
        <f t="shared" si="34"/>
        <v>Gólyahír Bőlcsőde</v>
      </c>
      <c r="C44" s="498">
        <f>+'5. Gólyahír'!C29</f>
        <v>9100000</v>
      </c>
      <c r="D44" s="73">
        <f>+'5. Gólyahír'!D29</f>
        <v>9100000</v>
      </c>
      <c r="E44" s="73">
        <f>+'5. Gólyahír'!E29</f>
        <v>9100000</v>
      </c>
      <c r="F44" s="459">
        <f>+'5. Gólyahír'!F29</f>
        <v>0</v>
      </c>
      <c r="G44" s="73"/>
      <c r="H44" s="498">
        <f>+'5. Gólyahír'!H29</f>
        <v>4723238</v>
      </c>
      <c r="I44" s="73">
        <f>+'5. Gólyahír'!I29</f>
        <v>7206667</v>
      </c>
      <c r="J44" s="73">
        <f>+'5. Gólyahír'!J29</f>
        <v>0</v>
      </c>
      <c r="K44" s="73"/>
      <c r="L44" s="73"/>
      <c r="M44" s="73"/>
      <c r="N44" s="459"/>
      <c r="O44" s="73"/>
      <c r="P44" s="498">
        <f>+'5. Gólyahír'!P29</f>
        <v>0</v>
      </c>
      <c r="Q44" s="73">
        <f>+'5. Gólyahír'!Q29</f>
        <v>0</v>
      </c>
      <c r="R44" s="73">
        <f>+'5. Gólyahír'!R29</f>
        <v>0</v>
      </c>
      <c r="S44" s="73">
        <f>+'5. Gólyahír'!S29</f>
        <v>0</v>
      </c>
      <c r="T44" s="499"/>
      <c r="U44" s="74"/>
    </row>
    <row r="45" spans="1:21" x14ac:dyDescent="0.25">
      <c r="B45" s="56" t="str">
        <f t="shared" si="34"/>
        <v>Polgármesteri Hivatal</v>
      </c>
      <c r="C45" s="498">
        <f>+'4. Polg.Hiv.'!C29</f>
        <v>17900000</v>
      </c>
      <c r="D45" s="73">
        <f>+'4. Polg.Hiv.'!D29</f>
        <v>18200308</v>
      </c>
      <c r="E45" s="73">
        <f>+'4. Polg.Hiv.'!E29</f>
        <v>18200308</v>
      </c>
      <c r="F45" s="459">
        <f>+'4. Polg.Hiv.'!F29</f>
        <v>0</v>
      </c>
      <c r="G45" s="73"/>
      <c r="H45" s="498">
        <f>+'4. Polg.Hiv.'!H29</f>
        <v>11393724</v>
      </c>
      <c r="I45" s="73">
        <f>+'4. Polg.Hiv.'!I29</f>
        <v>15628466</v>
      </c>
      <c r="J45" s="73">
        <f>+'4. Polg.Hiv.'!J29</f>
        <v>0</v>
      </c>
      <c r="K45" s="73"/>
      <c r="L45" s="73"/>
      <c r="M45" s="73"/>
      <c r="N45" s="459"/>
      <c r="O45" s="73"/>
      <c r="P45" s="498">
        <f>+'4. Polg.Hiv.'!P29</f>
        <v>300308</v>
      </c>
      <c r="Q45" s="73">
        <f>+'4. Polg.Hiv.'!Q29</f>
        <v>0</v>
      </c>
      <c r="R45" s="73">
        <f>+'4. Polg.Hiv.'!R29</f>
        <v>0</v>
      </c>
      <c r="S45" s="73">
        <f>+'4. Polg.Hiv.'!S29</f>
        <v>300308</v>
      </c>
      <c r="T45" s="499"/>
      <c r="U45" s="74"/>
    </row>
    <row r="46" spans="1:21" x14ac:dyDescent="0.25">
      <c r="B46" s="56" t="str">
        <f t="shared" si="34"/>
        <v>Wass Albert Művelődési Központ és Könyvtár</v>
      </c>
      <c r="C46" s="498">
        <f>+'7. WAMKK'!C29</f>
        <v>2800000</v>
      </c>
      <c r="D46" s="73">
        <f>+'7. WAMKK'!D29</f>
        <v>2800000</v>
      </c>
      <c r="E46" s="73">
        <f>+'7. WAMKK'!E29</f>
        <v>2800000</v>
      </c>
      <c r="F46" s="459">
        <f>+'7. WAMKK'!F29</f>
        <v>0</v>
      </c>
      <c r="G46" s="73"/>
      <c r="H46" s="498">
        <f>+'7. WAMKK'!H29</f>
        <v>1183516</v>
      </c>
      <c r="I46" s="73">
        <f>+'7. WAMKK'!I29</f>
        <v>1773121</v>
      </c>
      <c r="J46" s="73">
        <f>+'7. WAMKK'!J29</f>
        <v>0</v>
      </c>
      <c r="K46" s="73"/>
      <c r="L46" s="73"/>
      <c r="M46" s="73"/>
      <c r="N46" s="459"/>
      <c r="O46" s="73"/>
      <c r="P46" s="498">
        <f>+'7. WAMKK'!P29</f>
        <v>0</v>
      </c>
      <c r="Q46" s="73">
        <f>+'7. WAMKK'!Q29</f>
        <v>0</v>
      </c>
      <c r="R46" s="73">
        <f>+'7. WAMKK'!R29</f>
        <v>0</v>
      </c>
      <c r="S46" s="73">
        <f>+'7. WAMKK'!S29</f>
        <v>0</v>
      </c>
      <c r="T46" s="499"/>
      <c r="U46" s="74"/>
    </row>
    <row r="47" spans="1:21" x14ac:dyDescent="0.25">
      <c r="B47" s="56" t="str">
        <f t="shared" si="34"/>
        <v>Központi Konyha</v>
      </c>
      <c r="C47" s="498">
        <f>+'9. Közp. Konyha'!C29</f>
        <v>4900000</v>
      </c>
      <c r="D47" s="73">
        <f>+'9. Közp. Konyha'!D29</f>
        <v>4900000</v>
      </c>
      <c r="E47" s="73">
        <f>+'9. Közp. Konyha'!E29</f>
        <v>4900000</v>
      </c>
      <c r="F47" s="459">
        <f>+'9. Közp. Konyha'!F29</f>
        <v>0</v>
      </c>
      <c r="G47" s="73"/>
      <c r="H47" s="498">
        <f>+'9. Közp. Konyha'!H29</f>
        <v>2617548</v>
      </c>
      <c r="I47" s="73">
        <f>+'9. Közp. Konyha'!I29</f>
        <v>3907734</v>
      </c>
      <c r="J47" s="73">
        <f>+'9. Közp. Konyha'!J29</f>
        <v>0</v>
      </c>
      <c r="K47" s="73"/>
      <c r="L47" s="73"/>
      <c r="M47" s="73"/>
      <c r="N47" s="459"/>
      <c r="O47" s="73"/>
      <c r="P47" s="498">
        <f>+'9. Közp. Konyha'!P29</f>
        <v>0</v>
      </c>
      <c r="Q47" s="73">
        <f>+'9. Közp. Konyha'!Q29</f>
        <v>0</v>
      </c>
      <c r="R47" s="73">
        <f>+'9. Közp. Konyha'!R29</f>
        <v>0</v>
      </c>
      <c r="S47" s="73">
        <f>+'9. Közp. Konyha'!S29</f>
        <v>0</v>
      </c>
      <c r="T47" s="499"/>
      <c r="U47" s="74"/>
    </row>
    <row r="48" spans="1:21" ht="8.1" customHeight="1" x14ac:dyDescent="0.25">
      <c r="B48" s="383" t="s">
        <v>443</v>
      </c>
      <c r="C48" s="500"/>
      <c r="D48" s="382"/>
      <c r="E48" s="382"/>
      <c r="F48" s="511"/>
      <c r="G48" s="382"/>
      <c r="H48" s="500"/>
      <c r="I48" s="382"/>
      <c r="J48" s="382"/>
      <c r="K48" s="382"/>
      <c r="L48" s="382"/>
      <c r="M48" s="382"/>
      <c r="N48" s="511"/>
      <c r="O48" s="382"/>
      <c r="P48" s="500"/>
      <c r="Q48" s="382"/>
      <c r="R48" s="382"/>
      <c r="S48" s="382"/>
      <c r="T48" s="499"/>
      <c r="U48" s="74"/>
    </row>
    <row r="49" spans="1:21" x14ac:dyDescent="0.25">
      <c r="A49" s="384" t="str">
        <f>+A40</f>
        <v>K2</v>
      </c>
      <c r="B49" s="364" t="s">
        <v>437</v>
      </c>
      <c r="C49" s="501">
        <f>SUM(C41:C48)</f>
        <v>76600000</v>
      </c>
      <c r="D49" s="365">
        <f t="shared" ref="D49:F49" si="35">SUM(D41:D48)</f>
        <v>78315308</v>
      </c>
      <c r="E49" s="365">
        <f t="shared" si="35"/>
        <v>78315308</v>
      </c>
      <c r="F49" s="512">
        <f t="shared" si="35"/>
        <v>0</v>
      </c>
      <c r="G49" s="365"/>
      <c r="H49" s="501">
        <f>SUM(H41:H48)</f>
        <v>40732165</v>
      </c>
      <c r="I49" s="365">
        <f t="shared" ref="I49:J49" si="36">SUM(I41:I48)</f>
        <v>60206257</v>
      </c>
      <c r="J49" s="365">
        <f t="shared" si="36"/>
        <v>0</v>
      </c>
      <c r="K49" s="365"/>
      <c r="L49" s="365"/>
      <c r="M49" s="365"/>
      <c r="N49" s="512"/>
      <c r="O49" s="365"/>
      <c r="P49" s="501">
        <f>SUM(P41:P48)</f>
        <v>1715308</v>
      </c>
      <c r="Q49" s="365">
        <f t="shared" ref="Q49:S49" si="37">SUM(Q41:Q48)</f>
        <v>0</v>
      </c>
      <c r="R49" s="365">
        <f t="shared" si="37"/>
        <v>0</v>
      </c>
      <c r="S49" s="365">
        <f t="shared" si="37"/>
        <v>1715308</v>
      </c>
      <c r="T49" s="499"/>
      <c r="U49" s="74"/>
    </row>
    <row r="50" spans="1:21" x14ac:dyDescent="0.25">
      <c r="C50" s="498"/>
      <c r="D50" s="74"/>
      <c r="E50" s="74"/>
      <c r="F50" s="524"/>
      <c r="G50" s="74"/>
      <c r="H50" s="498"/>
      <c r="K50" s="74"/>
      <c r="L50" s="87"/>
      <c r="M50" s="87"/>
      <c r="N50" s="499"/>
      <c r="O50" s="74"/>
      <c r="P50" s="498"/>
      <c r="Q50" s="73"/>
      <c r="R50" s="73"/>
      <c r="S50" s="73"/>
      <c r="T50" s="499"/>
      <c r="U50" s="74"/>
    </row>
    <row r="51" spans="1:21" x14ac:dyDescent="0.25">
      <c r="C51" s="498"/>
      <c r="D51" s="74"/>
      <c r="E51" s="74"/>
      <c r="F51" s="524"/>
      <c r="G51" s="74"/>
      <c r="H51" s="498"/>
      <c r="K51" s="74"/>
      <c r="L51" s="87"/>
      <c r="M51" s="87"/>
      <c r="N51" s="499"/>
      <c r="O51" s="74"/>
      <c r="P51" s="498"/>
      <c r="Q51" s="73"/>
      <c r="R51" s="73"/>
      <c r="S51" s="73"/>
      <c r="T51" s="499"/>
      <c r="U51" s="74"/>
    </row>
    <row r="52" spans="1:21" x14ac:dyDescent="0.25">
      <c r="A52" s="320" t="s">
        <v>29</v>
      </c>
      <c r="B52" s="320" t="str">
        <f>+'3. Önk. Kiadások'!B32</f>
        <v>Dologi kiadások</v>
      </c>
      <c r="C52" s="498"/>
      <c r="D52" s="74"/>
      <c r="E52" s="74"/>
      <c r="F52" s="524"/>
      <c r="G52" s="74"/>
      <c r="H52" s="498"/>
      <c r="K52" s="74"/>
      <c r="L52" s="87"/>
      <c r="M52" s="87"/>
      <c r="N52" s="499"/>
      <c r="O52" s="74"/>
      <c r="P52" s="498"/>
      <c r="Q52" s="73"/>
      <c r="R52" s="73"/>
      <c r="S52" s="73"/>
      <c r="T52" s="499"/>
      <c r="U52" s="74"/>
    </row>
    <row r="53" spans="1:21" x14ac:dyDescent="0.25">
      <c r="B53" s="56" t="str">
        <f t="shared" ref="B53:B59" si="38">+B41</f>
        <v>Sülysáp Város Önkormányzata</v>
      </c>
      <c r="C53" s="498">
        <f>+'3. Önk. Kiadások'!C32</f>
        <v>217700000</v>
      </c>
      <c r="D53" s="73">
        <f>+'3. Önk. Kiadások'!D32</f>
        <v>207001305</v>
      </c>
      <c r="E53" s="73">
        <f>+'3. Önk. Kiadások'!E32</f>
        <v>208680000</v>
      </c>
      <c r="F53" s="459">
        <f>+'3. Önk. Kiadások'!F32</f>
        <v>0</v>
      </c>
      <c r="G53" s="74"/>
      <c r="H53" s="498">
        <f>+'3. Önk. Kiadások'!H32</f>
        <v>87543418</v>
      </c>
      <c r="I53" s="73">
        <f>+'3. Önk. Kiadások'!I32</f>
        <v>121417212</v>
      </c>
      <c r="J53" s="73">
        <f>+'3. Önk. Kiadások'!J32</f>
        <v>0</v>
      </c>
      <c r="K53" s="74"/>
      <c r="L53" s="87"/>
      <c r="M53" s="87"/>
      <c r="N53" s="499"/>
      <c r="O53" s="74"/>
      <c r="P53" s="498">
        <f>+'3. Önk. Kiadások'!P32</f>
        <v>-10698695</v>
      </c>
      <c r="Q53" s="73">
        <f>+'3. Önk. Kiadások'!Q32</f>
        <v>1678695</v>
      </c>
      <c r="R53" s="73">
        <f>+'3. Önk. Kiadások'!R32</f>
        <v>0</v>
      </c>
      <c r="S53" s="73">
        <f>+'3. Önk. Kiadások'!S32</f>
        <v>-9020000</v>
      </c>
      <c r="T53" s="499"/>
      <c r="U53" s="74"/>
    </row>
    <row r="54" spans="1:21" x14ac:dyDescent="0.25">
      <c r="A54" s="56"/>
      <c r="B54" s="56" t="str">
        <f t="shared" si="38"/>
        <v>Gondozási Központ</v>
      </c>
      <c r="C54" s="498">
        <f>+'8. Dr Gáspár HSZK'!C32</f>
        <v>12060000</v>
      </c>
      <c r="D54" s="73">
        <f>+'8. Dr Gáspár HSZK'!D32</f>
        <v>12060000</v>
      </c>
      <c r="E54" s="73">
        <f>+'8. Dr Gáspár HSZK'!E32</f>
        <v>12060000</v>
      </c>
      <c r="F54" s="459">
        <f>+'8. Dr Gáspár HSZK'!F32</f>
        <v>0</v>
      </c>
      <c r="G54" s="73"/>
      <c r="H54" s="527">
        <f>+'8. Dr Gáspár HSZK'!H32</f>
        <v>4912145</v>
      </c>
      <c r="I54" s="318">
        <f>+'8. Dr Gáspár HSZK'!I32</f>
        <v>7939130</v>
      </c>
      <c r="J54" s="73">
        <f>+'8. Dr Gáspár HSZK'!J32</f>
        <v>0</v>
      </c>
      <c r="K54" s="73"/>
      <c r="L54" s="73"/>
      <c r="M54" s="73"/>
      <c r="N54" s="459"/>
      <c r="O54" s="73"/>
      <c r="P54" s="498">
        <f>+'8. Dr Gáspár HSZK'!P32</f>
        <v>0</v>
      </c>
      <c r="Q54" s="73">
        <f>+'8. Dr Gáspár HSZK'!Q32</f>
        <v>0</v>
      </c>
      <c r="R54" s="73">
        <f>+'8. Dr Gáspár HSZK'!R32</f>
        <v>0</v>
      </c>
      <c r="S54" s="73">
        <f>+'8. Dr Gáspár HSZK'!S32</f>
        <v>0</v>
      </c>
      <c r="T54" s="499"/>
      <c r="U54" s="74"/>
    </row>
    <row r="55" spans="1:21" x14ac:dyDescent="0.25">
      <c r="B55" s="56" t="str">
        <f t="shared" si="38"/>
        <v>Csicsergő Napköziotthonos Óvoda</v>
      </c>
      <c r="C55" s="498">
        <f>+'6. Csicsergő'!C33</f>
        <v>11646000</v>
      </c>
      <c r="D55" s="73">
        <f>+'6. Csicsergő'!D33</f>
        <v>11646000</v>
      </c>
      <c r="E55" s="73">
        <f>+'6. Csicsergő'!E33</f>
        <v>11646000</v>
      </c>
      <c r="F55" s="459">
        <f>+'6. Csicsergő'!F33</f>
        <v>0</v>
      </c>
      <c r="G55" s="73"/>
      <c r="H55" s="498">
        <f>+'6. Csicsergő'!H33</f>
        <v>7163057</v>
      </c>
      <c r="I55" s="73">
        <f>+'6. Csicsergő'!I33</f>
        <v>9537641</v>
      </c>
      <c r="J55" s="73">
        <f>+'6. Csicsergő'!J33</f>
        <v>0</v>
      </c>
      <c r="K55" s="73"/>
      <c r="L55" s="73"/>
      <c r="M55" s="73"/>
      <c r="N55" s="459"/>
      <c r="O55" s="73"/>
      <c r="P55" s="498">
        <f>+'6. Csicsergő'!P33</f>
        <v>0</v>
      </c>
      <c r="Q55" s="73">
        <f>+'6. Csicsergő'!Q33</f>
        <v>0</v>
      </c>
      <c r="R55" s="73">
        <f>+'6. Csicsergő'!R33</f>
        <v>0</v>
      </c>
      <c r="S55" s="73">
        <f>+'6. Csicsergő'!S33</f>
        <v>0</v>
      </c>
      <c r="T55" s="499"/>
      <c r="U55" s="74"/>
    </row>
    <row r="56" spans="1:21" x14ac:dyDescent="0.25">
      <c r="B56" s="56" t="str">
        <f t="shared" si="38"/>
        <v>Gólyahír Bőlcsőde</v>
      </c>
      <c r="C56" s="498">
        <f>+'5. Gólyahír'!C32</f>
        <v>13420000</v>
      </c>
      <c r="D56" s="73">
        <f>+'5. Gólyahír'!D32</f>
        <v>13008000</v>
      </c>
      <c r="E56" s="73">
        <f>+'5. Gólyahír'!E32</f>
        <v>15008000</v>
      </c>
      <c r="F56" s="459">
        <f>+'5. Gólyahír'!F32</f>
        <v>0</v>
      </c>
      <c r="G56" s="73"/>
      <c r="H56" s="498">
        <f>+'5. Gólyahír'!H32</f>
        <v>6261679</v>
      </c>
      <c r="I56" s="73">
        <f>+'5. Gólyahír'!I32</f>
        <v>9741549</v>
      </c>
      <c r="J56" s="73">
        <f>+'5. Gólyahír'!J32</f>
        <v>0</v>
      </c>
      <c r="K56" s="73"/>
      <c r="L56" s="73"/>
      <c r="M56" s="73"/>
      <c r="N56" s="459"/>
      <c r="O56" s="73"/>
      <c r="P56" s="498">
        <f>+'5. Gólyahír'!P32</f>
        <v>-412000</v>
      </c>
      <c r="Q56" s="73">
        <f>+'5. Gólyahír'!Q32</f>
        <v>2000000</v>
      </c>
      <c r="R56" s="73">
        <f>+'5. Gólyahír'!R32</f>
        <v>0</v>
      </c>
      <c r="S56" s="73">
        <f>+'5. Gólyahír'!S32</f>
        <v>1588000</v>
      </c>
      <c r="T56" s="499"/>
      <c r="U56" s="74"/>
    </row>
    <row r="57" spans="1:21" x14ac:dyDescent="0.25">
      <c r="B57" s="56" t="str">
        <f t="shared" si="38"/>
        <v>Polgármesteri Hivatal</v>
      </c>
      <c r="C57" s="498">
        <f>+'4. Polg.Hiv.'!C32</f>
        <v>10760000</v>
      </c>
      <c r="D57" s="73">
        <f>+'4. Polg.Hiv.'!D32</f>
        <v>11303965</v>
      </c>
      <c r="E57" s="73">
        <f>+'4. Polg.Hiv.'!E32</f>
        <v>11303965</v>
      </c>
      <c r="F57" s="459">
        <f>+'4. Polg.Hiv.'!F32</f>
        <v>0</v>
      </c>
      <c r="G57" s="73"/>
      <c r="H57" s="498">
        <f>+'4. Polg.Hiv.'!H32</f>
        <v>6649553</v>
      </c>
      <c r="I57" s="73">
        <f>+'4. Polg.Hiv.'!I32</f>
        <v>9705924</v>
      </c>
      <c r="J57" s="73">
        <f>+'4. Polg.Hiv.'!J32</f>
        <v>0</v>
      </c>
      <c r="K57" s="73"/>
      <c r="L57" s="73"/>
      <c r="M57" s="73"/>
      <c r="N57" s="459"/>
      <c r="O57" s="73"/>
      <c r="P57" s="498">
        <f>+'4. Polg.Hiv.'!P32</f>
        <v>543965</v>
      </c>
      <c r="Q57" s="73">
        <f>+'4. Polg.Hiv.'!Q32</f>
        <v>0</v>
      </c>
      <c r="R57" s="73">
        <f>+'4. Polg.Hiv.'!R32</f>
        <v>0</v>
      </c>
      <c r="S57" s="73">
        <f>+'4. Polg.Hiv.'!S32</f>
        <v>543965</v>
      </c>
      <c r="T57" s="499"/>
      <c r="U57" s="74"/>
    </row>
    <row r="58" spans="1:21" x14ac:dyDescent="0.25">
      <c r="B58" s="56" t="str">
        <f t="shared" si="38"/>
        <v>Wass Albert Művelődési Központ és Könyvtár</v>
      </c>
      <c r="C58" s="498">
        <f>+'7. WAMKK'!C32</f>
        <v>18618000</v>
      </c>
      <c r="D58" s="73">
        <f>+'7. WAMKK'!D32</f>
        <v>18017555</v>
      </c>
      <c r="E58" s="73">
        <f>+'7. WAMKK'!E32</f>
        <v>31275555</v>
      </c>
      <c r="F58" s="459">
        <f>+'7. WAMKK'!F32</f>
        <v>0</v>
      </c>
      <c r="G58" s="73"/>
      <c r="H58" s="498">
        <f>+'7. WAMKK'!H32</f>
        <v>6515355</v>
      </c>
      <c r="I58" s="73">
        <f>+'7. WAMKK'!I32</f>
        <v>21064460</v>
      </c>
      <c r="J58" s="73">
        <f>+'7. WAMKK'!J32</f>
        <v>0</v>
      </c>
      <c r="K58" s="73"/>
      <c r="L58" s="73"/>
      <c r="M58" s="73"/>
      <c r="N58" s="459"/>
      <c r="O58" s="73"/>
      <c r="P58" s="498">
        <f>+'7. WAMKK'!P32</f>
        <v>-600445</v>
      </c>
      <c r="Q58" s="73">
        <f>+'7. WAMKK'!Q32</f>
        <v>13258000</v>
      </c>
      <c r="R58" s="73">
        <f>+'7. WAMKK'!R32</f>
        <v>0</v>
      </c>
      <c r="S58" s="73">
        <f>+'7. WAMKK'!S32</f>
        <v>12657555</v>
      </c>
      <c r="T58" s="499"/>
      <c r="U58" s="74"/>
    </row>
    <row r="59" spans="1:21" x14ac:dyDescent="0.25">
      <c r="B59" s="56" t="str">
        <f t="shared" si="38"/>
        <v>Központi Konyha</v>
      </c>
      <c r="C59" s="498">
        <f>+'9. Közp. Konyha'!C32</f>
        <v>73070000</v>
      </c>
      <c r="D59" s="73">
        <f>+'9. Közp. Konyha'!D32</f>
        <v>73070000</v>
      </c>
      <c r="E59" s="73">
        <f>+'9. Közp. Konyha'!E32</f>
        <v>72394766</v>
      </c>
      <c r="F59" s="459">
        <f>+'9. Közp. Konyha'!F32</f>
        <v>0</v>
      </c>
      <c r="G59" s="73"/>
      <c r="H59" s="498">
        <f>+'9. Közp. Konyha'!H32</f>
        <v>41796581</v>
      </c>
      <c r="I59" s="73">
        <f>+'9. Közp. Konyha'!I32</f>
        <v>55559780</v>
      </c>
      <c r="J59" s="73">
        <f>+'9. Közp. Konyha'!J32</f>
        <v>0</v>
      </c>
      <c r="K59" s="73"/>
      <c r="L59" s="73"/>
      <c r="M59" s="73"/>
      <c r="N59" s="459"/>
      <c r="O59" s="73"/>
      <c r="P59" s="498">
        <f>+'9. Közp. Konyha'!P32</f>
        <v>0</v>
      </c>
      <c r="Q59" s="73">
        <f>+'9. Közp. Konyha'!Q32</f>
        <v>-675234</v>
      </c>
      <c r="R59" s="73">
        <f>+'9. Közp. Konyha'!R32</f>
        <v>0</v>
      </c>
      <c r="S59" s="73">
        <f>+'9. Közp. Konyha'!S32</f>
        <v>-675234</v>
      </c>
      <c r="T59" s="499"/>
      <c r="U59" s="74"/>
    </row>
    <row r="60" spans="1:21" ht="8.1" customHeight="1" x14ac:dyDescent="0.25">
      <c r="B60" s="383" t="s">
        <v>443</v>
      </c>
      <c r="C60" s="500"/>
      <c r="D60" s="382"/>
      <c r="E60" s="382"/>
      <c r="F60" s="511"/>
      <c r="G60" s="382"/>
      <c r="H60" s="500"/>
      <c r="I60" s="382"/>
      <c r="J60" s="382"/>
      <c r="K60" s="382"/>
      <c r="L60" s="382"/>
      <c r="M60" s="382"/>
      <c r="N60" s="511"/>
      <c r="O60" s="382"/>
      <c r="P60" s="500"/>
      <c r="Q60" s="382"/>
      <c r="R60" s="382"/>
      <c r="S60" s="382"/>
      <c r="T60" s="499"/>
      <c r="U60" s="74"/>
    </row>
    <row r="61" spans="1:21" x14ac:dyDescent="0.25">
      <c r="A61" s="384" t="str">
        <f>+A52</f>
        <v>K3</v>
      </c>
      <c r="B61" s="364" t="s">
        <v>437</v>
      </c>
      <c r="C61" s="501">
        <f>SUM(C53:C60)</f>
        <v>357274000</v>
      </c>
      <c r="D61" s="365">
        <f t="shared" ref="D61:F61" si="39">SUM(D53:D60)</f>
        <v>346106825</v>
      </c>
      <c r="E61" s="365">
        <f t="shared" si="39"/>
        <v>362368286</v>
      </c>
      <c r="F61" s="512">
        <f t="shared" si="39"/>
        <v>0</v>
      </c>
      <c r="G61" s="365"/>
      <c r="H61" s="501">
        <f>SUM(H53:H60)</f>
        <v>160841788</v>
      </c>
      <c r="I61" s="365">
        <f t="shared" ref="I61:J61" si="40">SUM(I53:I60)</f>
        <v>234965696</v>
      </c>
      <c r="J61" s="365">
        <f t="shared" si="40"/>
        <v>0</v>
      </c>
      <c r="K61" s="365"/>
      <c r="L61" s="365"/>
      <c r="M61" s="365"/>
      <c r="N61" s="512"/>
      <c r="O61" s="365"/>
      <c r="P61" s="501">
        <f>SUM(P53:P60)</f>
        <v>-11167175</v>
      </c>
      <c r="Q61" s="365">
        <f t="shared" ref="Q61:S61" si="41">SUM(Q53:Q60)</f>
        <v>16261461</v>
      </c>
      <c r="R61" s="365">
        <f t="shared" si="41"/>
        <v>0</v>
      </c>
      <c r="S61" s="365">
        <f t="shared" si="41"/>
        <v>5094286</v>
      </c>
      <c r="T61" s="499"/>
      <c r="U61" s="74"/>
    </row>
    <row r="62" spans="1:21" x14ac:dyDescent="0.25">
      <c r="C62" s="498"/>
      <c r="D62" s="74"/>
      <c r="E62" s="74"/>
      <c r="F62" s="524"/>
      <c r="G62" s="74"/>
      <c r="H62" s="498"/>
      <c r="K62" s="74"/>
      <c r="L62" s="87"/>
      <c r="M62" s="87"/>
      <c r="N62" s="499"/>
      <c r="O62" s="74"/>
      <c r="P62" s="498"/>
      <c r="Q62" s="73"/>
      <c r="R62" s="73"/>
      <c r="S62" s="73"/>
      <c r="T62" s="499"/>
      <c r="U62" s="74"/>
    </row>
    <row r="63" spans="1:21" x14ac:dyDescent="0.25">
      <c r="C63" s="498"/>
      <c r="D63" s="74"/>
      <c r="E63" s="74"/>
      <c r="F63" s="524"/>
      <c r="G63" s="74"/>
      <c r="H63" s="498"/>
      <c r="K63" s="74"/>
      <c r="L63" s="87"/>
      <c r="M63" s="87"/>
      <c r="N63" s="499"/>
      <c r="O63" s="74"/>
      <c r="P63" s="498"/>
      <c r="Q63" s="73"/>
      <c r="R63" s="73"/>
      <c r="S63" s="73"/>
      <c r="T63" s="499"/>
      <c r="U63" s="74"/>
    </row>
    <row r="64" spans="1:21" x14ac:dyDescent="0.25">
      <c r="A64" s="320" t="s">
        <v>111</v>
      </c>
      <c r="B64" s="320" t="str">
        <f>+'3. Önk. Kiadások'!B81</f>
        <v>Elláttotak pénzpeli juttatásai</v>
      </c>
      <c r="C64" s="498"/>
      <c r="D64" s="74"/>
      <c r="E64" s="74"/>
      <c r="F64" s="524"/>
      <c r="G64" s="74"/>
      <c r="H64" s="498"/>
      <c r="K64" s="74"/>
      <c r="L64" s="87"/>
      <c r="M64" s="87"/>
      <c r="N64" s="499"/>
      <c r="O64" s="74"/>
      <c r="P64" s="498"/>
      <c r="Q64" s="73"/>
      <c r="R64" s="73"/>
      <c r="S64" s="73"/>
      <c r="T64" s="499"/>
      <c r="U64" s="74"/>
    </row>
    <row r="65" spans="1:21" x14ac:dyDescent="0.25">
      <c r="B65" s="56" t="str">
        <f t="shared" ref="B65:B71" si="42">+B53</f>
        <v>Sülysáp Város Önkormányzata</v>
      </c>
      <c r="C65" s="498">
        <f>+'3. Önk. Kiadások'!C81</f>
        <v>16000000</v>
      </c>
      <c r="D65" s="73">
        <f>+'3. Önk. Kiadások'!D81</f>
        <v>16000000</v>
      </c>
      <c r="E65" s="73">
        <f>+'3. Önk. Kiadások'!E81</f>
        <v>16000000</v>
      </c>
      <c r="F65" s="459">
        <f>+'3. Önk. Kiadások'!F81</f>
        <v>0</v>
      </c>
      <c r="G65" s="74"/>
      <c r="H65" s="498">
        <f>+'3. Önk. Kiadások'!H81</f>
        <v>4998433</v>
      </c>
      <c r="I65" s="73">
        <f>+'3. Önk. Kiadások'!I81</f>
        <v>8147040</v>
      </c>
      <c r="J65" s="73">
        <f>+'3. Önk. Kiadások'!J81</f>
        <v>0</v>
      </c>
      <c r="K65" s="74"/>
      <c r="L65" s="87"/>
      <c r="M65" s="87"/>
      <c r="N65" s="499"/>
      <c r="O65" s="74"/>
      <c r="P65" s="498">
        <f>+'3. Önk. Kiadások'!P81</f>
        <v>0</v>
      </c>
      <c r="Q65" s="73">
        <f>+'3. Önk. Kiadások'!Q81</f>
        <v>0</v>
      </c>
      <c r="R65" s="73">
        <f>+'3. Önk. Kiadások'!R81</f>
        <v>0</v>
      </c>
      <c r="S65" s="73">
        <f>+'3. Önk. Kiadások'!S81</f>
        <v>0</v>
      </c>
      <c r="T65" s="499"/>
      <c r="U65" s="74"/>
    </row>
    <row r="66" spans="1:21" x14ac:dyDescent="0.25">
      <c r="A66" s="56"/>
      <c r="B66" s="56" t="str">
        <f t="shared" si="42"/>
        <v>Gondozási Központ</v>
      </c>
      <c r="C66" s="498"/>
      <c r="D66" s="73"/>
      <c r="E66" s="73"/>
      <c r="F66" s="459"/>
      <c r="G66" s="73"/>
      <c r="H66" s="498"/>
      <c r="I66" s="73"/>
      <c r="J66" s="73"/>
      <c r="K66" s="73"/>
      <c r="L66" s="73"/>
      <c r="M66" s="73"/>
      <c r="N66" s="459"/>
      <c r="O66" s="73"/>
      <c r="P66" s="498"/>
      <c r="Q66" s="73"/>
      <c r="R66" s="73"/>
      <c r="S66" s="73"/>
      <c r="T66" s="499"/>
      <c r="U66" s="74"/>
    </row>
    <row r="67" spans="1:21" x14ac:dyDescent="0.25">
      <c r="B67" s="56" t="str">
        <f t="shared" si="42"/>
        <v>Csicsergő Napköziotthonos Óvoda</v>
      </c>
      <c r="C67" s="498"/>
      <c r="D67" s="73"/>
      <c r="E67" s="73"/>
      <c r="F67" s="459"/>
      <c r="G67" s="73"/>
      <c r="H67" s="498"/>
      <c r="I67" s="73"/>
      <c r="J67" s="73"/>
      <c r="K67" s="73"/>
      <c r="L67" s="73"/>
      <c r="M67" s="73"/>
      <c r="N67" s="459"/>
      <c r="O67" s="73"/>
      <c r="P67" s="498"/>
      <c r="Q67" s="73"/>
      <c r="R67" s="73"/>
      <c r="S67" s="73"/>
      <c r="T67" s="499"/>
      <c r="U67" s="74"/>
    </row>
    <row r="68" spans="1:21" x14ac:dyDescent="0.25">
      <c r="B68" s="56" t="str">
        <f t="shared" si="42"/>
        <v>Gólyahír Bőlcsőde</v>
      </c>
      <c r="C68" s="498"/>
      <c r="D68" s="73"/>
      <c r="E68" s="73"/>
      <c r="F68" s="459"/>
      <c r="G68" s="73"/>
      <c r="H68" s="498"/>
      <c r="I68" s="73"/>
      <c r="J68" s="73"/>
      <c r="K68" s="73"/>
      <c r="L68" s="73"/>
      <c r="M68" s="73"/>
      <c r="N68" s="459"/>
      <c r="O68" s="73"/>
      <c r="P68" s="498"/>
      <c r="Q68" s="73"/>
      <c r="R68" s="73"/>
      <c r="S68" s="73"/>
      <c r="T68" s="499"/>
      <c r="U68" s="74"/>
    </row>
    <row r="69" spans="1:21" x14ac:dyDescent="0.25">
      <c r="B69" s="56" t="str">
        <f t="shared" si="42"/>
        <v>Polgármesteri Hivatal</v>
      </c>
      <c r="C69" s="498"/>
      <c r="D69" s="73"/>
      <c r="E69" s="73"/>
      <c r="F69" s="459"/>
      <c r="G69" s="73"/>
      <c r="H69" s="498"/>
      <c r="I69" s="73"/>
      <c r="J69" s="73"/>
      <c r="K69" s="73"/>
      <c r="L69" s="73"/>
      <c r="M69" s="73"/>
      <c r="N69" s="459"/>
      <c r="O69" s="73"/>
      <c r="P69" s="498"/>
      <c r="Q69" s="73"/>
      <c r="R69" s="73"/>
      <c r="S69" s="73"/>
      <c r="T69" s="499"/>
      <c r="U69" s="74"/>
    </row>
    <row r="70" spans="1:21" x14ac:dyDescent="0.25">
      <c r="B70" s="56" t="str">
        <f t="shared" si="42"/>
        <v>Wass Albert Művelődési Központ és Könyvtár</v>
      </c>
      <c r="C70" s="498"/>
      <c r="D70" s="73"/>
      <c r="E70" s="73"/>
      <c r="F70" s="459"/>
      <c r="G70" s="73"/>
      <c r="H70" s="498"/>
      <c r="I70" s="73"/>
      <c r="J70" s="73"/>
      <c r="K70" s="73"/>
      <c r="L70" s="73"/>
      <c r="M70" s="73"/>
      <c r="N70" s="459"/>
      <c r="O70" s="73"/>
      <c r="P70" s="498"/>
      <c r="Q70" s="73"/>
      <c r="R70" s="73"/>
      <c r="S70" s="73"/>
      <c r="T70" s="499"/>
      <c r="U70" s="74"/>
    </row>
    <row r="71" spans="1:21" x14ac:dyDescent="0.25">
      <c r="B71" s="56" t="str">
        <f t="shared" si="42"/>
        <v>Központi Konyha</v>
      </c>
      <c r="C71" s="498"/>
      <c r="D71" s="73"/>
      <c r="E71" s="73"/>
      <c r="F71" s="459"/>
      <c r="G71" s="73"/>
      <c r="H71" s="498"/>
      <c r="I71" s="73"/>
      <c r="J71" s="73"/>
      <c r="K71" s="73"/>
      <c r="L71" s="73"/>
      <c r="M71" s="73"/>
      <c r="N71" s="459"/>
      <c r="O71" s="73"/>
      <c r="P71" s="498"/>
      <c r="Q71" s="73"/>
      <c r="R71" s="73"/>
      <c r="S71" s="73"/>
      <c r="T71" s="499"/>
      <c r="U71" s="74"/>
    </row>
    <row r="72" spans="1:21" ht="8.1" customHeight="1" x14ac:dyDescent="0.25">
      <c r="B72" s="383" t="s">
        <v>443</v>
      </c>
      <c r="C72" s="500"/>
      <c r="D72" s="382"/>
      <c r="E72" s="382"/>
      <c r="F72" s="511"/>
      <c r="G72" s="382"/>
      <c r="H72" s="500"/>
      <c r="I72" s="382"/>
      <c r="J72" s="382"/>
      <c r="K72" s="382"/>
      <c r="L72" s="382"/>
      <c r="M72" s="382"/>
      <c r="N72" s="511"/>
      <c r="O72" s="382"/>
      <c r="P72" s="500"/>
      <c r="Q72" s="382"/>
      <c r="R72" s="382"/>
      <c r="S72" s="382"/>
      <c r="T72" s="499"/>
      <c r="U72" s="74"/>
    </row>
    <row r="73" spans="1:21" x14ac:dyDescent="0.25">
      <c r="A73" s="384" t="str">
        <f>+A64</f>
        <v>K4</v>
      </c>
      <c r="B73" s="364" t="s">
        <v>437</v>
      </c>
      <c r="C73" s="501">
        <f>SUM(C65:C72)</f>
        <v>16000000</v>
      </c>
      <c r="D73" s="365">
        <f t="shared" ref="D73:F73" si="43">SUM(D65:D72)</f>
        <v>16000000</v>
      </c>
      <c r="E73" s="365">
        <f t="shared" si="43"/>
        <v>16000000</v>
      </c>
      <c r="F73" s="512">
        <f t="shared" si="43"/>
        <v>0</v>
      </c>
      <c r="G73" s="365"/>
      <c r="H73" s="501">
        <f>SUM(H65:H72)</f>
        <v>4998433</v>
      </c>
      <c r="I73" s="365">
        <f t="shared" ref="I73:J73" si="44">SUM(I65:I72)</f>
        <v>8147040</v>
      </c>
      <c r="J73" s="365">
        <f t="shared" si="44"/>
        <v>0</v>
      </c>
      <c r="K73" s="365"/>
      <c r="L73" s="365"/>
      <c r="M73" s="365"/>
      <c r="N73" s="512"/>
      <c r="O73" s="365"/>
      <c r="P73" s="501">
        <f>SUM(P65:P72)</f>
        <v>0</v>
      </c>
      <c r="Q73" s="365">
        <f t="shared" ref="Q73:S73" si="45">SUM(Q65:Q72)</f>
        <v>0</v>
      </c>
      <c r="R73" s="365">
        <f t="shared" si="45"/>
        <v>0</v>
      </c>
      <c r="S73" s="365">
        <f t="shared" si="45"/>
        <v>0</v>
      </c>
      <c r="T73" s="499"/>
      <c r="U73" s="74"/>
    </row>
    <row r="74" spans="1:21" x14ac:dyDescent="0.25">
      <c r="C74" s="502"/>
      <c r="F74" s="457"/>
      <c r="H74" s="502"/>
      <c r="N74" s="499"/>
      <c r="P74" s="502"/>
      <c r="T74" s="499"/>
    </row>
    <row r="75" spans="1:21" x14ac:dyDescent="0.25">
      <c r="C75" s="502"/>
      <c r="F75" s="457"/>
      <c r="H75" s="502"/>
      <c r="N75" s="499"/>
      <c r="P75" s="502"/>
      <c r="T75" s="499"/>
    </row>
    <row r="76" spans="1:21" x14ac:dyDescent="0.25">
      <c r="A76" s="320" t="s">
        <v>370</v>
      </c>
      <c r="B76" s="320" t="str">
        <f>+'3. Önk. Kiadások'!B106</f>
        <v>Egyéb működési célú kiadások</v>
      </c>
      <c r="C76" s="498"/>
      <c r="D76" s="74"/>
      <c r="E76" s="74"/>
      <c r="F76" s="524"/>
      <c r="G76" s="74"/>
      <c r="H76" s="498"/>
      <c r="K76" s="74"/>
      <c r="L76" s="87"/>
      <c r="M76" s="87"/>
      <c r="N76" s="499"/>
      <c r="O76" s="74"/>
      <c r="P76" s="498"/>
      <c r="Q76" s="73"/>
      <c r="R76" s="73"/>
      <c r="S76" s="73"/>
      <c r="T76" s="499"/>
      <c r="U76" s="74"/>
    </row>
    <row r="77" spans="1:21" x14ac:dyDescent="0.25">
      <c r="B77" s="56" t="str">
        <f t="shared" ref="B77:B83" si="46">+B65</f>
        <v>Sülysáp Város Önkormányzata</v>
      </c>
      <c r="C77" s="498">
        <f>+'3. Önk. Kiadások'!C106</f>
        <v>151426315</v>
      </c>
      <c r="D77" s="73">
        <f>+'3. Önk. Kiadások'!D106</f>
        <v>221879015</v>
      </c>
      <c r="E77" s="73">
        <f>+'3. Önk. Kiadások'!E106</f>
        <v>225231315</v>
      </c>
      <c r="F77" s="459">
        <f>+'3. Önk. Kiadások'!F106</f>
        <v>0</v>
      </c>
      <c r="G77" s="74"/>
      <c r="H77" s="498">
        <f>+'3. Önk. Kiadások'!H106</f>
        <v>91594087</v>
      </c>
      <c r="I77" s="73">
        <f>+'3. Önk. Kiadások'!I106</f>
        <v>153439419</v>
      </c>
      <c r="J77" s="73">
        <f>+'3. Önk. Kiadások'!J106</f>
        <v>0</v>
      </c>
      <c r="K77" s="74"/>
      <c r="L77" s="87"/>
      <c r="M77" s="87"/>
      <c r="N77" s="499"/>
      <c r="O77" s="74"/>
      <c r="P77" s="498">
        <f>+'3. Önk. Kiadások'!P106</f>
        <v>70452700</v>
      </c>
      <c r="Q77" s="73">
        <f>+'3. Önk. Kiadások'!Q106</f>
        <v>3352300</v>
      </c>
      <c r="R77" s="73">
        <f>+'3. Önk. Kiadások'!R106</f>
        <v>0</v>
      </c>
      <c r="S77" s="73">
        <f>+'3. Önk. Kiadások'!S106</f>
        <v>73805000</v>
      </c>
      <c r="T77" s="499"/>
      <c r="U77" s="74"/>
    </row>
    <row r="78" spans="1:21" x14ac:dyDescent="0.25">
      <c r="A78" s="56"/>
      <c r="B78" s="56" t="str">
        <f t="shared" si="46"/>
        <v>Gondozási Központ</v>
      </c>
      <c r="C78" s="498"/>
      <c r="D78" s="73"/>
      <c r="E78" s="73"/>
      <c r="F78" s="459"/>
      <c r="G78" s="73"/>
      <c r="H78" s="498"/>
      <c r="I78" s="73"/>
      <c r="J78" s="73"/>
      <c r="K78" s="73"/>
      <c r="L78" s="73"/>
      <c r="M78" s="73"/>
      <c r="N78" s="459"/>
      <c r="O78" s="73"/>
      <c r="P78" s="498"/>
      <c r="Q78" s="73"/>
      <c r="R78" s="73"/>
      <c r="S78" s="73"/>
      <c r="T78" s="499"/>
      <c r="U78" s="74"/>
    </row>
    <row r="79" spans="1:21" x14ac:dyDescent="0.25">
      <c r="B79" s="56" t="str">
        <f t="shared" si="46"/>
        <v>Csicsergő Napköziotthonos Óvoda</v>
      </c>
      <c r="C79" s="498"/>
      <c r="D79" s="73"/>
      <c r="E79" s="73"/>
      <c r="F79" s="459"/>
      <c r="G79" s="73"/>
      <c r="H79" s="498"/>
      <c r="I79" s="73"/>
      <c r="J79" s="73"/>
      <c r="K79" s="73"/>
      <c r="L79" s="73"/>
      <c r="M79" s="73"/>
      <c r="N79" s="459"/>
      <c r="O79" s="73"/>
      <c r="P79" s="498"/>
      <c r="Q79" s="73"/>
      <c r="R79" s="73"/>
      <c r="S79" s="73"/>
      <c r="T79" s="499"/>
      <c r="U79" s="74"/>
    </row>
    <row r="80" spans="1:21" x14ac:dyDescent="0.25">
      <c r="B80" s="56" t="str">
        <f t="shared" si="46"/>
        <v>Gólyahír Bőlcsőde</v>
      </c>
      <c r="C80" s="498"/>
      <c r="D80" s="73"/>
      <c r="E80" s="73"/>
      <c r="F80" s="459"/>
      <c r="G80" s="73"/>
      <c r="H80" s="498"/>
      <c r="I80" s="73"/>
      <c r="J80" s="73"/>
      <c r="K80" s="73"/>
      <c r="L80" s="73"/>
      <c r="M80" s="73"/>
      <c r="N80" s="459"/>
      <c r="O80" s="73"/>
      <c r="P80" s="498"/>
      <c r="Q80" s="73"/>
      <c r="R80" s="73"/>
      <c r="S80" s="73"/>
      <c r="T80" s="499"/>
      <c r="U80" s="74"/>
    </row>
    <row r="81" spans="1:21" x14ac:dyDescent="0.25">
      <c r="B81" s="56" t="str">
        <f t="shared" si="46"/>
        <v>Polgármesteri Hivatal</v>
      </c>
      <c r="C81" s="498"/>
      <c r="D81" s="73"/>
      <c r="E81" s="73"/>
      <c r="F81" s="459"/>
      <c r="G81" s="73"/>
      <c r="H81" s="498"/>
      <c r="I81" s="73"/>
      <c r="J81" s="73"/>
      <c r="K81" s="73"/>
      <c r="L81" s="73"/>
      <c r="M81" s="73"/>
      <c r="N81" s="459"/>
      <c r="O81" s="73"/>
      <c r="P81" s="498"/>
      <c r="Q81" s="73"/>
      <c r="R81" s="73"/>
      <c r="S81" s="73"/>
      <c r="T81" s="499"/>
      <c r="U81" s="74"/>
    </row>
    <row r="82" spans="1:21" x14ac:dyDescent="0.25">
      <c r="B82" s="56" t="str">
        <f t="shared" si="46"/>
        <v>Wass Albert Művelődési Központ és Könyvtár</v>
      </c>
      <c r="C82" s="498"/>
      <c r="D82" s="73"/>
      <c r="E82" s="73"/>
      <c r="F82" s="459"/>
      <c r="G82" s="73"/>
      <c r="H82" s="498"/>
      <c r="I82" s="73"/>
      <c r="J82" s="73"/>
      <c r="K82" s="73"/>
      <c r="L82" s="73"/>
      <c r="M82" s="73"/>
      <c r="N82" s="459"/>
      <c r="O82" s="73"/>
      <c r="P82" s="498"/>
      <c r="Q82" s="73"/>
      <c r="R82" s="73"/>
      <c r="S82" s="73"/>
      <c r="T82" s="499"/>
      <c r="U82" s="74"/>
    </row>
    <row r="83" spans="1:21" x14ac:dyDescent="0.25">
      <c r="B83" s="56" t="str">
        <f t="shared" si="46"/>
        <v>Központi Konyha</v>
      </c>
      <c r="C83" s="498"/>
      <c r="D83" s="73"/>
      <c r="E83" s="73"/>
      <c r="F83" s="459"/>
      <c r="G83" s="73"/>
      <c r="H83" s="498"/>
      <c r="I83" s="73"/>
      <c r="J83" s="73"/>
      <c r="K83" s="73"/>
      <c r="L83" s="73"/>
      <c r="M83" s="73"/>
      <c r="N83" s="459"/>
      <c r="O83" s="73"/>
      <c r="P83" s="498"/>
      <c r="Q83" s="73"/>
      <c r="R83" s="73"/>
      <c r="S83" s="73"/>
      <c r="T83" s="499"/>
      <c r="U83" s="74"/>
    </row>
    <row r="84" spans="1:21" ht="8.1" customHeight="1" x14ac:dyDescent="0.25">
      <c r="B84" s="383" t="s">
        <v>443</v>
      </c>
      <c r="C84" s="500"/>
      <c r="D84" s="382"/>
      <c r="E84" s="382"/>
      <c r="F84" s="511"/>
      <c r="G84" s="382"/>
      <c r="H84" s="500"/>
      <c r="I84" s="382"/>
      <c r="J84" s="382"/>
      <c r="K84" s="382"/>
      <c r="L84" s="382"/>
      <c r="M84" s="382"/>
      <c r="N84" s="511"/>
      <c r="O84" s="382"/>
      <c r="P84" s="500"/>
      <c r="Q84" s="382"/>
      <c r="R84" s="382"/>
      <c r="S84" s="382"/>
      <c r="T84" s="499"/>
      <c r="U84" s="74"/>
    </row>
    <row r="85" spans="1:21" x14ac:dyDescent="0.25">
      <c r="A85" s="384" t="str">
        <f>+A76</f>
        <v>K5</v>
      </c>
      <c r="B85" s="364" t="s">
        <v>437</v>
      </c>
      <c r="C85" s="501">
        <f>SUM(C77:C84)</f>
        <v>151426315</v>
      </c>
      <c r="D85" s="365">
        <f t="shared" ref="D85:F85" si="47">SUM(D77:D84)</f>
        <v>221879015</v>
      </c>
      <c r="E85" s="365">
        <f t="shared" si="47"/>
        <v>225231315</v>
      </c>
      <c r="F85" s="512">
        <f t="shared" si="47"/>
        <v>0</v>
      </c>
      <c r="G85" s="365"/>
      <c r="H85" s="501">
        <f>SUM(H77:H84)</f>
        <v>91594087</v>
      </c>
      <c r="I85" s="365">
        <f t="shared" ref="I85:J85" si="48">SUM(I77:I84)</f>
        <v>153439419</v>
      </c>
      <c r="J85" s="365">
        <f t="shared" si="48"/>
        <v>0</v>
      </c>
      <c r="K85" s="365"/>
      <c r="L85" s="365"/>
      <c r="M85" s="365"/>
      <c r="N85" s="512"/>
      <c r="O85" s="365"/>
      <c r="P85" s="501">
        <f>SUM(P77:P84)</f>
        <v>70452700</v>
      </c>
      <c r="Q85" s="365">
        <f t="shared" ref="Q85:S85" si="49">SUM(Q77:Q84)</f>
        <v>3352300</v>
      </c>
      <c r="R85" s="365">
        <f t="shared" si="49"/>
        <v>0</v>
      </c>
      <c r="S85" s="365">
        <f t="shared" si="49"/>
        <v>73805000</v>
      </c>
      <c r="T85" s="499"/>
      <c r="U85" s="74"/>
    </row>
    <row r="86" spans="1:21" x14ac:dyDescent="0.25">
      <c r="C86" s="502"/>
      <c r="F86" s="457"/>
      <c r="H86" s="502"/>
      <c r="N86" s="499"/>
      <c r="P86" s="502"/>
      <c r="T86" s="499"/>
    </row>
    <row r="87" spans="1:21" x14ac:dyDescent="0.25">
      <c r="C87" s="502"/>
      <c r="F87" s="457"/>
      <c r="H87" s="502"/>
      <c r="N87" s="499"/>
      <c r="P87" s="502"/>
      <c r="T87" s="499"/>
    </row>
    <row r="88" spans="1:21" x14ac:dyDescent="0.25">
      <c r="A88" s="320" t="s">
        <v>158</v>
      </c>
      <c r="B88" s="320" t="str">
        <f>+'3. Önk. Kiadások'!B120</f>
        <v>Beruházások</v>
      </c>
      <c r="C88" s="498"/>
      <c r="D88" s="74"/>
      <c r="E88" s="74"/>
      <c r="F88" s="524"/>
      <c r="G88" s="74"/>
      <c r="H88" s="498"/>
      <c r="K88" s="74"/>
      <c r="L88" s="87"/>
      <c r="M88" s="87"/>
      <c r="N88" s="499"/>
      <c r="O88" s="74"/>
      <c r="P88" s="498"/>
      <c r="Q88" s="73"/>
      <c r="R88" s="73"/>
      <c r="S88" s="73"/>
      <c r="T88" s="499"/>
      <c r="U88" s="74"/>
    </row>
    <row r="89" spans="1:21" x14ac:dyDescent="0.25">
      <c r="B89" s="56" t="str">
        <f t="shared" ref="B89:B95" si="50">+B77</f>
        <v>Sülysáp Város Önkormányzata</v>
      </c>
      <c r="C89" s="498">
        <f>+'3. Önk. Kiadások'!C120</f>
        <v>49230500</v>
      </c>
      <c r="D89" s="73">
        <f>+'3. Önk. Kiadások'!D120</f>
        <v>37731000</v>
      </c>
      <c r="E89" s="73">
        <f>+'3. Önk. Kiadások'!E120</f>
        <v>58830500</v>
      </c>
      <c r="F89" s="459">
        <f>+'3. Önk. Kiadások'!F120</f>
        <v>0</v>
      </c>
      <c r="G89" s="74"/>
      <c r="H89" s="498">
        <f>+'3. Önk. Kiadások'!H120</f>
        <v>5033909</v>
      </c>
      <c r="I89" s="73">
        <f>+'3. Önk. Kiadások'!I120</f>
        <v>50216919</v>
      </c>
      <c r="J89" s="73">
        <f>+'3. Önk. Kiadások'!J120</f>
        <v>0</v>
      </c>
      <c r="K89" s="74"/>
      <c r="L89" s="87"/>
      <c r="M89" s="87"/>
      <c r="N89" s="499"/>
      <c r="O89" s="74"/>
      <c r="P89" s="498">
        <f>+'3. Önk. Kiadások'!P120</f>
        <v>-11499500</v>
      </c>
      <c r="Q89" s="73">
        <f>+'3. Önk. Kiadások'!Q120</f>
        <v>21099500</v>
      </c>
      <c r="R89" s="73">
        <f>+'3. Önk. Kiadások'!R120</f>
        <v>0</v>
      </c>
      <c r="S89" s="73">
        <f>+'3. Önk. Kiadások'!S120</f>
        <v>9600000</v>
      </c>
      <c r="T89" s="499"/>
      <c r="U89" s="74"/>
    </row>
    <row r="90" spans="1:21" x14ac:dyDescent="0.25">
      <c r="A90" s="56"/>
      <c r="B90" s="56" t="str">
        <f t="shared" si="50"/>
        <v>Gondozási Központ</v>
      </c>
      <c r="C90" s="498">
        <f>+'8. Dr Gáspár HSZK'!C83</f>
        <v>4650000</v>
      </c>
      <c r="D90" s="73">
        <f>+'8. Dr Gáspár HSZK'!D83</f>
        <v>4650000</v>
      </c>
      <c r="E90" s="73">
        <f>+'8. Dr Gáspár HSZK'!E83</f>
        <v>4650000</v>
      </c>
      <c r="F90" s="459">
        <f>+'8. Dr Gáspár HSZK'!F83</f>
        <v>0</v>
      </c>
      <c r="G90" s="73"/>
      <c r="H90" s="498">
        <f>+'8. Dr Gáspár HSZK'!H83</f>
        <v>1004214</v>
      </c>
      <c r="I90" s="73">
        <f>+'8. Dr Gáspár HSZK'!I83</f>
        <v>3704214</v>
      </c>
      <c r="J90" s="73">
        <f>+'8. Dr Gáspár HSZK'!J83</f>
        <v>0</v>
      </c>
      <c r="K90" s="73"/>
      <c r="L90" s="73"/>
      <c r="M90" s="73"/>
      <c r="N90" s="459"/>
      <c r="O90" s="73"/>
      <c r="P90" s="498">
        <f>+'8. Dr Gáspár HSZK'!P83</f>
        <v>0</v>
      </c>
      <c r="Q90" s="73">
        <f>+'8. Dr Gáspár HSZK'!Q83</f>
        <v>0</v>
      </c>
      <c r="R90" s="73">
        <f>+'8. Dr Gáspár HSZK'!R83</f>
        <v>0</v>
      </c>
      <c r="S90" s="73">
        <f>+'8. Dr Gáspár HSZK'!S83</f>
        <v>0</v>
      </c>
      <c r="T90" s="499"/>
      <c r="U90" s="74"/>
    </row>
    <row r="91" spans="1:21" x14ac:dyDescent="0.25">
      <c r="B91" s="56" t="str">
        <f t="shared" si="50"/>
        <v>Csicsergő Napköziotthonos Óvoda</v>
      </c>
      <c r="C91" s="498">
        <f>+'6. Csicsergő'!C84</f>
        <v>3150000</v>
      </c>
      <c r="D91" s="73">
        <f>+'6. Csicsergő'!D84</f>
        <v>3150000</v>
      </c>
      <c r="E91" s="73">
        <f>+'6. Csicsergő'!E84</f>
        <v>3150000</v>
      </c>
      <c r="F91" s="459">
        <f>+'6. Csicsergő'!F84</f>
        <v>0</v>
      </c>
      <c r="G91" s="73"/>
      <c r="H91" s="498">
        <f>+'6. Csicsergő'!H84</f>
        <v>2648999</v>
      </c>
      <c r="I91" s="73">
        <f>+'6. Csicsergő'!I84</f>
        <v>2648999</v>
      </c>
      <c r="J91" s="73">
        <f>+'6. Csicsergő'!J84</f>
        <v>0</v>
      </c>
      <c r="K91" s="73"/>
      <c r="L91" s="73"/>
      <c r="M91" s="73"/>
      <c r="N91" s="459"/>
      <c r="O91" s="73"/>
      <c r="P91" s="498">
        <f>+'6. Csicsergő'!P84</f>
        <v>0</v>
      </c>
      <c r="Q91" s="73">
        <f>+'6. Csicsergő'!Q84</f>
        <v>0</v>
      </c>
      <c r="R91" s="73">
        <f>+'6. Csicsergő'!R84</f>
        <v>0</v>
      </c>
      <c r="S91" s="73">
        <f>+'6. Csicsergő'!S84</f>
        <v>0</v>
      </c>
      <c r="T91" s="499"/>
      <c r="U91" s="74"/>
    </row>
    <row r="92" spans="1:21" x14ac:dyDescent="0.25">
      <c r="B92" s="56" t="str">
        <f t="shared" si="50"/>
        <v>Gólyahír Bőlcsőde</v>
      </c>
      <c r="C92" s="498">
        <f>+'5. Gólyahír'!C83</f>
        <v>650000</v>
      </c>
      <c r="D92" s="73">
        <f>+'5. Gólyahír'!D83</f>
        <v>1062000</v>
      </c>
      <c r="E92" s="73">
        <f>+'5. Gólyahír'!E83</f>
        <v>1062000</v>
      </c>
      <c r="F92" s="459">
        <f>+'5. Gólyahír'!F83</f>
        <v>0</v>
      </c>
      <c r="G92" s="73"/>
      <c r="H92" s="498">
        <f>+'5. Gólyahír'!H83</f>
        <v>664685</v>
      </c>
      <c r="I92" s="73">
        <f>+'5. Gólyahír'!I83</f>
        <v>1060925</v>
      </c>
      <c r="J92" s="73">
        <f>+'5. Gólyahír'!J83</f>
        <v>0</v>
      </c>
      <c r="K92" s="73"/>
      <c r="L92" s="73"/>
      <c r="M92" s="73"/>
      <c r="N92" s="459"/>
      <c r="O92" s="73"/>
      <c r="P92" s="498">
        <f>+'5. Gólyahír'!P83</f>
        <v>412000</v>
      </c>
      <c r="Q92" s="73">
        <f>+'5. Gólyahír'!Q83</f>
        <v>0</v>
      </c>
      <c r="R92" s="73">
        <f>+'5. Gólyahír'!R83</f>
        <v>0</v>
      </c>
      <c r="S92" s="73">
        <f>+'5. Gólyahír'!S83</f>
        <v>412000</v>
      </c>
      <c r="T92" s="499"/>
      <c r="U92" s="74"/>
    </row>
    <row r="93" spans="1:21" x14ac:dyDescent="0.25">
      <c r="B93" s="326" t="str">
        <f t="shared" si="50"/>
        <v>Polgármesteri Hivatal</v>
      </c>
      <c r="C93" s="498">
        <f>+'4. Polg.Hiv.'!C83</f>
        <v>2000000</v>
      </c>
      <c r="D93" s="73">
        <f>+'4. Polg.Hiv.'!D83</f>
        <v>2000000</v>
      </c>
      <c r="E93" s="73">
        <f>+'4. Polg.Hiv.'!E83</f>
        <v>2000000</v>
      </c>
      <c r="F93" s="459">
        <f>+'4. Polg.Hiv.'!F83</f>
        <v>0</v>
      </c>
      <c r="G93" s="73"/>
      <c r="H93" s="498">
        <f>+'4. Polg.Hiv.'!H83</f>
        <v>1611855</v>
      </c>
      <c r="I93" s="73">
        <f>+'4. Polg.Hiv.'!I83</f>
        <v>1611855</v>
      </c>
      <c r="J93" s="73">
        <f>+'4. Polg.Hiv.'!J83</f>
        <v>0</v>
      </c>
      <c r="K93" s="73"/>
      <c r="L93" s="73"/>
      <c r="M93" s="73"/>
      <c r="N93" s="459"/>
      <c r="O93" s="73"/>
      <c r="P93" s="498">
        <f>+'4. Polg.Hiv.'!P83</f>
        <v>0</v>
      </c>
      <c r="Q93" s="73">
        <f>+'4. Polg.Hiv.'!Q83</f>
        <v>0</v>
      </c>
      <c r="R93" s="73">
        <f>+'4. Polg.Hiv.'!R83</f>
        <v>0</v>
      </c>
      <c r="S93" s="73">
        <f>+'4. Polg.Hiv.'!S83</f>
        <v>0</v>
      </c>
      <c r="T93" s="499"/>
      <c r="U93" s="74"/>
    </row>
    <row r="94" spans="1:21" x14ac:dyDescent="0.25">
      <c r="B94" s="56" t="str">
        <f t="shared" si="50"/>
        <v>Wass Albert Művelődési Központ és Könyvtár</v>
      </c>
      <c r="C94" s="498">
        <f>+'7. WAMKK'!C83</f>
        <v>10600000</v>
      </c>
      <c r="D94" s="73">
        <f>+'7. WAMKK'!D83</f>
        <v>11200445</v>
      </c>
      <c r="E94" s="73">
        <f>+'7. WAMKK'!E83</f>
        <v>1942445</v>
      </c>
      <c r="F94" s="459">
        <f>+'7. WAMKK'!F83</f>
        <v>0</v>
      </c>
      <c r="G94" s="73"/>
      <c r="H94" s="498">
        <f>+'7. WAMKK'!H83</f>
        <v>724177</v>
      </c>
      <c r="I94" s="73">
        <f>+'7. WAMKK'!I83</f>
        <v>1699567</v>
      </c>
      <c r="J94" s="73">
        <f>+'7. WAMKK'!J83</f>
        <v>0</v>
      </c>
      <c r="K94" s="73"/>
      <c r="L94" s="73"/>
      <c r="M94" s="73"/>
      <c r="N94" s="459"/>
      <c r="O94" s="73"/>
      <c r="P94" s="498">
        <f>+'7. WAMKK'!P83</f>
        <v>600445</v>
      </c>
      <c r="Q94" s="73">
        <f>+'7. WAMKK'!Q83</f>
        <v>-9258000</v>
      </c>
      <c r="R94" s="73">
        <f>+'7. WAMKK'!R83</f>
        <v>0</v>
      </c>
      <c r="S94" s="73">
        <f>+'7. WAMKK'!S83</f>
        <v>-8657555</v>
      </c>
      <c r="T94" s="499"/>
      <c r="U94" s="74"/>
    </row>
    <row r="95" spans="1:21" x14ac:dyDescent="0.25">
      <c r="B95" s="56" t="str">
        <f t="shared" si="50"/>
        <v>Központi Konyha</v>
      </c>
      <c r="C95" s="498">
        <f>+'9. Közp. Konyha'!C83</f>
        <v>0</v>
      </c>
      <c r="D95" s="73">
        <f>+'9. Közp. Konyha'!D83</f>
        <v>0</v>
      </c>
      <c r="E95" s="73">
        <f>+'9. Közp. Konyha'!E83</f>
        <v>477234</v>
      </c>
      <c r="F95" s="459">
        <f>+'9. Közp. Konyha'!F83</f>
        <v>0</v>
      </c>
      <c r="G95" s="73"/>
      <c r="H95" s="498">
        <f>+'9. Közp. Konyha'!H83</f>
        <v>0</v>
      </c>
      <c r="I95" s="73">
        <f>+'9. Közp. Konyha'!I83</f>
        <v>477234</v>
      </c>
      <c r="J95" s="73">
        <f>+'9. Közp. Konyha'!J83</f>
        <v>0</v>
      </c>
      <c r="K95" s="73"/>
      <c r="L95" s="73"/>
      <c r="M95" s="73"/>
      <c r="N95" s="459"/>
      <c r="O95" s="73"/>
      <c r="P95" s="498">
        <f>+'9. Közp. Konyha'!P83</f>
        <v>0</v>
      </c>
      <c r="Q95" s="73">
        <f>+'9. Közp. Konyha'!Q83</f>
        <v>477234</v>
      </c>
      <c r="R95" s="73">
        <f>+'9. Közp. Konyha'!R83</f>
        <v>0</v>
      </c>
      <c r="S95" s="73">
        <f>+'9. Közp. Konyha'!S83</f>
        <v>477234</v>
      </c>
      <c r="T95" s="499"/>
      <c r="U95" s="74"/>
    </row>
    <row r="96" spans="1:21" ht="8.1" customHeight="1" x14ac:dyDescent="0.25">
      <c r="B96" s="383" t="s">
        <v>443</v>
      </c>
      <c r="C96" s="500"/>
      <c r="D96" s="382"/>
      <c r="E96" s="382"/>
      <c r="F96" s="511"/>
      <c r="G96" s="382"/>
      <c r="H96" s="500"/>
      <c r="I96" s="382"/>
      <c r="J96" s="382"/>
      <c r="K96" s="382"/>
      <c r="L96" s="382"/>
      <c r="M96" s="382"/>
      <c r="N96" s="511"/>
      <c r="O96" s="382"/>
      <c r="P96" s="500"/>
      <c r="Q96" s="382"/>
      <c r="R96" s="382"/>
      <c r="S96" s="382"/>
      <c r="T96" s="499"/>
      <c r="U96" s="74"/>
    </row>
    <row r="97" spans="1:21" x14ac:dyDescent="0.25">
      <c r="A97" s="384" t="str">
        <f>+A88</f>
        <v>K6</v>
      </c>
      <c r="B97" s="364" t="s">
        <v>437</v>
      </c>
      <c r="C97" s="501">
        <f>SUM(C89:C96)</f>
        <v>70280500</v>
      </c>
      <c r="D97" s="365">
        <f t="shared" ref="D97:F97" si="51">SUM(D89:D96)</f>
        <v>59793445</v>
      </c>
      <c r="E97" s="365">
        <f t="shared" si="51"/>
        <v>72112179</v>
      </c>
      <c r="F97" s="512">
        <f t="shared" si="51"/>
        <v>0</v>
      </c>
      <c r="G97" s="365"/>
      <c r="H97" s="501">
        <f>SUM(H89:H96)</f>
        <v>11687839</v>
      </c>
      <c r="I97" s="365">
        <f t="shared" ref="I97:J97" si="52">SUM(I89:I96)</f>
        <v>61419713</v>
      </c>
      <c r="J97" s="365">
        <f t="shared" si="52"/>
        <v>0</v>
      </c>
      <c r="K97" s="365"/>
      <c r="L97" s="365"/>
      <c r="M97" s="365"/>
      <c r="N97" s="512"/>
      <c r="O97" s="365"/>
      <c r="P97" s="501">
        <f>SUM(P89:P96)</f>
        <v>-10487055</v>
      </c>
      <c r="Q97" s="365">
        <f t="shared" ref="Q97:S97" si="53">SUM(Q89:Q96)</f>
        <v>12318734</v>
      </c>
      <c r="R97" s="365">
        <f t="shared" si="53"/>
        <v>0</v>
      </c>
      <c r="S97" s="365">
        <f t="shared" si="53"/>
        <v>1831679</v>
      </c>
      <c r="T97" s="499"/>
      <c r="U97" s="74"/>
    </row>
    <row r="98" spans="1:21" x14ac:dyDescent="0.25">
      <c r="C98" s="502"/>
      <c r="F98" s="457"/>
      <c r="H98" s="502"/>
      <c r="N98" s="499"/>
      <c r="P98" s="502"/>
      <c r="T98" s="499"/>
    </row>
    <row r="99" spans="1:21" x14ac:dyDescent="0.25">
      <c r="C99" s="502"/>
      <c r="F99" s="457"/>
      <c r="H99" s="502"/>
      <c r="N99" s="499"/>
      <c r="P99" s="502"/>
      <c r="T99" s="499"/>
    </row>
    <row r="100" spans="1:21" x14ac:dyDescent="0.25">
      <c r="A100" s="320" t="s">
        <v>173</v>
      </c>
      <c r="B100" s="320" t="str">
        <f>+'3. Önk. Kiadások'!B129</f>
        <v>Felújítások</v>
      </c>
      <c r="C100" s="498"/>
      <c r="D100" s="74"/>
      <c r="E100" s="74"/>
      <c r="F100" s="524"/>
      <c r="G100" s="74"/>
      <c r="H100" s="498"/>
      <c r="K100" s="74"/>
      <c r="L100" s="87"/>
      <c r="M100" s="87"/>
      <c r="N100" s="499"/>
      <c r="O100" s="74"/>
      <c r="P100" s="498"/>
      <c r="Q100" s="73"/>
      <c r="R100" s="73"/>
      <c r="S100" s="73"/>
      <c r="T100" s="499"/>
      <c r="U100" s="74"/>
    </row>
    <row r="101" spans="1:21" x14ac:dyDescent="0.25">
      <c r="B101" s="56" t="str">
        <f t="shared" ref="B101:B107" si="54">+B89</f>
        <v>Sülysáp Város Önkormányzata</v>
      </c>
      <c r="C101" s="498">
        <f>+'3. Önk. Kiadások'!C129</f>
        <v>83452445</v>
      </c>
      <c r="D101" s="73">
        <f>+'3. Önk. Kiadások'!D129</f>
        <v>83452445</v>
      </c>
      <c r="E101" s="73">
        <f>+'3. Önk. Kiadások'!E129</f>
        <v>83452445</v>
      </c>
      <c r="F101" s="459">
        <f>+'3. Önk. Kiadások'!F129</f>
        <v>0</v>
      </c>
      <c r="G101" s="74"/>
      <c r="H101" s="498">
        <f>+'3. Önk. Kiadások'!H129</f>
        <v>32771553</v>
      </c>
      <c r="I101" s="73">
        <f>+'3. Önk. Kiadások'!I129</f>
        <v>35385584</v>
      </c>
      <c r="J101" s="73">
        <f>+'3. Önk. Kiadások'!J129</f>
        <v>0</v>
      </c>
      <c r="K101" s="74"/>
      <c r="L101" s="87"/>
      <c r="M101" s="87"/>
      <c r="N101" s="499"/>
      <c r="O101" s="74"/>
      <c r="P101" s="498">
        <f>+'3. Önk. Kiadások'!P129</f>
        <v>0</v>
      </c>
      <c r="Q101" s="73">
        <f>+'3. Önk. Kiadások'!Q129</f>
        <v>0</v>
      </c>
      <c r="R101" s="73">
        <f>+'3. Önk. Kiadások'!R129</f>
        <v>0</v>
      </c>
      <c r="S101" s="73">
        <f>+'3. Önk. Kiadások'!S129</f>
        <v>0</v>
      </c>
      <c r="T101" s="499"/>
      <c r="U101" s="74"/>
    </row>
    <row r="102" spans="1:21" x14ac:dyDescent="0.25">
      <c r="A102" s="56"/>
      <c r="B102" s="56" t="str">
        <f t="shared" si="54"/>
        <v>Gondozási Központ</v>
      </c>
      <c r="C102" s="498">
        <f>+'8. Dr Gáspár HSZK'!C86</f>
        <v>0</v>
      </c>
      <c r="D102" s="73">
        <f>+'8. Dr Gáspár HSZK'!D86</f>
        <v>0</v>
      </c>
      <c r="E102" s="73">
        <f>+'8. Dr Gáspár HSZK'!E86</f>
        <v>0</v>
      </c>
      <c r="F102" s="459">
        <f>+'8. Dr Gáspár HSZK'!F86</f>
        <v>0</v>
      </c>
      <c r="G102" s="73"/>
      <c r="H102" s="498">
        <f>+'8. Dr Gáspár HSZK'!H86</f>
        <v>0</v>
      </c>
      <c r="I102" s="73">
        <f>+'8. Dr Gáspár HSZK'!I86</f>
        <v>0</v>
      </c>
      <c r="J102" s="73">
        <f>+'8. Dr Gáspár HSZK'!J86</f>
        <v>0</v>
      </c>
      <c r="K102" s="73"/>
      <c r="L102" s="73"/>
      <c r="M102" s="73"/>
      <c r="N102" s="459"/>
      <c r="O102" s="73"/>
      <c r="P102" s="498">
        <f>+'8. Dr Gáspár HSZK'!P86</f>
        <v>0</v>
      </c>
      <c r="Q102" s="73">
        <f>+'8. Dr Gáspár HSZK'!Q86</f>
        <v>0</v>
      </c>
      <c r="R102" s="73">
        <f>+'8. Dr Gáspár HSZK'!R86</f>
        <v>0</v>
      </c>
      <c r="S102" s="73">
        <f>+'8. Dr Gáspár HSZK'!S86</f>
        <v>0</v>
      </c>
      <c r="T102" s="499"/>
      <c r="U102" s="74"/>
    </row>
    <row r="103" spans="1:21" x14ac:dyDescent="0.25">
      <c r="B103" s="56" t="str">
        <f t="shared" si="54"/>
        <v>Csicsergő Napköziotthonos Óvoda</v>
      </c>
      <c r="C103" s="498">
        <f>+'6. Csicsergő'!C87</f>
        <v>0</v>
      </c>
      <c r="D103" s="73">
        <f>+'6. Csicsergő'!D87</f>
        <v>0</v>
      </c>
      <c r="E103" s="73">
        <f>+'6. Csicsergő'!E87</f>
        <v>0</v>
      </c>
      <c r="F103" s="459">
        <f>+'6. Csicsergő'!F87</f>
        <v>0</v>
      </c>
      <c r="G103" s="73"/>
      <c r="H103" s="498">
        <f>+'6. Csicsergő'!H87</f>
        <v>0</v>
      </c>
      <c r="I103" s="73">
        <f>+'6. Csicsergő'!I87</f>
        <v>0</v>
      </c>
      <c r="J103" s="73">
        <f>+'6. Csicsergő'!J87</f>
        <v>0</v>
      </c>
      <c r="K103" s="73"/>
      <c r="L103" s="73"/>
      <c r="M103" s="73"/>
      <c r="N103" s="459"/>
      <c r="O103" s="73"/>
      <c r="P103" s="498">
        <f>+'6. Csicsergő'!P87</f>
        <v>0</v>
      </c>
      <c r="Q103" s="73">
        <f>+'6. Csicsergő'!Q87</f>
        <v>0</v>
      </c>
      <c r="R103" s="73">
        <f>+'6. Csicsergő'!R87</f>
        <v>0</v>
      </c>
      <c r="S103" s="73">
        <f>+'6. Csicsergő'!S87</f>
        <v>0</v>
      </c>
      <c r="T103" s="499"/>
      <c r="U103" s="74"/>
    </row>
    <row r="104" spans="1:21" x14ac:dyDescent="0.25">
      <c r="B104" s="56" t="str">
        <f t="shared" si="54"/>
        <v>Gólyahír Bőlcsőde</v>
      </c>
      <c r="C104" s="498">
        <f>+'5. Gólyahír'!C86</f>
        <v>0</v>
      </c>
      <c r="D104" s="73">
        <f>+'5. Gólyahír'!D86</f>
        <v>0</v>
      </c>
      <c r="E104" s="73">
        <f>+'5. Gólyahír'!E86</f>
        <v>0</v>
      </c>
      <c r="F104" s="459">
        <f>+'5. Gólyahír'!F86</f>
        <v>0</v>
      </c>
      <c r="G104" s="73"/>
      <c r="H104" s="498">
        <f>+'5. Gólyahír'!H86</f>
        <v>0</v>
      </c>
      <c r="I104" s="73">
        <f>+'5. Gólyahír'!I86</f>
        <v>0</v>
      </c>
      <c r="J104" s="73">
        <f>+'5. Gólyahír'!J86</f>
        <v>0</v>
      </c>
      <c r="K104" s="73"/>
      <c r="L104" s="73"/>
      <c r="M104" s="73"/>
      <c r="N104" s="459"/>
      <c r="O104" s="73"/>
      <c r="P104" s="498">
        <f>+'5. Gólyahír'!P86</f>
        <v>0</v>
      </c>
      <c r="Q104" s="73">
        <f>+'5. Gólyahír'!Q86</f>
        <v>0</v>
      </c>
      <c r="R104" s="73">
        <f>+'5. Gólyahír'!R86</f>
        <v>0</v>
      </c>
      <c r="S104" s="73">
        <f>+'5. Gólyahír'!S86</f>
        <v>0</v>
      </c>
      <c r="T104" s="499"/>
      <c r="U104" s="74"/>
    </row>
    <row r="105" spans="1:21" x14ac:dyDescent="0.25">
      <c r="B105" s="56" t="str">
        <f t="shared" si="54"/>
        <v>Polgármesteri Hivatal</v>
      </c>
      <c r="C105" s="498">
        <f>+'4. Polg.Hiv.'!C86</f>
        <v>0</v>
      </c>
      <c r="D105" s="73">
        <f>+'4. Polg.Hiv.'!D86</f>
        <v>0</v>
      </c>
      <c r="E105" s="73">
        <f>+'4. Polg.Hiv.'!E86</f>
        <v>0</v>
      </c>
      <c r="F105" s="459">
        <f>+'4. Polg.Hiv.'!F86</f>
        <v>0</v>
      </c>
      <c r="G105" s="73"/>
      <c r="H105" s="498">
        <f>+'4. Polg.Hiv.'!H86</f>
        <v>0</v>
      </c>
      <c r="I105" s="73">
        <f>+'4. Polg.Hiv.'!I86</f>
        <v>0</v>
      </c>
      <c r="J105" s="73">
        <f>+'4. Polg.Hiv.'!J86</f>
        <v>0</v>
      </c>
      <c r="K105" s="73"/>
      <c r="L105" s="73"/>
      <c r="M105" s="73"/>
      <c r="N105" s="459"/>
      <c r="O105" s="73"/>
      <c r="P105" s="498">
        <f>+'4. Polg.Hiv.'!P86</f>
        <v>0</v>
      </c>
      <c r="Q105" s="73">
        <f>+'4. Polg.Hiv.'!Q86</f>
        <v>0</v>
      </c>
      <c r="R105" s="73">
        <f>+'4. Polg.Hiv.'!R86</f>
        <v>0</v>
      </c>
      <c r="S105" s="73">
        <f>+'4. Polg.Hiv.'!S86</f>
        <v>0</v>
      </c>
      <c r="T105" s="499"/>
      <c r="U105" s="74"/>
    </row>
    <row r="106" spans="1:21" x14ac:dyDescent="0.25">
      <c r="B106" s="56" t="str">
        <f t="shared" si="54"/>
        <v>Wass Albert Művelődési Központ és Könyvtár</v>
      </c>
      <c r="C106" s="498">
        <f>+'7. WAMKK'!C86</f>
        <v>0</v>
      </c>
      <c r="D106" s="73">
        <f>+'7. WAMKK'!D86</f>
        <v>0</v>
      </c>
      <c r="E106" s="73">
        <f>+'7. WAMKK'!E86</f>
        <v>0</v>
      </c>
      <c r="F106" s="459">
        <f>+'7. WAMKK'!F86</f>
        <v>0</v>
      </c>
      <c r="G106" s="73"/>
      <c r="H106" s="498">
        <f>+'7. WAMKK'!H86</f>
        <v>0</v>
      </c>
      <c r="I106" s="73">
        <f>+'7. WAMKK'!I86</f>
        <v>0</v>
      </c>
      <c r="J106" s="73">
        <f>+'7. WAMKK'!J86</f>
        <v>0</v>
      </c>
      <c r="K106" s="73"/>
      <c r="L106" s="73"/>
      <c r="M106" s="73"/>
      <c r="N106" s="459"/>
      <c r="O106" s="73"/>
      <c r="P106" s="498">
        <f>+'7. WAMKK'!P86</f>
        <v>0</v>
      </c>
      <c r="Q106" s="73">
        <f>+'7. WAMKK'!Q86</f>
        <v>0</v>
      </c>
      <c r="R106" s="73">
        <f>+'7. WAMKK'!R86</f>
        <v>0</v>
      </c>
      <c r="S106" s="73">
        <f>+'7. WAMKK'!S86</f>
        <v>0</v>
      </c>
      <c r="T106" s="499"/>
      <c r="U106" s="74"/>
    </row>
    <row r="107" spans="1:21" x14ac:dyDescent="0.25">
      <c r="B107" s="56" t="str">
        <f t="shared" si="54"/>
        <v>Központi Konyha</v>
      </c>
      <c r="C107" s="498">
        <f>+'9. Közp. Konyha'!C86</f>
        <v>0</v>
      </c>
      <c r="D107" s="73">
        <f>+'9. Közp. Konyha'!D86</f>
        <v>0</v>
      </c>
      <c r="E107" s="73">
        <f>+'9. Közp. Konyha'!E86</f>
        <v>0</v>
      </c>
      <c r="F107" s="459">
        <f>+'9. Közp. Konyha'!F86</f>
        <v>0</v>
      </c>
      <c r="G107" s="73"/>
      <c r="H107" s="498">
        <f>+'9. Közp. Konyha'!H86</f>
        <v>0</v>
      </c>
      <c r="I107" s="73">
        <f>+'9. Közp. Konyha'!I86</f>
        <v>0</v>
      </c>
      <c r="J107" s="73">
        <f>+'9. Közp. Konyha'!J86</f>
        <v>0</v>
      </c>
      <c r="K107" s="73"/>
      <c r="L107" s="73"/>
      <c r="M107" s="73"/>
      <c r="N107" s="459"/>
      <c r="O107" s="73"/>
      <c r="P107" s="498">
        <f>+'9. Közp. Konyha'!P86</f>
        <v>0</v>
      </c>
      <c r="Q107" s="73">
        <f>+'9. Közp. Konyha'!Q86</f>
        <v>0</v>
      </c>
      <c r="R107" s="73">
        <f>+'9. Közp. Konyha'!R86</f>
        <v>0</v>
      </c>
      <c r="S107" s="73">
        <f>+'9. Közp. Konyha'!S86</f>
        <v>0</v>
      </c>
      <c r="T107" s="499"/>
      <c r="U107" s="74"/>
    </row>
    <row r="108" spans="1:21" ht="8.1" customHeight="1" x14ac:dyDescent="0.25">
      <c r="B108" s="383" t="s">
        <v>443</v>
      </c>
      <c r="C108" s="500"/>
      <c r="D108" s="382"/>
      <c r="E108" s="382"/>
      <c r="F108" s="511"/>
      <c r="G108" s="382"/>
      <c r="H108" s="500"/>
      <c r="I108" s="382"/>
      <c r="J108" s="382"/>
      <c r="K108" s="382"/>
      <c r="L108" s="382"/>
      <c r="M108" s="382"/>
      <c r="N108" s="511"/>
      <c r="O108" s="382"/>
      <c r="P108" s="500"/>
      <c r="Q108" s="382"/>
      <c r="R108" s="382"/>
      <c r="S108" s="382"/>
      <c r="T108" s="499"/>
      <c r="U108" s="74"/>
    </row>
    <row r="109" spans="1:21" x14ac:dyDescent="0.25">
      <c r="A109" s="384" t="str">
        <f>+A100</f>
        <v>K7</v>
      </c>
      <c r="B109" s="364" t="s">
        <v>437</v>
      </c>
      <c r="C109" s="501">
        <f>SUM(C101:C108)</f>
        <v>83452445</v>
      </c>
      <c r="D109" s="365">
        <f t="shared" ref="D109:F109" si="55">SUM(D101:D108)</f>
        <v>83452445</v>
      </c>
      <c r="E109" s="365">
        <f t="shared" si="55"/>
        <v>83452445</v>
      </c>
      <c r="F109" s="512">
        <f t="shared" si="55"/>
        <v>0</v>
      </c>
      <c r="G109" s="365"/>
      <c r="H109" s="501">
        <f>SUM(H101:H108)</f>
        <v>32771553</v>
      </c>
      <c r="I109" s="365">
        <f t="shared" ref="I109:J109" si="56">SUM(I101:I108)</f>
        <v>35385584</v>
      </c>
      <c r="J109" s="365">
        <f t="shared" si="56"/>
        <v>0</v>
      </c>
      <c r="K109" s="365"/>
      <c r="L109" s="365"/>
      <c r="M109" s="365"/>
      <c r="N109" s="512"/>
      <c r="O109" s="365"/>
      <c r="P109" s="501">
        <f>SUM(P101:P108)</f>
        <v>0</v>
      </c>
      <c r="Q109" s="365">
        <f t="shared" ref="Q109:S109" si="57">SUM(Q101:Q108)</f>
        <v>0</v>
      </c>
      <c r="R109" s="365">
        <f t="shared" si="57"/>
        <v>0</v>
      </c>
      <c r="S109" s="365">
        <f t="shared" si="57"/>
        <v>0</v>
      </c>
      <c r="T109" s="499"/>
      <c r="U109" s="74"/>
    </row>
    <row r="110" spans="1:21" x14ac:dyDescent="0.25">
      <c r="C110" s="502"/>
      <c r="F110" s="457"/>
      <c r="H110" s="502"/>
      <c r="N110" s="499"/>
      <c r="P110" s="502"/>
      <c r="T110" s="499"/>
    </row>
    <row r="111" spans="1:21" x14ac:dyDescent="0.25">
      <c r="C111" s="502"/>
      <c r="F111" s="457"/>
      <c r="H111" s="502"/>
      <c r="N111" s="499"/>
      <c r="P111" s="502"/>
      <c r="T111" s="499"/>
    </row>
    <row r="112" spans="1:21" x14ac:dyDescent="0.25">
      <c r="A112" s="320" t="s">
        <v>183</v>
      </c>
      <c r="B112" s="320" t="str">
        <f>+'3. Önk. Kiadások'!B135</f>
        <v>Egyéb felhalmozási célú kiadások</v>
      </c>
      <c r="C112" s="498"/>
      <c r="D112" s="74"/>
      <c r="E112" s="74"/>
      <c r="F112" s="524"/>
      <c r="G112" s="74"/>
      <c r="H112" s="498"/>
      <c r="K112" s="74"/>
      <c r="L112" s="87"/>
      <c r="M112" s="87"/>
      <c r="N112" s="499"/>
      <c r="O112" s="74"/>
      <c r="P112" s="498"/>
      <c r="Q112" s="73"/>
      <c r="R112" s="73"/>
      <c r="S112" s="73"/>
      <c r="T112" s="499"/>
      <c r="U112" s="74"/>
    </row>
    <row r="113" spans="1:21" x14ac:dyDescent="0.25">
      <c r="B113" s="56" t="str">
        <f t="shared" ref="B113:B119" si="58">+B101</f>
        <v>Sülysáp Város Önkormányzata</v>
      </c>
      <c r="C113" s="498">
        <f>+'3. Önk. Kiadások'!C135</f>
        <v>0</v>
      </c>
      <c r="D113" s="73">
        <f>+'3. Önk. Kiadások'!D135</f>
        <v>44000</v>
      </c>
      <c r="E113" s="73">
        <f>+'3. Önk. Kiadások'!E135</f>
        <v>190000</v>
      </c>
      <c r="F113" s="459">
        <f>+'3. Önk. Kiadások'!F135</f>
        <v>0</v>
      </c>
      <c r="G113" s="74"/>
      <c r="H113" s="498">
        <f>+'3. Önk. Kiadások'!H135</f>
        <v>43039</v>
      </c>
      <c r="I113" s="73">
        <f>+'3. Önk. Kiadások'!I135</f>
        <v>188702</v>
      </c>
      <c r="J113" s="73">
        <f>+'3. Önk. Kiadások'!J135</f>
        <v>0</v>
      </c>
      <c r="K113" s="74"/>
      <c r="L113" s="87"/>
      <c r="M113" s="87"/>
      <c r="N113" s="499"/>
      <c r="O113" s="74"/>
      <c r="P113" s="498">
        <f>+'3. Önk. Kiadások'!P135</f>
        <v>44000</v>
      </c>
      <c r="Q113" s="73">
        <f>+'3. Önk. Kiadások'!Q135</f>
        <v>146000</v>
      </c>
      <c r="R113" s="73">
        <f>+'3. Önk. Kiadások'!R135</f>
        <v>0</v>
      </c>
      <c r="S113" s="73">
        <f>+'3. Önk. Kiadások'!S135</f>
        <v>190000</v>
      </c>
      <c r="T113" s="499"/>
      <c r="U113" s="74"/>
    </row>
    <row r="114" spans="1:21" x14ac:dyDescent="0.25">
      <c r="A114" s="56"/>
      <c r="B114" s="56" t="str">
        <f t="shared" si="58"/>
        <v>Gondozási Központ</v>
      </c>
      <c r="C114" s="498"/>
      <c r="D114" s="73"/>
      <c r="E114" s="73"/>
      <c r="F114" s="459"/>
      <c r="G114" s="73"/>
      <c r="H114" s="498"/>
      <c r="I114" s="73"/>
      <c r="J114" s="73"/>
      <c r="K114" s="73"/>
      <c r="L114" s="73"/>
      <c r="M114" s="73"/>
      <c r="N114" s="459"/>
      <c r="O114" s="73"/>
      <c r="P114" s="498"/>
      <c r="Q114" s="73"/>
      <c r="R114" s="73"/>
      <c r="S114" s="73"/>
      <c r="T114" s="499"/>
      <c r="U114" s="74"/>
    </row>
    <row r="115" spans="1:21" x14ac:dyDescent="0.25">
      <c r="B115" s="56" t="str">
        <f t="shared" si="58"/>
        <v>Csicsergő Napköziotthonos Óvoda</v>
      </c>
      <c r="C115" s="498"/>
      <c r="D115" s="73"/>
      <c r="E115" s="73"/>
      <c r="F115" s="459"/>
      <c r="G115" s="73"/>
      <c r="H115" s="498"/>
      <c r="I115" s="73"/>
      <c r="J115" s="73"/>
      <c r="K115" s="73"/>
      <c r="L115" s="73"/>
      <c r="M115" s="73"/>
      <c r="N115" s="459"/>
      <c r="O115" s="73"/>
      <c r="P115" s="498"/>
      <c r="Q115" s="73"/>
      <c r="R115" s="73"/>
      <c r="S115" s="73"/>
      <c r="T115" s="499"/>
      <c r="U115" s="74"/>
    </row>
    <row r="116" spans="1:21" x14ac:dyDescent="0.25">
      <c r="B116" s="56" t="str">
        <f t="shared" si="58"/>
        <v>Gólyahír Bőlcsőde</v>
      </c>
      <c r="C116" s="498"/>
      <c r="D116" s="73"/>
      <c r="E116" s="73"/>
      <c r="F116" s="459"/>
      <c r="G116" s="73"/>
      <c r="H116" s="498"/>
      <c r="I116" s="73"/>
      <c r="J116" s="73"/>
      <c r="K116" s="73"/>
      <c r="L116" s="73"/>
      <c r="M116" s="73"/>
      <c r="N116" s="459"/>
      <c r="O116" s="73"/>
      <c r="P116" s="498"/>
      <c r="Q116" s="73"/>
      <c r="R116" s="73"/>
      <c r="S116" s="73"/>
      <c r="T116" s="499"/>
      <c r="U116" s="74"/>
    </row>
    <row r="117" spans="1:21" x14ac:dyDescent="0.25">
      <c r="B117" s="56" t="str">
        <f t="shared" si="58"/>
        <v>Polgármesteri Hivatal</v>
      </c>
      <c r="C117" s="498"/>
      <c r="D117" s="73"/>
      <c r="E117" s="73"/>
      <c r="F117" s="459"/>
      <c r="G117" s="73"/>
      <c r="H117" s="498"/>
      <c r="I117" s="73"/>
      <c r="J117" s="73"/>
      <c r="K117" s="73"/>
      <c r="L117" s="73"/>
      <c r="M117" s="73"/>
      <c r="N117" s="459"/>
      <c r="O117" s="73"/>
      <c r="P117" s="498"/>
      <c r="Q117" s="73"/>
      <c r="R117" s="73"/>
      <c r="S117" s="73"/>
      <c r="T117" s="499"/>
      <c r="U117" s="74"/>
    </row>
    <row r="118" spans="1:21" x14ac:dyDescent="0.25">
      <c r="B118" s="56" t="str">
        <f t="shared" si="58"/>
        <v>Wass Albert Művelődési Központ és Könyvtár</v>
      </c>
      <c r="C118" s="498"/>
      <c r="D118" s="73"/>
      <c r="E118" s="73"/>
      <c r="F118" s="459"/>
      <c r="G118" s="73"/>
      <c r="H118" s="498"/>
      <c r="I118" s="73"/>
      <c r="J118" s="73"/>
      <c r="K118" s="73"/>
      <c r="L118" s="73"/>
      <c r="M118" s="73"/>
      <c r="N118" s="459"/>
      <c r="O118" s="73"/>
      <c r="P118" s="498"/>
      <c r="Q118" s="73"/>
      <c r="R118" s="73"/>
      <c r="S118" s="73"/>
      <c r="T118" s="499"/>
      <c r="U118" s="74"/>
    </row>
    <row r="119" spans="1:21" x14ac:dyDescent="0.25">
      <c r="B119" s="56" t="str">
        <f t="shared" si="58"/>
        <v>Központi Konyha</v>
      </c>
      <c r="C119" s="498"/>
      <c r="D119" s="73"/>
      <c r="E119" s="73"/>
      <c r="F119" s="459"/>
      <c r="G119" s="73"/>
      <c r="H119" s="498"/>
      <c r="I119" s="73"/>
      <c r="J119" s="73"/>
      <c r="K119" s="73"/>
      <c r="L119" s="73"/>
      <c r="M119" s="73"/>
      <c r="N119" s="459"/>
      <c r="O119" s="73"/>
      <c r="P119" s="498"/>
      <c r="Q119" s="73"/>
      <c r="R119" s="73"/>
      <c r="S119" s="73"/>
      <c r="T119" s="499"/>
      <c r="U119" s="74"/>
    </row>
    <row r="120" spans="1:21" ht="8.1" customHeight="1" x14ac:dyDescent="0.25">
      <c r="B120" s="383" t="s">
        <v>443</v>
      </c>
      <c r="C120" s="500"/>
      <c r="D120" s="382"/>
      <c r="E120" s="382"/>
      <c r="F120" s="511"/>
      <c r="G120" s="382"/>
      <c r="H120" s="500"/>
      <c r="I120" s="382"/>
      <c r="J120" s="382"/>
      <c r="K120" s="382"/>
      <c r="L120" s="382"/>
      <c r="M120" s="382"/>
      <c r="N120" s="511"/>
      <c r="O120" s="382"/>
      <c r="P120" s="500"/>
      <c r="Q120" s="382"/>
      <c r="R120" s="382"/>
      <c r="S120" s="382"/>
      <c r="T120" s="499"/>
      <c r="U120" s="74"/>
    </row>
    <row r="121" spans="1:21" x14ac:dyDescent="0.25">
      <c r="A121" s="384" t="str">
        <f>+A112</f>
        <v>K8</v>
      </c>
      <c r="B121" s="364" t="s">
        <v>437</v>
      </c>
      <c r="C121" s="501">
        <f>SUM(C113:C120)</f>
        <v>0</v>
      </c>
      <c r="D121" s="365">
        <f t="shared" ref="D121:F121" si="59">SUM(D113:D120)</f>
        <v>44000</v>
      </c>
      <c r="E121" s="365">
        <f t="shared" si="59"/>
        <v>190000</v>
      </c>
      <c r="F121" s="512">
        <f t="shared" si="59"/>
        <v>0</v>
      </c>
      <c r="G121" s="365"/>
      <c r="H121" s="501">
        <f>SUM(H113:H120)</f>
        <v>43039</v>
      </c>
      <c r="I121" s="365">
        <f t="shared" ref="I121:J121" si="60">SUM(I113:I120)</f>
        <v>188702</v>
      </c>
      <c r="J121" s="365">
        <f t="shared" si="60"/>
        <v>0</v>
      </c>
      <c r="K121" s="365"/>
      <c r="L121" s="365"/>
      <c r="M121" s="365"/>
      <c r="N121" s="512"/>
      <c r="O121" s="365"/>
      <c r="P121" s="501">
        <f>SUM(P113:P120)</f>
        <v>44000</v>
      </c>
      <c r="Q121" s="365">
        <f t="shared" ref="Q121:S121" si="61">SUM(Q113:Q120)</f>
        <v>146000</v>
      </c>
      <c r="R121" s="365">
        <f t="shared" si="61"/>
        <v>0</v>
      </c>
      <c r="S121" s="365">
        <f t="shared" si="61"/>
        <v>190000</v>
      </c>
      <c r="T121" s="499"/>
      <c r="U121" s="74"/>
    </row>
    <row r="122" spans="1:21" x14ac:dyDescent="0.25">
      <c r="C122" s="502"/>
      <c r="F122" s="457"/>
      <c r="H122" s="502"/>
      <c r="N122" s="499"/>
      <c r="P122" s="502"/>
      <c r="T122" s="499"/>
    </row>
    <row r="123" spans="1:21" x14ac:dyDescent="0.25">
      <c r="C123" s="502"/>
      <c r="F123" s="457"/>
      <c r="H123" s="502"/>
      <c r="N123" s="499"/>
      <c r="P123" s="502"/>
      <c r="T123" s="499"/>
    </row>
    <row r="124" spans="1:21" x14ac:dyDescent="0.25">
      <c r="A124" s="320" t="s">
        <v>200</v>
      </c>
      <c r="B124" s="320" t="str">
        <f>+'3. Önk. Kiadások'!B145</f>
        <v>Finanszírozási kiadások</v>
      </c>
      <c r="C124" s="498"/>
      <c r="D124" s="74"/>
      <c r="E124" s="74"/>
      <c r="F124" s="524"/>
      <c r="G124" s="74"/>
      <c r="H124" s="498"/>
      <c r="K124" s="74"/>
      <c r="L124" s="87"/>
      <c r="M124" s="87"/>
      <c r="N124" s="499"/>
      <c r="O124" s="74"/>
      <c r="P124" s="498"/>
      <c r="Q124" s="73"/>
      <c r="R124" s="73"/>
      <c r="S124" s="73"/>
      <c r="T124" s="499"/>
      <c r="U124" s="74"/>
    </row>
    <row r="125" spans="1:21" x14ac:dyDescent="0.25">
      <c r="B125" s="56" t="str">
        <f t="shared" ref="B125:B131" si="62">+B113</f>
        <v>Sülysáp Város Önkormányzata</v>
      </c>
      <c r="C125" s="498">
        <f>+'3. Önk. Kiadások'!C145</f>
        <v>675998039</v>
      </c>
      <c r="D125" s="73">
        <f>+'3. Önk. Kiadások'!D145</f>
        <v>676652534</v>
      </c>
      <c r="E125" s="73">
        <f>+'3. Önk. Kiadások'!E145</f>
        <v>682652534</v>
      </c>
      <c r="F125" s="459">
        <f>+'3. Önk. Kiadások'!F145</f>
        <v>0</v>
      </c>
      <c r="G125" s="74"/>
      <c r="H125" s="498">
        <f>+'3. Önk. Kiadások'!H145</f>
        <v>347736936</v>
      </c>
      <c r="I125" s="73">
        <f>+'3. Önk. Kiadások'!I145</f>
        <v>515503086</v>
      </c>
      <c r="J125" s="73">
        <f>+'3. Önk. Kiadások'!J145</f>
        <v>0</v>
      </c>
      <c r="K125" s="74"/>
      <c r="L125" s="87"/>
      <c r="M125" s="87"/>
      <c r="N125" s="499"/>
      <c r="O125" s="74"/>
      <c r="P125" s="498">
        <f>+'3. Önk. Kiadások'!P145</f>
        <v>654495</v>
      </c>
      <c r="Q125" s="73">
        <f>+'3. Önk. Kiadások'!Q145</f>
        <v>6000000</v>
      </c>
      <c r="R125" s="73">
        <f>+'3. Önk. Kiadások'!R145</f>
        <v>0</v>
      </c>
      <c r="S125" s="73">
        <f>+'3. Önk. Kiadások'!S145</f>
        <v>6654495</v>
      </c>
      <c r="T125" s="499"/>
      <c r="U125" s="74"/>
    </row>
    <row r="126" spans="1:21" x14ac:dyDescent="0.25">
      <c r="A126" s="56"/>
      <c r="B126" s="56" t="str">
        <f t="shared" si="62"/>
        <v>Gondozási Központ</v>
      </c>
      <c r="C126" s="498"/>
      <c r="D126" s="73"/>
      <c r="E126" s="73"/>
      <c r="F126" s="459"/>
      <c r="G126" s="73"/>
      <c r="H126" s="498"/>
      <c r="I126" s="73"/>
      <c r="J126" s="73"/>
      <c r="K126" s="73"/>
      <c r="L126" s="73"/>
      <c r="M126" s="73"/>
      <c r="N126" s="459"/>
      <c r="O126" s="73"/>
      <c r="P126" s="498"/>
      <c r="Q126" s="73"/>
      <c r="R126" s="73"/>
      <c r="S126" s="73"/>
      <c r="T126" s="499"/>
      <c r="U126" s="74"/>
    </row>
    <row r="127" spans="1:21" x14ac:dyDescent="0.25">
      <c r="B127" s="56" t="str">
        <f t="shared" si="62"/>
        <v>Csicsergő Napköziotthonos Óvoda</v>
      </c>
      <c r="C127" s="498"/>
      <c r="D127" s="73"/>
      <c r="E127" s="73"/>
      <c r="F127" s="459"/>
      <c r="G127" s="73"/>
      <c r="H127" s="498"/>
      <c r="I127" s="73"/>
      <c r="J127" s="73"/>
      <c r="K127" s="73"/>
      <c r="L127" s="73"/>
      <c r="M127" s="73"/>
      <c r="N127" s="459"/>
      <c r="O127" s="73"/>
      <c r="P127" s="498"/>
      <c r="Q127" s="73"/>
      <c r="R127" s="73"/>
      <c r="S127" s="73"/>
      <c r="T127" s="499"/>
      <c r="U127" s="74"/>
    </row>
    <row r="128" spans="1:21" x14ac:dyDescent="0.25">
      <c r="B128" s="56" t="str">
        <f t="shared" si="62"/>
        <v>Gólyahír Bőlcsőde</v>
      </c>
      <c r="C128" s="498"/>
      <c r="D128" s="73"/>
      <c r="E128" s="73"/>
      <c r="F128" s="459"/>
      <c r="G128" s="73"/>
      <c r="H128" s="498"/>
      <c r="I128" s="73"/>
      <c r="J128" s="73"/>
      <c r="K128" s="73"/>
      <c r="L128" s="73"/>
      <c r="M128" s="73"/>
      <c r="N128" s="459"/>
      <c r="O128" s="73"/>
      <c r="P128" s="498"/>
      <c r="Q128" s="73"/>
      <c r="R128" s="73"/>
      <c r="S128" s="73"/>
      <c r="T128" s="499"/>
      <c r="U128" s="74"/>
    </row>
    <row r="129" spans="1:21" x14ac:dyDescent="0.25">
      <c r="B129" s="56" t="str">
        <f t="shared" si="62"/>
        <v>Polgármesteri Hivatal</v>
      </c>
      <c r="C129" s="498"/>
      <c r="D129" s="73"/>
      <c r="E129" s="73"/>
      <c r="F129" s="459"/>
      <c r="G129" s="73"/>
      <c r="H129" s="498"/>
      <c r="I129" s="73"/>
      <c r="J129" s="73"/>
      <c r="K129" s="73"/>
      <c r="L129" s="73"/>
      <c r="M129" s="73"/>
      <c r="N129" s="459"/>
      <c r="O129" s="73"/>
      <c r="P129" s="498"/>
      <c r="Q129" s="73"/>
      <c r="R129" s="73"/>
      <c r="S129" s="73"/>
      <c r="T129" s="499"/>
      <c r="U129" s="74"/>
    </row>
    <row r="130" spans="1:21" x14ac:dyDescent="0.25">
      <c r="B130" s="56" t="str">
        <f t="shared" si="62"/>
        <v>Wass Albert Művelődési Központ és Könyvtár</v>
      </c>
      <c r="C130" s="498"/>
      <c r="D130" s="73"/>
      <c r="E130" s="73"/>
      <c r="F130" s="459"/>
      <c r="G130" s="73"/>
      <c r="H130" s="498"/>
      <c r="I130" s="73"/>
      <c r="J130" s="73"/>
      <c r="K130" s="73"/>
      <c r="L130" s="73"/>
      <c r="M130" s="73"/>
      <c r="N130" s="459"/>
      <c r="O130" s="73"/>
      <c r="P130" s="498"/>
      <c r="Q130" s="73"/>
      <c r="R130" s="73"/>
      <c r="S130" s="73"/>
      <c r="T130" s="499"/>
      <c r="U130" s="74"/>
    </row>
    <row r="131" spans="1:21" x14ac:dyDescent="0.25">
      <c r="B131" s="56" t="str">
        <f t="shared" si="62"/>
        <v>Központi Konyha</v>
      </c>
      <c r="C131" s="498"/>
      <c r="D131" s="73"/>
      <c r="E131" s="73"/>
      <c r="F131" s="459"/>
      <c r="G131" s="73"/>
      <c r="H131" s="498"/>
      <c r="I131" s="73"/>
      <c r="J131" s="73"/>
      <c r="K131" s="73"/>
      <c r="L131" s="73"/>
      <c r="M131" s="73"/>
      <c r="N131" s="459"/>
      <c r="O131" s="73"/>
      <c r="P131" s="498"/>
      <c r="Q131" s="73"/>
      <c r="R131" s="73"/>
      <c r="S131" s="73"/>
      <c r="T131" s="499"/>
      <c r="U131" s="74"/>
    </row>
    <row r="132" spans="1:21" ht="8.1" customHeight="1" x14ac:dyDescent="0.25">
      <c r="B132" s="383" t="s">
        <v>443</v>
      </c>
      <c r="C132" s="500"/>
      <c r="D132" s="382"/>
      <c r="E132" s="382"/>
      <c r="F132" s="511"/>
      <c r="G132" s="382"/>
      <c r="H132" s="500"/>
      <c r="I132" s="382"/>
      <c r="J132" s="382"/>
      <c r="K132" s="382"/>
      <c r="L132" s="382"/>
      <c r="M132" s="382"/>
      <c r="N132" s="511"/>
      <c r="O132" s="382"/>
      <c r="P132" s="500"/>
      <c r="Q132" s="382"/>
      <c r="R132" s="382"/>
      <c r="S132" s="382"/>
      <c r="T132" s="499"/>
      <c r="U132" s="74"/>
    </row>
    <row r="133" spans="1:21" x14ac:dyDescent="0.25">
      <c r="A133" s="384" t="str">
        <f>+A124</f>
        <v>K9</v>
      </c>
      <c r="B133" s="364" t="s">
        <v>437</v>
      </c>
      <c r="C133" s="501">
        <f>SUM(C125:C132)</f>
        <v>675998039</v>
      </c>
      <c r="D133" s="365">
        <f t="shared" ref="D133:F133" si="63">SUM(D125:D132)</f>
        <v>676652534</v>
      </c>
      <c r="E133" s="365">
        <f t="shared" si="63"/>
        <v>682652534</v>
      </c>
      <c r="F133" s="512">
        <f t="shared" si="63"/>
        <v>0</v>
      </c>
      <c r="G133" s="365"/>
      <c r="H133" s="501">
        <f>SUM(H125:H132)</f>
        <v>347736936</v>
      </c>
      <c r="I133" s="365">
        <f t="shared" ref="I133:J133" si="64">SUM(I125:I132)</f>
        <v>515503086</v>
      </c>
      <c r="J133" s="365">
        <f t="shared" si="64"/>
        <v>0</v>
      </c>
      <c r="K133" s="365"/>
      <c r="L133" s="365"/>
      <c r="M133" s="365"/>
      <c r="N133" s="512"/>
      <c r="O133" s="365"/>
      <c r="P133" s="501">
        <f>SUM(P125:P132)</f>
        <v>654495</v>
      </c>
      <c r="Q133" s="365">
        <f t="shared" ref="Q133:S133" si="65">SUM(Q125:Q132)</f>
        <v>6000000</v>
      </c>
      <c r="R133" s="365">
        <f t="shared" si="65"/>
        <v>0</v>
      </c>
      <c r="S133" s="365">
        <f t="shared" si="65"/>
        <v>6654495</v>
      </c>
      <c r="T133" s="499"/>
      <c r="U133" s="74"/>
    </row>
    <row r="134" spans="1:21" x14ac:dyDescent="0.25">
      <c r="C134" s="502"/>
      <c r="F134" s="457"/>
      <c r="H134" s="502"/>
      <c r="N134" s="499"/>
      <c r="P134" s="502"/>
      <c r="T134" s="499"/>
    </row>
    <row r="135" spans="1:21" x14ac:dyDescent="0.25">
      <c r="C135" s="502"/>
      <c r="F135" s="457"/>
      <c r="H135" s="502"/>
      <c r="N135" s="499"/>
      <c r="P135" s="502"/>
      <c r="T135" s="499"/>
    </row>
    <row r="136" spans="1:21" x14ac:dyDescent="0.25">
      <c r="A136" s="320" t="s">
        <v>354</v>
      </c>
      <c r="B136" s="320" t="str">
        <f>+'8. Dr Gáspár HSZK'!B100</f>
        <v>Központi, irányító szervi támogatás</v>
      </c>
      <c r="C136" s="525" t="s">
        <v>439</v>
      </c>
      <c r="D136" s="74"/>
      <c r="E136" s="74"/>
      <c r="F136" s="524"/>
      <c r="G136" s="74"/>
      <c r="H136" s="498"/>
      <c r="K136" s="74"/>
      <c r="L136" s="87"/>
      <c r="M136" s="87"/>
      <c r="N136" s="499"/>
      <c r="O136" s="74"/>
      <c r="P136" s="498"/>
      <c r="Q136" s="73"/>
      <c r="R136" s="73"/>
      <c r="S136" s="73"/>
      <c r="T136" s="499"/>
      <c r="U136" s="74"/>
    </row>
    <row r="137" spans="1:21" x14ac:dyDescent="0.25">
      <c r="B137" s="56" t="str">
        <f t="shared" ref="B137:B143" si="66">+B125</f>
        <v>Sülysáp Város Önkormányzata</v>
      </c>
      <c r="C137" s="498"/>
      <c r="D137" s="73"/>
      <c r="E137" s="73"/>
      <c r="F137" s="459"/>
      <c r="G137" s="74"/>
      <c r="H137" s="498"/>
      <c r="I137" s="73"/>
      <c r="J137" s="73"/>
      <c r="K137" s="74"/>
      <c r="L137" s="87"/>
      <c r="M137" s="87"/>
      <c r="N137" s="499"/>
      <c r="O137" s="74"/>
      <c r="P137" s="498"/>
      <c r="Q137" s="73"/>
      <c r="R137" s="73"/>
      <c r="S137" s="73"/>
      <c r="T137" s="499"/>
      <c r="U137" s="74"/>
    </row>
    <row r="138" spans="1:21" x14ac:dyDescent="0.25">
      <c r="A138" s="56"/>
      <c r="B138" s="56" t="str">
        <f t="shared" si="66"/>
        <v>Gondozási Központ</v>
      </c>
      <c r="C138" s="498">
        <f>+'8. Dr Gáspár HSZK'!C100</f>
        <v>40951920</v>
      </c>
      <c r="D138" s="73">
        <f>+'8. Dr Gáspár HSZK'!D100</f>
        <v>40951920</v>
      </c>
      <c r="E138" s="73">
        <f>+'8. Dr Gáspár HSZK'!E100</f>
        <v>40951920</v>
      </c>
      <c r="F138" s="459">
        <f>+'8. Dr Gáspár HSZK'!F100</f>
        <v>0</v>
      </c>
      <c r="G138" s="73"/>
      <c r="H138" s="498">
        <f>+'8. Dr Gáspár HSZK'!H100</f>
        <v>18876114</v>
      </c>
      <c r="I138" s="73">
        <f>+'8. Dr Gáspár HSZK'!I100</f>
        <v>35174227</v>
      </c>
      <c r="J138" s="73">
        <f>+'8. Dr Gáspár HSZK'!J100</f>
        <v>0</v>
      </c>
      <c r="K138" s="73"/>
      <c r="L138" s="73"/>
      <c r="M138" s="73"/>
      <c r="N138" s="459"/>
      <c r="O138" s="73"/>
      <c r="P138" s="498">
        <f>+'8. Dr Gáspár HSZK'!P100</f>
        <v>0</v>
      </c>
      <c r="Q138" s="73">
        <f>+'8. Dr Gáspár HSZK'!Q100</f>
        <v>0</v>
      </c>
      <c r="R138" s="73">
        <f>+'8. Dr Gáspár HSZK'!R100</f>
        <v>0</v>
      </c>
      <c r="S138" s="73">
        <f>+'8. Dr Gáspár HSZK'!S100</f>
        <v>0</v>
      </c>
      <c r="T138" s="499"/>
      <c r="U138" s="74"/>
    </row>
    <row r="139" spans="1:21" x14ac:dyDescent="0.25">
      <c r="B139" s="56" t="str">
        <f t="shared" si="66"/>
        <v>Csicsergő Napköziotthonos Óvoda</v>
      </c>
      <c r="C139" s="498">
        <f>+'6. Csicsergő'!C100</f>
        <v>233250594</v>
      </c>
      <c r="D139" s="73">
        <f>+'6. Csicsergő'!D100</f>
        <v>233250594</v>
      </c>
      <c r="E139" s="73">
        <f>+'6. Csicsergő'!E100</f>
        <v>233250594</v>
      </c>
      <c r="F139" s="459">
        <f>+'6. Csicsergő'!F100</f>
        <v>0</v>
      </c>
      <c r="G139" s="73"/>
      <c r="H139" s="498">
        <f>+'6. Csicsergő'!H100</f>
        <v>116504525</v>
      </c>
      <c r="I139" s="73">
        <f>+'6. Csicsergő'!I100</f>
        <v>173204799</v>
      </c>
      <c r="J139" s="73">
        <f>+'6. Csicsergő'!J100</f>
        <v>0</v>
      </c>
      <c r="K139" s="73"/>
      <c r="L139" s="73"/>
      <c r="M139" s="73"/>
      <c r="N139" s="459"/>
      <c r="O139" s="73"/>
      <c r="P139" s="498">
        <f>+'6. Csicsergő'!P100</f>
        <v>0</v>
      </c>
      <c r="Q139" s="73">
        <f>+'6. Csicsergő'!Q100</f>
        <v>0</v>
      </c>
      <c r="R139" s="73">
        <f>+'6. Csicsergő'!R100</f>
        <v>0</v>
      </c>
      <c r="S139" s="73">
        <f>+'6. Csicsergő'!S100</f>
        <v>0</v>
      </c>
      <c r="T139" s="499"/>
      <c r="U139" s="74"/>
    </row>
    <row r="140" spans="1:21" x14ac:dyDescent="0.25">
      <c r="B140" s="56" t="str">
        <f t="shared" si="66"/>
        <v>Gólyahír Bőlcsőde</v>
      </c>
      <c r="C140" s="498">
        <f>+'5. Gólyahír'!C100</f>
        <v>88239262</v>
      </c>
      <c r="D140" s="73">
        <f>+'5. Gólyahír'!D100</f>
        <v>88239262</v>
      </c>
      <c r="E140" s="73">
        <f>+'5. Gólyahír'!E100</f>
        <v>90239262</v>
      </c>
      <c r="F140" s="459">
        <f>+'5. Gólyahír'!F100</f>
        <v>0</v>
      </c>
      <c r="G140" s="73"/>
      <c r="H140" s="498">
        <f>+'5. Gólyahír'!H100</f>
        <v>44690436</v>
      </c>
      <c r="I140" s="73">
        <f>+'5. Gólyahír'!I100</f>
        <v>68559031</v>
      </c>
      <c r="J140" s="73">
        <f>+'5. Gólyahír'!J100</f>
        <v>0</v>
      </c>
      <c r="K140" s="73"/>
      <c r="L140" s="73"/>
      <c r="M140" s="73"/>
      <c r="N140" s="459"/>
      <c r="O140" s="73"/>
      <c r="P140" s="498">
        <f>+'5. Gólyahír'!P100</f>
        <v>0</v>
      </c>
      <c r="Q140" s="73">
        <f>+'5. Gólyahír'!Q100</f>
        <v>2000000</v>
      </c>
      <c r="R140" s="73">
        <f>+'5. Gólyahír'!R100</f>
        <v>0</v>
      </c>
      <c r="S140" s="73">
        <f>+'5. Gólyahír'!S100</f>
        <v>2000000</v>
      </c>
      <c r="T140" s="499"/>
      <c r="U140" s="74"/>
    </row>
    <row r="141" spans="1:21" x14ac:dyDescent="0.25">
      <c r="B141" s="56" t="str">
        <f t="shared" si="66"/>
        <v>Polgármesteri Hivatal</v>
      </c>
      <c r="C141" s="498">
        <f>+'4. Polg.Hiv.'!C100</f>
        <v>165973266</v>
      </c>
      <c r="D141" s="73">
        <f>+'4. Polg.Hiv.'!D100</f>
        <v>165973266</v>
      </c>
      <c r="E141" s="73">
        <f>+'4. Polg.Hiv.'!E100</f>
        <v>165973266</v>
      </c>
      <c r="F141" s="459">
        <f>+'4. Polg.Hiv.'!F100</f>
        <v>0</v>
      </c>
      <c r="G141" s="73"/>
      <c r="H141" s="498">
        <f>+'4. Polg.Hiv.'!H100</f>
        <v>90307938</v>
      </c>
      <c r="I141" s="73">
        <f>+'4. Polg.Hiv.'!I100</f>
        <v>126879380</v>
      </c>
      <c r="J141" s="73">
        <f>+'4. Polg.Hiv.'!J100</f>
        <v>0</v>
      </c>
      <c r="K141" s="73"/>
      <c r="L141" s="73"/>
      <c r="M141" s="73"/>
      <c r="N141" s="459"/>
      <c r="O141" s="73"/>
      <c r="P141" s="498">
        <f>+'4. Polg.Hiv.'!P100</f>
        <v>0</v>
      </c>
      <c r="Q141" s="73">
        <f>+'4. Polg.Hiv.'!Q100</f>
        <v>0</v>
      </c>
      <c r="R141" s="73">
        <f>+'4. Polg.Hiv.'!R100</f>
        <v>0</v>
      </c>
      <c r="S141" s="73">
        <f>+'4. Polg.Hiv.'!S100</f>
        <v>0</v>
      </c>
      <c r="T141" s="499"/>
      <c r="U141" s="74"/>
    </row>
    <row r="142" spans="1:21" x14ac:dyDescent="0.25">
      <c r="B142" s="56" t="str">
        <f t="shared" si="66"/>
        <v>Wass Albert Művelődési Központ és Könyvtár</v>
      </c>
      <c r="C142" s="498">
        <f>+'7. WAMKK'!C100</f>
        <v>45073370</v>
      </c>
      <c r="D142" s="73">
        <f>+'7. WAMKK'!D100</f>
        <v>45073370</v>
      </c>
      <c r="E142" s="73">
        <f>+'7. WAMKK'!E100</f>
        <v>49073370</v>
      </c>
      <c r="F142" s="459">
        <f>+'7. WAMKK'!F100</f>
        <v>0</v>
      </c>
      <c r="G142" s="73"/>
      <c r="H142" s="498">
        <f>+'7. WAMKK'!H100</f>
        <v>10110827</v>
      </c>
      <c r="I142" s="73">
        <f>+'7. WAMKK'!I100</f>
        <v>28115845</v>
      </c>
      <c r="J142" s="73">
        <f>+'7. WAMKK'!J100</f>
        <v>0</v>
      </c>
      <c r="K142" s="73"/>
      <c r="L142" s="73"/>
      <c r="M142" s="73"/>
      <c r="N142" s="459"/>
      <c r="O142" s="73"/>
      <c r="P142" s="498">
        <f>+'7. WAMKK'!P100</f>
        <v>0</v>
      </c>
      <c r="Q142" s="73">
        <f>+'7. WAMKK'!Q100</f>
        <v>4000000</v>
      </c>
      <c r="R142" s="73">
        <f>+'7. WAMKK'!R100</f>
        <v>0</v>
      </c>
      <c r="S142" s="73">
        <f>+'7. WAMKK'!S100</f>
        <v>4000000</v>
      </c>
      <c r="T142" s="499"/>
      <c r="U142" s="74"/>
    </row>
    <row r="143" spans="1:21" x14ac:dyDescent="0.25">
      <c r="B143" s="56" t="str">
        <f t="shared" si="66"/>
        <v>Központi Konyha</v>
      </c>
      <c r="C143" s="498">
        <f>+'9. Közp. Konyha'!C100</f>
        <v>77932268</v>
      </c>
      <c r="D143" s="73">
        <f>+'9. Közp. Konyha'!D100</f>
        <v>77932268</v>
      </c>
      <c r="E143" s="73">
        <f>+'9. Közp. Konyha'!E100</f>
        <v>77932268</v>
      </c>
      <c r="F143" s="459">
        <f>+'9. Közp. Konyha'!F100</f>
        <v>0</v>
      </c>
      <c r="G143" s="73"/>
      <c r="H143" s="498">
        <f>+'9. Közp. Konyha'!H100</f>
        <v>42015242</v>
      </c>
      <c r="I143" s="73">
        <f>+'9. Közp. Konyha'!I100</f>
        <v>58337950</v>
      </c>
      <c r="J143" s="73">
        <f>+'9. Közp. Konyha'!J100</f>
        <v>0</v>
      </c>
      <c r="K143" s="73"/>
      <c r="L143" s="73"/>
      <c r="M143" s="73"/>
      <c r="N143" s="459"/>
      <c r="O143" s="73"/>
      <c r="P143" s="498">
        <f>+'9. Közp. Konyha'!P100</f>
        <v>0</v>
      </c>
      <c r="Q143" s="73">
        <f>+'9. Közp. Konyha'!Q100</f>
        <v>0</v>
      </c>
      <c r="R143" s="73">
        <f>+'9. Közp. Konyha'!R100</f>
        <v>0</v>
      </c>
      <c r="S143" s="73">
        <f>+'9. Közp. Konyha'!S100</f>
        <v>0</v>
      </c>
      <c r="T143" s="499"/>
      <c r="U143" s="74"/>
    </row>
    <row r="144" spans="1:21" ht="8.1" customHeight="1" x14ac:dyDescent="0.25">
      <c r="B144" s="383" t="s">
        <v>443</v>
      </c>
      <c r="C144" s="500"/>
      <c r="D144" s="382"/>
      <c r="E144" s="382"/>
      <c r="F144" s="511"/>
      <c r="G144" s="382"/>
      <c r="H144" s="500"/>
      <c r="I144" s="382"/>
      <c r="J144" s="382"/>
      <c r="K144" s="382"/>
      <c r="L144" s="382"/>
      <c r="M144" s="382"/>
      <c r="N144" s="511"/>
      <c r="O144" s="382"/>
      <c r="P144" s="500"/>
      <c r="Q144" s="382"/>
      <c r="R144" s="382"/>
      <c r="S144" s="382"/>
      <c r="T144" s="499"/>
      <c r="U144" s="74"/>
    </row>
    <row r="145" spans="1:21" x14ac:dyDescent="0.25">
      <c r="A145" s="384" t="str">
        <f>+A136</f>
        <v>B816</v>
      </c>
      <c r="B145" s="364" t="s">
        <v>437</v>
      </c>
      <c r="C145" s="501">
        <f>SUM(C137:C144)</f>
        <v>651420680</v>
      </c>
      <c r="D145" s="365">
        <f t="shared" ref="D145:F145" si="67">SUM(D137:D144)</f>
        <v>651420680</v>
      </c>
      <c r="E145" s="365">
        <f t="shared" si="67"/>
        <v>657420680</v>
      </c>
      <c r="F145" s="512">
        <f t="shared" si="67"/>
        <v>0</v>
      </c>
      <c r="G145" s="365"/>
      <c r="H145" s="501">
        <f>SUM(H137:H144)</f>
        <v>322505082</v>
      </c>
      <c r="I145" s="365">
        <f t="shared" ref="I145:J145" si="68">SUM(I137:I144)</f>
        <v>490271232</v>
      </c>
      <c r="J145" s="365">
        <f t="shared" si="68"/>
        <v>0</v>
      </c>
      <c r="K145" s="365"/>
      <c r="L145" s="365"/>
      <c r="M145" s="365"/>
      <c r="N145" s="512"/>
      <c r="O145" s="365"/>
      <c r="P145" s="501">
        <f>SUM(P137:P144)</f>
        <v>0</v>
      </c>
      <c r="Q145" s="365">
        <f t="shared" ref="Q145:S145" si="69">SUM(Q137:Q144)</f>
        <v>6000000</v>
      </c>
      <c r="R145" s="365">
        <f t="shared" si="69"/>
        <v>0</v>
      </c>
      <c r="S145" s="365">
        <f t="shared" si="69"/>
        <v>6000000</v>
      </c>
      <c r="T145" s="499"/>
      <c r="U145" s="74"/>
    </row>
    <row r="146" spans="1:21" x14ac:dyDescent="0.25">
      <c r="C146" s="503"/>
      <c r="D146" s="513"/>
      <c r="E146" s="513"/>
      <c r="F146" s="526"/>
      <c r="H146" s="503"/>
      <c r="I146" s="513"/>
      <c r="J146" s="513"/>
      <c r="K146" s="513"/>
      <c r="L146" s="504"/>
      <c r="M146" s="504"/>
      <c r="N146" s="505"/>
      <c r="P146" s="503"/>
      <c r="Q146" s="504"/>
      <c r="R146" s="504"/>
      <c r="S146" s="504"/>
      <c r="T146" s="505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7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A153"/>
  <sheetViews>
    <sheetView view="pageBreakPreview" zoomScale="75" zoomScaleNormal="75" zoomScaleSheetLayoutView="75" workbookViewId="0">
      <selection activeCell="B7" sqref="B7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9.33203125" style="22" customWidth="1"/>
    <col min="4" max="4" width="18.5546875" style="23" customWidth="1"/>
    <col min="5" max="6" width="19.33203125" style="23" customWidth="1"/>
    <col min="7" max="7" width="2" style="23" bestFit="1" customWidth="1"/>
    <col min="8" max="8" width="15.5546875" style="22" customWidth="1"/>
    <col min="9" max="9" width="15.5546875" style="23" customWidth="1"/>
    <col min="10" max="10" width="14" style="23" customWidth="1"/>
    <col min="11" max="11" width="0.6640625" style="23" customWidth="1"/>
    <col min="12" max="13" width="10.5546875" style="22" customWidth="1"/>
    <col min="14" max="14" width="12.6640625" style="22" bestFit="1" customWidth="1"/>
    <col min="15" max="15" width="0.6640625" style="23" customWidth="1"/>
    <col min="16" max="17" width="14.5546875" style="22" customWidth="1"/>
    <col min="18" max="18" width="16" style="22" bestFit="1" customWidth="1"/>
    <col min="19" max="19" width="15.5546875" style="22" customWidth="1"/>
    <col min="20" max="20" width="10.5546875" style="22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454</v>
      </c>
      <c r="B1" s="227"/>
      <c r="C1" s="227"/>
      <c r="D1" s="227"/>
      <c r="E1" s="227"/>
      <c r="F1" s="341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225"/>
    </row>
    <row r="3" spans="1:27" ht="21" hidden="1" x14ac:dyDescent="0.4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225"/>
    </row>
    <row r="4" spans="1:27" x14ac:dyDescent="0.25">
      <c r="A4" s="46"/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46"/>
      <c r="U4"/>
    </row>
    <row r="5" spans="1:27" ht="14.1" hidden="1" customHeight="1" x14ac:dyDescent="0.25">
      <c r="A5" s="46"/>
      <c r="B5" s="46"/>
      <c r="C5" s="342"/>
      <c r="D5" s="342"/>
      <c r="E5" s="342"/>
      <c r="F5" s="342"/>
      <c r="G5" s="342"/>
      <c r="H5" s="343"/>
      <c r="I5" s="343"/>
      <c r="J5" s="343"/>
      <c r="K5" s="342"/>
      <c r="L5" s="344"/>
      <c r="M5" s="36"/>
      <c r="N5" s="36"/>
      <c r="O5" s="342"/>
      <c r="P5" s="343"/>
      <c r="Q5" s="343"/>
      <c r="R5" s="343"/>
      <c r="S5" s="343"/>
      <c r="T5" s="36"/>
      <c r="U5" s="267"/>
    </row>
    <row r="6" spans="1:27" ht="14.1" hidden="1" customHeight="1" x14ac:dyDescent="0.25">
      <c r="A6" s="46"/>
      <c r="B6" s="46"/>
      <c r="C6" s="342"/>
      <c r="D6" s="342"/>
      <c r="E6" s="342"/>
      <c r="F6" s="342"/>
      <c r="G6" s="342"/>
      <c r="H6" s="343"/>
      <c r="I6" s="343"/>
      <c r="J6" s="343"/>
      <c r="K6" s="342"/>
      <c r="L6" s="344"/>
      <c r="M6" s="36"/>
      <c r="N6" s="36"/>
      <c r="O6" s="342"/>
      <c r="P6" s="343"/>
      <c r="Q6" s="343"/>
      <c r="R6" s="343"/>
      <c r="S6" s="343"/>
      <c r="T6" s="36"/>
      <c r="U6" s="267"/>
    </row>
    <row r="7" spans="1:27" ht="15.6" x14ac:dyDescent="0.3">
      <c r="A7" s="46"/>
      <c r="B7" s="46"/>
      <c r="C7" s="865" t="s">
        <v>404</v>
      </c>
      <c r="D7" s="866"/>
      <c r="E7" s="866"/>
      <c r="F7" s="867"/>
      <c r="G7" s="345"/>
      <c r="H7" s="865" t="s">
        <v>403</v>
      </c>
      <c r="I7" s="868"/>
      <c r="J7" s="868"/>
      <c r="K7" s="868"/>
      <c r="L7" s="868"/>
      <c r="M7" s="868"/>
      <c r="N7" s="869"/>
      <c r="O7" s="345"/>
      <c r="P7" s="865" t="s">
        <v>400</v>
      </c>
      <c r="Q7" s="866"/>
      <c r="R7" s="866"/>
      <c r="S7" s="866"/>
      <c r="T7" s="867"/>
      <c r="U7"/>
    </row>
    <row r="8" spans="1:27" ht="13.8" x14ac:dyDescent="0.25">
      <c r="A8" s="46"/>
      <c r="B8" s="46"/>
      <c r="C8" s="517"/>
      <c r="D8" s="464"/>
      <c r="E8" s="464"/>
      <c r="F8" s="489"/>
      <c r="G8" s="342"/>
      <c r="H8" s="870" t="s">
        <v>413</v>
      </c>
      <c r="I8" s="871"/>
      <c r="J8" s="871"/>
      <c r="K8" s="463"/>
      <c r="L8" s="872" t="s">
        <v>412</v>
      </c>
      <c r="M8" s="871"/>
      <c r="N8" s="873"/>
      <c r="O8" s="342"/>
      <c r="P8" s="488">
        <f>+'1. Sülysáp összesen'!P8</f>
        <v>1</v>
      </c>
      <c r="Q8" s="346">
        <f>+' 2. Önk. Bevételek'!Q8</f>
        <v>1</v>
      </c>
      <c r="R8" s="346">
        <f>+'1. Sülysáp összesen'!R8</f>
        <v>0</v>
      </c>
      <c r="S8" s="464"/>
      <c r="T8" s="489"/>
      <c r="U8"/>
    </row>
    <row r="9" spans="1:27" ht="20.100000000000001" customHeight="1" x14ac:dyDescent="0.25">
      <c r="A9" s="347"/>
      <c r="B9" s="348" t="s">
        <v>371</v>
      </c>
      <c r="C9" s="490">
        <f>+C22</f>
        <v>1369849619</v>
      </c>
      <c r="D9" s="349">
        <f t="shared" ref="D9:J9" si="0">+D22</f>
        <v>1434961892</v>
      </c>
      <c r="E9" s="349">
        <f t="shared" si="0"/>
        <v>1467238387</v>
      </c>
      <c r="F9" s="518">
        <f t="shared" si="0"/>
        <v>0</v>
      </c>
      <c r="G9" s="349"/>
      <c r="H9" s="490">
        <f t="shared" si="0"/>
        <v>1412569508</v>
      </c>
      <c r="I9" s="349">
        <f t="shared" si="0"/>
        <v>1774693801</v>
      </c>
      <c r="J9" s="349">
        <f t="shared" si="0"/>
        <v>0</v>
      </c>
      <c r="K9" s="350"/>
      <c r="L9" s="696">
        <f t="shared" ref="L9:N9" si="1">IF(D9=0,0,H9/D9)</f>
        <v>0.98439513681524304</v>
      </c>
      <c r="M9" s="697">
        <f t="shared" si="1"/>
        <v>1.2095470079873258</v>
      </c>
      <c r="N9" s="698">
        <f t="shared" si="1"/>
        <v>0</v>
      </c>
      <c r="O9" s="350"/>
      <c r="P9" s="490">
        <f>IF(D9&gt;0,+D9-C9,0)</f>
        <v>65112273</v>
      </c>
      <c r="Q9" s="349">
        <f>IF(E9&gt;0,+E9-D9,0)</f>
        <v>32276495</v>
      </c>
      <c r="R9" s="349">
        <f>IF(F9&gt;0,+F9-E9,0)</f>
        <v>0</v>
      </c>
      <c r="S9" s="349">
        <f>+P9*P$8+Q9*Q$8+R9*R$8</f>
        <v>97388768</v>
      </c>
      <c r="T9" s="491">
        <f>+S9/C9</f>
        <v>7.1094495811222333E-2</v>
      </c>
      <c r="U9" s="248"/>
      <c r="V9" s="232">
        <f>+S9-E9+C9</f>
        <v>0</v>
      </c>
    </row>
    <row r="10" spans="1:27" ht="13.8" x14ac:dyDescent="0.25">
      <c r="A10" s="353"/>
      <c r="B10" s="354"/>
      <c r="C10" s="492"/>
      <c r="D10" s="342"/>
      <c r="E10" s="342"/>
      <c r="F10" s="519"/>
      <c r="G10" s="342"/>
      <c r="H10" s="492"/>
      <c r="I10" s="342"/>
      <c r="J10" s="342"/>
      <c r="K10" s="342"/>
      <c r="L10" s="355"/>
      <c r="M10" s="356"/>
      <c r="N10" s="493"/>
      <c r="O10" s="342"/>
      <c r="P10" s="492"/>
      <c r="Q10" s="342"/>
      <c r="R10" s="342"/>
      <c r="S10" s="342"/>
      <c r="T10" s="493"/>
      <c r="U10" s="240"/>
      <c r="V10" s="241"/>
    </row>
    <row r="11" spans="1:27" s="1" customFormat="1" ht="64.5" customHeight="1" x14ac:dyDescent="0.25">
      <c r="A11" s="357" t="s">
        <v>367</v>
      </c>
      <c r="B11" s="35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</row>
    <row r="12" spans="1:27" x14ac:dyDescent="0.25">
      <c r="A12" s="361"/>
      <c r="B12" s="47"/>
      <c r="C12" s="522"/>
      <c r="D12" s="362"/>
      <c r="E12" s="362"/>
      <c r="F12" s="523"/>
      <c r="G12" s="362"/>
      <c r="H12" s="496"/>
      <c r="I12" s="341"/>
      <c r="J12" s="341"/>
      <c r="K12" s="362"/>
      <c r="L12" s="706"/>
      <c r="M12" s="706"/>
      <c r="N12" s="707"/>
      <c r="O12" s="362"/>
      <c r="P12" s="496"/>
      <c r="Q12" s="341"/>
      <c r="R12" s="341"/>
      <c r="S12" s="341"/>
      <c r="T12" s="497"/>
      <c r="U12" s="366"/>
      <c r="V12" s="195"/>
    </row>
    <row r="13" spans="1:27" x14ac:dyDescent="0.25">
      <c r="A13" s="34" t="s">
        <v>240</v>
      </c>
      <c r="B13" s="514" t="s">
        <v>442</v>
      </c>
      <c r="C13" s="160">
        <f>+C36</f>
        <v>780199287</v>
      </c>
      <c r="D13" s="160">
        <f t="shared" ref="D13:E13" si="2">+D36</f>
        <v>783370506</v>
      </c>
      <c r="E13" s="160">
        <f t="shared" si="2"/>
        <v>812937448</v>
      </c>
      <c r="F13" s="160">
        <f t="shared" ref="F13" si="3">+F36</f>
        <v>0</v>
      </c>
      <c r="G13" s="506"/>
      <c r="H13" s="373">
        <f t="shared" ref="H13:J13" si="4">+H36</f>
        <v>426403824</v>
      </c>
      <c r="I13" s="160">
        <f t="shared" si="4"/>
        <v>615282212</v>
      </c>
      <c r="J13" s="160">
        <f t="shared" si="4"/>
        <v>0</v>
      </c>
      <c r="K13" s="160"/>
      <c r="L13" s="682">
        <f t="shared" ref="L13:N22" si="5">IF(D13=0,0,H13/D13)</f>
        <v>0.54431947684280058</v>
      </c>
      <c r="M13" s="682">
        <f t="shared" si="5"/>
        <v>0.75686292163526958</v>
      </c>
      <c r="N13" s="682">
        <f t="shared" si="5"/>
        <v>0</v>
      </c>
      <c r="O13" s="690"/>
      <c r="P13" s="175">
        <f t="shared" ref="P13:R19" si="6">+(D13-C13)*P$8</f>
        <v>3171219</v>
      </c>
      <c r="Q13" s="175">
        <f t="shared" si="6"/>
        <v>29566942</v>
      </c>
      <c r="R13" s="175">
        <f t="shared" si="6"/>
        <v>0</v>
      </c>
      <c r="S13" s="175">
        <f>+P13*P$8+Q13*Q$8+R13*R$8</f>
        <v>32738161</v>
      </c>
      <c r="T13" s="176">
        <f t="shared" ref="T13:T23" si="7">IF(C13=0,0,+S13/C13)</f>
        <v>4.1961280336314896E-2</v>
      </c>
      <c r="U13" s="485"/>
      <c r="V13" s="241">
        <f t="shared" ref="V13:V23" si="8">+S13-E13+C13</f>
        <v>0</v>
      </c>
    </row>
    <row r="14" spans="1:27" ht="15" customHeight="1" x14ac:dyDescent="0.25">
      <c r="A14" s="34" t="s">
        <v>261</v>
      </c>
      <c r="B14" s="514" t="s">
        <v>441</v>
      </c>
      <c r="C14" s="160">
        <f>+C48</f>
        <v>70000000</v>
      </c>
      <c r="D14" s="160">
        <f t="shared" ref="D14:E14" si="9">+D48</f>
        <v>69813054</v>
      </c>
      <c r="E14" s="160">
        <f t="shared" si="9"/>
        <v>69813054</v>
      </c>
      <c r="F14" s="160">
        <f t="shared" ref="F14" si="10">+F48</f>
        <v>0</v>
      </c>
      <c r="G14" s="506"/>
      <c r="H14" s="160">
        <f t="shared" ref="H14:J14" si="11">+H48</f>
        <v>335582001</v>
      </c>
      <c r="I14" s="160">
        <f t="shared" si="11"/>
        <v>359844539</v>
      </c>
      <c r="J14" s="160">
        <f t="shared" si="11"/>
        <v>0</v>
      </c>
      <c r="K14" s="160"/>
      <c r="L14" s="682">
        <f t="shared" si="5"/>
        <v>4.8068660769374167</v>
      </c>
      <c r="M14" s="682">
        <f t="shared" si="5"/>
        <v>5.1544019117112398</v>
      </c>
      <c r="N14" s="682">
        <f t="shared" si="5"/>
        <v>0</v>
      </c>
      <c r="O14" s="690"/>
      <c r="P14" s="175">
        <f t="shared" si="6"/>
        <v>-186946</v>
      </c>
      <c r="Q14" s="175">
        <f t="shared" si="6"/>
        <v>0</v>
      </c>
      <c r="R14" s="175">
        <f t="shared" si="6"/>
        <v>0</v>
      </c>
      <c r="S14" s="175">
        <f t="shared" ref="S14:S22" si="12">+P14*P$8+Q14*Q$8+R14*R$8</f>
        <v>-186946</v>
      </c>
      <c r="T14" s="176">
        <f t="shared" si="7"/>
        <v>-2.6706571428571427E-3</v>
      </c>
      <c r="U14" s="485"/>
      <c r="V14" s="241">
        <f t="shared" si="8"/>
        <v>0</v>
      </c>
    </row>
    <row r="15" spans="1:27" x14ac:dyDescent="0.25">
      <c r="A15" s="34" t="s">
        <v>269</v>
      </c>
      <c r="B15" s="514" t="s">
        <v>270</v>
      </c>
      <c r="C15" s="160">
        <f>+C60</f>
        <v>200000000</v>
      </c>
      <c r="D15" s="160">
        <f t="shared" ref="D15:E15" si="13">+D60</f>
        <v>200000000</v>
      </c>
      <c r="E15" s="160">
        <f t="shared" si="13"/>
        <v>200000000</v>
      </c>
      <c r="F15" s="160">
        <f t="shared" ref="F15" si="14">+F60</f>
        <v>0</v>
      </c>
      <c r="G15" s="506"/>
      <c r="H15" s="160">
        <f t="shared" ref="H15:J15" si="15">+H60</f>
        <v>122999106</v>
      </c>
      <c r="I15" s="160">
        <f t="shared" si="15"/>
        <v>223760794</v>
      </c>
      <c r="J15" s="160">
        <f t="shared" si="15"/>
        <v>0</v>
      </c>
      <c r="K15" s="160"/>
      <c r="L15" s="682">
        <f t="shared" si="5"/>
        <v>0.61499552999999996</v>
      </c>
      <c r="M15" s="682">
        <f t="shared" si="5"/>
        <v>1.1188039700000001</v>
      </c>
      <c r="N15" s="682">
        <f t="shared" si="5"/>
        <v>0</v>
      </c>
      <c r="O15" s="690"/>
      <c r="P15" s="175">
        <f t="shared" si="6"/>
        <v>0</v>
      </c>
      <c r="Q15" s="175">
        <f t="shared" si="6"/>
        <v>0</v>
      </c>
      <c r="R15" s="175">
        <f t="shared" si="6"/>
        <v>0</v>
      </c>
      <c r="S15" s="175">
        <f t="shared" si="12"/>
        <v>0</v>
      </c>
      <c r="T15" s="176">
        <f t="shared" si="7"/>
        <v>0</v>
      </c>
      <c r="U15" s="485"/>
      <c r="V15" s="241">
        <f t="shared" si="8"/>
        <v>0</v>
      </c>
    </row>
    <row r="16" spans="1:27" x14ac:dyDescent="0.25">
      <c r="A16" s="34" t="s">
        <v>282</v>
      </c>
      <c r="B16" s="514" t="s">
        <v>283</v>
      </c>
      <c r="C16" s="373">
        <f>+C72</f>
        <v>101501530</v>
      </c>
      <c r="D16" s="160">
        <f t="shared" ref="D16:E16" si="16">+D72</f>
        <v>101501530</v>
      </c>
      <c r="E16" s="160">
        <f t="shared" si="16"/>
        <v>101501530</v>
      </c>
      <c r="F16" s="160">
        <f t="shared" ref="F16" si="17">+F72</f>
        <v>0</v>
      </c>
      <c r="G16" s="506"/>
      <c r="H16" s="373">
        <f t="shared" ref="H16:J16" si="18">+H72</f>
        <v>63438970</v>
      </c>
      <c r="I16" s="373">
        <f t="shared" si="18"/>
        <v>102607737</v>
      </c>
      <c r="J16" s="160">
        <f t="shared" si="18"/>
        <v>0</v>
      </c>
      <c r="K16" s="160"/>
      <c r="L16" s="682">
        <f t="shared" si="5"/>
        <v>0.62500506150005819</v>
      </c>
      <c r="M16" s="682">
        <f t="shared" si="5"/>
        <v>1.0108984268512997</v>
      </c>
      <c r="N16" s="682">
        <f t="shared" si="5"/>
        <v>0</v>
      </c>
      <c r="O16" s="690"/>
      <c r="P16" s="175">
        <f t="shared" si="6"/>
        <v>0</v>
      </c>
      <c r="Q16" s="175">
        <f t="shared" si="6"/>
        <v>0</v>
      </c>
      <c r="R16" s="175">
        <f t="shared" si="6"/>
        <v>0</v>
      </c>
      <c r="S16" s="175">
        <f t="shared" si="12"/>
        <v>0</v>
      </c>
      <c r="T16" s="176">
        <f t="shared" si="7"/>
        <v>0</v>
      </c>
      <c r="U16" s="485"/>
      <c r="V16" s="241">
        <f t="shared" si="8"/>
        <v>0</v>
      </c>
    </row>
    <row r="17" spans="1:22" x14ac:dyDescent="0.25">
      <c r="A17" s="34" t="s">
        <v>308</v>
      </c>
      <c r="B17" s="514" t="s">
        <v>309</v>
      </c>
      <c r="C17" s="160">
        <f>+C84</f>
        <v>61100000</v>
      </c>
      <c r="D17" s="160">
        <f t="shared" ref="D17:E17" si="19">+D84</f>
        <v>123228000</v>
      </c>
      <c r="E17" s="160">
        <f t="shared" si="19"/>
        <v>125937553</v>
      </c>
      <c r="F17" s="160">
        <f t="shared" ref="F17" si="20">+F84</f>
        <v>0</v>
      </c>
      <c r="G17" s="506"/>
      <c r="H17" s="160">
        <f t="shared" ref="H17:J17" si="21">+H84</f>
        <v>143069306</v>
      </c>
      <c r="I17" s="160">
        <f t="shared" si="21"/>
        <v>151653949</v>
      </c>
      <c r="J17" s="160">
        <f t="shared" si="21"/>
        <v>0</v>
      </c>
      <c r="K17" s="160"/>
      <c r="L17" s="682">
        <f t="shared" si="5"/>
        <v>1.1610129678319863</v>
      </c>
      <c r="M17" s="682">
        <f t="shared" si="5"/>
        <v>1.204199584535361</v>
      </c>
      <c r="N17" s="682">
        <f t="shared" si="5"/>
        <v>0</v>
      </c>
      <c r="O17" s="690"/>
      <c r="P17" s="175">
        <f t="shared" si="6"/>
        <v>62128000</v>
      </c>
      <c r="Q17" s="175">
        <f t="shared" si="6"/>
        <v>2709553</v>
      </c>
      <c r="R17" s="175">
        <f t="shared" si="6"/>
        <v>0</v>
      </c>
      <c r="S17" s="175">
        <f t="shared" si="12"/>
        <v>64837553</v>
      </c>
      <c r="T17" s="176">
        <f t="shared" si="7"/>
        <v>1.0611710801963994</v>
      </c>
      <c r="U17" s="485"/>
      <c r="V17" s="241">
        <f t="shared" si="8"/>
        <v>0</v>
      </c>
    </row>
    <row r="18" spans="1:22" x14ac:dyDescent="0.25">
      <c r="A18" s="34" t="s">
        <v>318</v>
      </c>
      <c r="B18" s="514" t="s">
        <v>319</v>
      </c>
      <c r="C18" s="160">
        <f>+C96</f>
        <v>0</v>
      </c>
      <c r="D18" s="160">
        <f t="shared" ref="D18:E18" si="22">+D96</f>
        <v>0</v>
      </c>
      <c r="E18" s="160">
        <f t="shared" si="22"/>
        <v>0</v>
      </c>
      <c r="F18" s="160">
        <f t="shared" ref="F18" si="23">+F96</f>
        <v>0</v>
      </c>
      <c r="G18" s="506"/>
      <c r="H18" s="160">
        <f t="shared" ref="H18:J18" si="24">+H96</f>
        <v>161668810</v>
      </c>
      <c r="I18" s="160">
        <f t="shared" si="24"/>
        <v>161668810</v>
      </c>
      <c r="J18" s="160">
        <f t="shared" si="24"/>
        <v>0</v>
      </c>
      <c r="K18" s="160"/>
      <c r="L18" s="682">
        <f t="shared" si="5"/>
        <v>0</v>
      </c>
      <c r="M18" s="682">
        <f t="shared" si="5"/>
        <v>0</v>
      </c>
      <c r="N18" s="682">
        <f t="shared" si="5"/>
        <v>0</v>
      </c>
      <c r="O18" s="690"/>
      <c r="P18" s="175">
        <f t="shared" si="6"/>
        <v>0</v>
      </c>
      <c r="Q18" s="175">
        <f t="shared" si="6"/>
        <v>0</v>
      </c>
      <c r="R18" s="175">
        <f t="shared" si="6"/>
        <v>0</v>
      </c>
      <c r="S18" s="175">
        <f t="shared" si="12"/>
        <v>0</v>
      </c>
      <c r="T18" s="176">
        <f t="shared" si="7"/>
        <v>0</v>
      </c>
      <c r="U18" s="485"/>
      <c r="V18" s="241">
        <f t="shared" si="8"/>
        <v>0</v>
      </c>
    </row>
    <row r="19" spans="1:22" x14ac:dyDescent="0.25">
      <c r="A19" s="34" t="s">
        <v>322</v>
      </c>
      <c r="B19" s="514" t="s">
        <v>323</v>
      </c>
      <c r="C19" s="160">
        <f>+C108</f>
        <v>0</v>
      </c>
      <c r="D19" s="160">
        <f t="shared" ref="D19:E19" si="25">+D108</f>
        <v>0</v>
      </c>
      <c r="E19" s="160">
        <f t="shared" si="25"/>
        <v>0</v>
      </c>
      <c r="F19" s="160">
        <f t="shared" ref="F19" si="26">+F108</f>
        <v>0</v>
      </c>
      <c r="G19" s="506"/>
      <c r="H19" s="160">
        <f t="shared" ref="H19:J19" si="27">+H108</f>
        <v>1704190</v>
      </c>
      <c r="I19" s="160">
        <f t="shared" si="27"/>
        <v>2172463</v>
      </c>
      <c r="J19" s="160">
        <f t="shared" si="27"/>
        <v>0</v>
      </c>
      <c r="K19" s="160"/>
      <c r="L19" s="682">
        <f t="shared" si="5"/>
        <v>0</v>
      </c>
      <c r="M19" s="682">
        <f t="shared" si="5"/>
        <v>0</v>
      </c>
      <c r="N19" s="682">
        <f t="shared" si="5"/>
        <v>0</v>
      </c>
      <c r="O19" s="690"/>
      <c r="P19" s="175">
        <f t="shared" si="6"/>
        <v>0</v>
      </c>
      <c r="Q19" s="175">
        <f t="shared" si="6"/>
        <v>0</v>
      </c>
      <c r="R19" s="175">
        <f t="shared" si="6"/>
        <v>0</v>
      </c>
      <c r="S19" s="175">
        <f t="shared" si="12"/>
        <v>0</v>
      </c>
      <c r="T19" s="176">
        <f t="shared" si="7"/>
        <v>0</v>
      </c>
      <c r="U19" s="485"/>
      <c r="V19" s="241">
        <f t="shared" si="8"/>
        <v>0</v>
      </c>
    </row>
    <row r="20" spans="1:22" x14ac:dyDescent="0.25">
      <c r="A20" s="34" t="s">
        <v>328</v>
      </c>
      <c r="B20" s="514" t="s">
        <v>329</v>
      </c>
      <c r="C20" s="160">
        <f>+C120</f>
        <v>808469482</v>
      </c>
      <c r="D20" s="160">
        <f t="shared" ref="D20:J20" si="28">+D120</f>
        <v>808469482</v>
      </c>
      <c r="E20" s="160">
        <f t="shared" si="28"/>
        <v>814469482</v>
      </c>
      <c r="F20" s="160">
        <f t="shared" si="28"/>
        <v>0</v>
      </c>
      <c r="G20" s="506"/>
      <c r="H20" s="160">
        <f t="shared" si="28"/>
        <v>480208383</v>
      </c>
      <c r="I20" s="160">
        <f t="shared" si="28"/>
        <v>647974529</v>
      </c>
      <c r="J20" s="160">
        <f t="shared" si="28"/>
        <v>0</v>
      </c>
      <c r="K20" s="160"/>
      <c r="L20" s="682">
        <f t="shared" si="5"/>
        <v>0.59397218286094811</v>
      </c>
      <c r="M20" s="682">
        <f t="shared" si="5"/>
        <v>0.7955786475987322</v>
      </c>
      <c r="N20" s="682">
        <f t="shared" si="5"/>
        <v>0</v>
      </c>
      <c r="O20" s="690"/>
      <c r="P20" s="160">
        <f t="shared" ref="P20:R20" si="29">+P120</f>
        <v>0</v>
      </c>
      <c r="Q20" s="160">
        <f t="shared" si="29"/>
        <v>6000000</v>
      </c>
      <c r="R20" s="160">
        <f t="shared" si="29"/>
        <v>0</v>
      </c>
      <c r="S20" s="160">
        <f t="shared" si="12"/>
        <v>6000000</v>
      </c>
      <c r="T20" s="176">
        <f t="shared" si="7"/>
        <v>7.4214304109007792E-3</v>
      </c>
      <c r="U20" s="485"/>
      <c r="V20" s="241">
        <f t="shared" si="8"/>
        <v>0</v>
      </c>
    </row>
    <row r="21" spans="1:22" x14ac:dyDescent="0.25">
      <c r="A21" s="34"/>
      <c r="B21" s="514" t="s">
        <v>438</v>
      </c>
      <c r="C21" s="160">
        <f>-C144</f>
        <v>-651420680</v>
      </c>
      <c r="D21" s="160">
        <f t="shared" ref="D21:J21" si="30">-D144</f>
        <v>-651420680</v>
      </c>
      <c r="E21" s="160">
        <f t="shared" si="30"/>
        <v>-657420680</v>
      </c>
      <c r="F21" s="160">
        <f t="shared" si="30"/>
        <v>0</v>
      </c>
      <c r="G21" s="160"/>
      <c r="H21" s="160">
        <f t="shared" si="30"/>
        <v>-322505082</v>
      </c>
      <c r="I21" s="160">
        <f t="shared" si="30"/>
        <v>-490271232</v>
      </c>
      <c r="J21" s="160">
        <f t="shared" si="30"/>
        <v>0</v>
      </c>
      <c r="K21" s="160"/>
      <c r="L21" s="682">
        <f t="shared" si="5"/>
        <v>0.49507958820097636</v>
      </c>
      <c r="M21" s="682">
        <f t="shared" si="5"/>
        <v>0.7457496347696273</v>
      </c>
      <c r="N21" s="682">
        <f t="shared" si="5"/>
        <v>0</v>
      </c>
      <c r="O21" s="690"/>
      <c r="P21" s="160">
        <f t="shared" ref="P21:R21" si="31">-P144</f>
        <v>0</v>
      </c>
      <c r="Q21" s="160">
        <f t="shared" si="31"/>
        <v>-6000000</v>
      </c>
      <c r="R21" s="160">
        <f t="shared" si="31"/>
        <v>0</v>
      </c>
      <c r="S21" s="160">
        <f t="shared" si="12"/>
        <v>-6000000</v>
      </c>
      <c r="T21" s="176">
        <f t="shared" si="7"/>
        <v>9.2106378937800992E-3</v>
      </c>
      <c r="U21" s="485"/>
      <c r="V21" s="241">
        <f t="shared" si="8"/>
        <v>0</v>
      </c>
    </row>
    <row r="22" spans="1:22" x14ac:dyDescent="0.25">
      <c r="A22" s="12"/>
      <c r="B22" s="515" t="s">
        <v>371</v>
      </c>
      <c r="C22" s="164">
        <f>SUM(C13:C21)</f>
        <v>1369849619</v>
      </c>
      <c r="D22" s="164">
        <f>SUM(D13:D21)</f>
        <v>1434961892</v>
      </c>
      <c r="E22" s="164">
        <f>SUM(E13:E21)</f>
        <v>1467238387</v>
      </c>
      <c r="F22" s="164">
        <f>SUM(F13:F21)</f>
        <v>0</v>
      </c>
      <c r="G22" s="507"/>
      <c r="H22" s="164">
        <f>SUM(H13:H21)</f>
        <v>1412569508</v>
      </c>
      <c r="I22" s="164">
        <f>SUM(I13:I21)</f>
        <v>1774693801</v>
      </c>
      <c r="J22" s="164">
        <f>SUM(J13:J21)</f>
        <v>0</v>
      </c>
      <c r="K22" s="164"/>
      <c r="L22" s="684">
        <f t="shared" si="5"/>
        <v>0.98439513681524304</v>
      </c>
      <c r="M22" s="684">
        <f t="shared" si="5"/>
        <v>1.2095470079873258</v>
      </c>
      <c r="N22" s="684">
        <f t="shared" si="5"/>
        <v>0</v>
      </c>
      <c r="O22" s="691"/>
      <c r="P22" s="164">
        <f>SUM(P13:P21)</f>
        <v>65112273</v>
      </c>
      <c r="Q22" s="164">
        <f>SUM(Q13:Q21)</f>
        <v>32276495</v>
      </c>
      <c r="R22" s="164">
        <f>SUM(R13:R21)</f>
        <v>0</v>
      </c>
      <c r="S22" s="164">
        <f t="shared" si="12"/>
        <v>97388768</v>
      </c>
      <c r="T22" s="176">
        <f t="shared" si="7"/>
        <v>7.1094495811222333E-2</v>
      </c>
      <c r="U22" s="486"/>
      <c r="V22" s="241">
        <f t="shared" si="8"/>
        <v>0</v>
      </c>
    </row>
    <row r="23" spans="1:22" x14ac:dyDescent="0.25">
      <c r="A23" s="34"/>
      <c r="B23" s="516" t="s">
        <v>406</v>
      </c>
      <c r="C23" s="178"/>
      <c r="D23" s="178"/>
      <c r="E23" s="178"/>
      <c r="F23" s="178"/>
      <c r="G23" s="508"/>
      <c r="H23" s="178"/>
      <c r="I23" s="178"/>
      <c r="J23" s="178"/>
      <c r="K23" s="178"/>
      <c r="L23" s="692"/>
      <c r="M23" s="692"/>
      <c r="N23" s="692"/>
      <c r="O23" s="693"/>
      <c r="P23" s="178"/>
      <c r="Q23" s="178"/>
      <c r="R23" s="178"/>
      <c r="S23" s="178"/>
      <c r="T23" s="176">
        <f t="shared" si="7"/>
        <v>0</v>
      </c>
      <c r="U23" s="487"/>
      <c r="V23" s="241">
        <f t="shared" si="8"/>
        <v>0</v>
      </c>
    </row>
    <row r="24" spans="1:22" x14ac:dyDescent="0.25">
      <c r="C24" s="498"/>
      <c r="D24" s="74"/>
      <c r="E24" s="74"/>
      <c r="F24" s="524"/>
      <c r="G24" s="74"/>
      <c r="H24" s="498"/>
      <c r="K24" s="74"/>
      <c r="L24" s="658"/>
      <c r="M24" s="658"/>
      <c r="N24" s="699"/>
      <c r="O24" s="650"/>
      <c r="P24" s="498"/>
      <c r="Q24" s="73"/>
      <c r="R24" s="73"/>
      <c r="S24" s="73"/>
      <c r="T24" s="499"/>
      <c r="U24" s="74"/>
    </row>
    <row r="25" spans="1:22" x14ac:dyDescent="0.25">
      <c r="C25" s="498"/>
      <c r="D25" s="74"/>
      <c r="E25" s="74"/>
      <c r="F25" s="524"/>
      <c r="G25" s="74"/>
      <c r="H25" s="510"/>
      <c r="I25" s="217"/>
      <c r="K25" s="74"/>
      <c r="L25" s="658"/>
      <c r="M25" s="658"/>
      <c r="N25" s="699"/>
      <c r="O25" s="650"/>
      <c r="P25" s="498"/>
      <c r="Q25" s="73"/>
      <c r="R25" s="73"/>
      <c r="S25" s="73"/>
      <c r="T25" s="499"/>
      <c r="U25" s="74"/>
    </row>
    <row r="26" spans="1:22" x14ac:dyDescent="0.25">
      <c r="C26" s="498"/>
      <c r="D26" s="74"/>
      <c r="E26" s="74"/>
      <c r="F26" s="524"/>
      <c r="G26" s="74"/>
      <c r="H26" s="510"/>
      <c r="I26" s="218"/>
      <c r="K26" s="74"/>
      <c r="L26" s="658"/>
      <c r="M26" s="658"/>
      <c r="N26" s="699"/>
      <c r="O26" s="650"/>
      <c r="P26" s="498"/>
      <c r="Q26" s="73"/>
      <c r="R26" s="73"/>
      <c r="S26" s="73"/>
      <c r="T26" s="499"/>
      <c r="U26" s="74"/>
    </row>
    <row r="27" spans="1:22" x14ac:dyDescent="0.25">
      <c r="A27" s="320" t="s">
        <v>240</v>
      </c>
      <c r="B27" s="320" t="str">
        <f>+B13</f>
        <v>Működési célú tám-ok államháztartáson belülről</v>
      </c>
      <c r="C27" s="498"/>
      <c r="D27" s="74"/>
      <c r="E27" s="74"/>
      <c r="F27" s="524"/>
      <c r="G27" s="74"/>
      <c r="H27" s="498"/>
      <c r="K27" s="74"/>
      <c r="L27" s="658"/>
      <c r="M27" s="658"/>
      <c r="N27" s="699"/>
      <c r="O27" s="650"/>
      <c r="P27" s="498"/>
      <c r="Q27" s="73"/>
      <c r="R27" s="73"/>
      <c r="S27" s="73"/>
      <c r="T27" s="499"/>
      <c r="U27" s="74"/>
    </row>
    <row r="28" spans="1:22" x14ac:dyDescent="0.25">
      <c r="B28" s="22" t="str">
        <f>+'3. Önk. Kiadások'!A1</f>
        <v>Sülysáp Város Önkormányzata</v>
      </c>
      <c r="C28" s="498">
        <f>+' 2. Önk. Bevételek'!C13</f>
        <v>780199287</v>
      </c>
      <c r="D28" s="73">
        <f>+' 2. Önk. Bevételek'!D13</f>
        <v>780386233</v>
      </c>
      <c r="E28" s="73">
        <f>+' 2. Önk. Bevételek'!E13</f>
        <v>809953175</v>
      </c>
      <c r="F28" s="459">
        <f>+' 2. Önk. Bevételek'!F13</f>
        <v>0</v>
      </c>
      <c r="G28" s="73">
        <f>+'3. Önk. Kiadások'!G13</f>
        <v>0</v>
      </c>
      <c r="H28" s="498">
        <f>+' 2. Önk. Bevételek'!H13</f>
        <v>414017409</v>
      </c>
      <c r="I28" s="73">
        <f>+' 2. Önk. Bevételek'!I13</f>
        <v>602895797</v>
      </c>
      <c r="J28" s="73">
        <f>+' 2. Önk. Bevételek'!J13</f>
        <v>0</v>
      </c>
      <c r="K28" s="73"/>
      <c r="L28" s="660">
        <f t="shared" ref="L28:N36" si="32">IF(D28=0,0,H28/D28)</f>
        <v>0.53052884775838938</v>
      </c>
      <c r="M28" s="660">
        <f t="shared" si="32"/>
        <v>0.74435882913848694</v>
      </c>
      <c r="N28" s="699">
        <f t="shared" si="32"/>
        <v>0</v>
      </c>
      <c r="O28" s="642"/>
      <c r="P28" s="498">
        <f>+' 2. Önk. Bevételek'!P13</f>
        <v>186946</v>
      </c>
      <c r="Q28" s="73">
        <f>+' 2. Önk. Bevételek'!Q13</f>
        <v>29566942</v>
      </c>
      <c r="R28" s="73">
        <f>+' 2. Önk. Bevételek'!R13</f>
        <v>0</v>
      </c>
      <c r="S28" s="73">
        <f t="shared" ref="S28:S34" si="33">+P28*P$8+Q28*Q$8+R28*R$8</f>
        <v>29753888</v>
      </c>
      <c r="T28" s="499"/>
      <c r="U28" s="74"/>
    </row>
    <row r="29" spans="1:22" x14ac:dyDescent="0.25">
      <c r="B29" s="56" t="str">
        <f>+'8. Dr Gáspár HSZK'!A1</f>
        <v>Dr. Gáspár István HSZK</v>
      </c>
      <c r="C29" s="498">
        <f>+'8. Dr Gáspár HSZK'!C93</f>
        <v>0</v>
      </c>
      <c r="D29" s="73">
        <f>+'8. Dr Gáspár HSZK'!D93</f>
        <v>0</v>
      </c>
      <c r="E29" s="73">
        <f>+'8. Dr Gáspár HSZK'!E93</f>
        <v>0</v>
      </c>
      <c r="F29" s="459">
        <f>+'8. Dr Gáspár HSZK'!F93</f>
        <v>0</v>
      </c>
      <c r="G29" s="73"/>
      <c r="H29" s="498">
        <f>+'8. Dr Gáspár HSZK'!H93</f>
        <v>0</v>
      </c>
      <c r="I29" s="73">
        <f>+'8. Dr Gáspár HSZK'!I93</f>
        <v>0</v>
      </c>
      <c r="J29" s="73">
        <f>+'8. Dr Gáspár HSZK'!J93</f>
        <v>0</v>
      </c>
      <c r="K29" s="73"/>
      <c r="L29" s="660">
        <f t="shared" si="32"/>
        <v>0</v>
      </c>
      <c r="M29" s="660">
        <f t="shared" si="32"/>
        <v>0</v>
      </c>
      <c r="N29" s="699">
        <f t="shared" si="32"/>
        <v>0</v>
      </c>
      <c r="O29" s="642"/>
      <c r="P29" s="498">
        <f>+'8. Dr Gáspár HSZK'!P93</f>
        <v>0</v>
      </c>
      <c r="Q29" s="73">
        <f>+'8. Dr Gáspár HSZK'!Q93</f>
        <v>0</v>
      </c>
      <c r="R29" s="73">
        <f>+'8. Dr Gáspár HSZK'!R93</f>
        <v>0</v>
      </c>
      <c r="S29" s="73">
        <f t="shared" si="33"/>
        <v>0</v>
      </c>
      <c r="T29" s="499"/>
      <c r="U29" s="74"/>
    </row>
    <row r="30" spans="1:22" x14ac:dyDescent="0.25">
      <c r="B30" s="56" t="str">
        <f>+'6. Csicsergő'!A1</f>
        <v>SÜLYSÁPI CSICSERGŐ ÓVODA</v>
      </c>
      <c r="C30" s="498">
        <f>+'6. Csicsergő'!C93</f>
        <v>0</v>
      </c>
      <c r="D30" s="73">
        <f>+'6. Csicsergő'!D93</f>
        <v>0</v>
      </c>
      <c r="E30" s="73">
        <f>+'6. Csicsergő'!E93</f>
        <v>0</v>
      </c>
      <c r="F30" s="459">
        <f>+'6. Csicsergő'!F93</f>
        <v>0</v>
      </c>
      <c r="G30" s="73"/>
      <c r="H30" s="498">
        <f>+'6. Csicsergő'!H93</f>
        <v>0</v>
      </c>
      <c r="I30" s="73">
        <f>+'6. Csicsergő'!I93</f>
        <v>0</v>
      </c>
      <c r="J30" s="73">
        <f>+'6. Csicsergő'!J93</f>
        <v>0</v>
      </c>
      <c r="K30" s="73"/>
      <c r="L30" s="660">
        <f t="shared" si="32"/>
        <v>0</v>
      </c>
      <c r="M30" s="660">
        <f t="shared" si="32"/>
        <v>0</v>
      </c>
      <c r="N30" s="699">
        <f t="shared" si="32"/>
        <v>0</v>
      </c>
      <c r="O30" s="642"/>
      <c r="P30" s="498">
        <f>+'6. Csicsergő'!P93</f>
        <v>0</v>
      </c>
      <c r="Q30" s="73">
        <f>+'6. Csicsergő'!Q93</f>
        <v>0</v>
      </c>
      <c r="R30" s="73">
        <f>+'6. Csicsergő'!R93</f>
        <v>0</v>
      </c>
      <c r="S30" s="73">
        <f t="shared" si="33"/>
        <v>0</v>
      </c>
      <c r="T30" s="499"/>
      <c r="U30" s="74"/>
    </row>
    <row r="31" spans="1:22" x14ac:dyDescent="0.25">
      <c r="B31" s="22" t="str">
        <f>+'5. Gólyahír'!A1</f>
        <v>GÓLYAHÍR BÖLCSŐDE</v>
      </c>
      <c r="C31" s="498">
        <f>+'5. Gólyahír'!C93</f>
        <v>0</v>
      </c>
      <c r="D31" s="73">
        <f>+'5. Gólyahír'!D93</f>
        <v>0</v>
      </c>
      <c r="E31" s="73">
        <f>+'5. Gólyahír'!E93</f>
        <v>0</v>
      </c>
      <c r="F31" s="459">
        <f>+'5. Gólyahír'!F93</f>
        <v>0</v>
      </c>
      <c r="G31" s="73"/>
      <c r="H31" s="498">
        <f>+'5. Gólyahír'!H93</f>
        <v>0</v>
      </c>
      <c r="I31" s="73">
        <f>+'5. Gólyahír'!I93</f>
        <v>0</v>
      </c>
      <c r="J31" s="73">
        <f>+'5. Gólyahír'!J93</f>
        <v>0</v>
      </c>
      <c r="K31" s="73"/>
      <c r="L31" s="660">
        <f t="shared" si="32"/>
        <v>0</v>
      </c>
      <c r="M31" s="660">
        <f t="shared" si="32"/>
        <v>0</v>
      </c>
      <c r="N31" s="699">
        <f t="shared" si="32"/>
        <v>0</v>
      </c>
      <c r="O31" s="642"/>
      <c r="P31" s="498">
        <f>+'5. Gólyahír'!P93</f>
        <v>0</v>
      </c>
      <c r="Q31" s="73">
        <f>+'5. Gólyahír'!Q93</f>
        <v>0</v>
      </c>
      <c r="R31" s="73">
        <f>+'5. Gólyahír'!R93</f>
        <v>0</v>
      </c>
      <c r="S31" s="73">
        <f t="shared" si="33"/>
        <v>0</v>
      </c>
      <c r="T31" s="499"/>
      <c r="U31" s="74"/>
    </row>
    <row r="32" spans="1:22" x14ac:dyDescent="0.25">
      <c r="B32" s="73" t="str">
        <f>+'4. Polg.Hiv.'!A1</f>
        <v>POLGÁRMESTERI HIVATAL</v>
      </c>
      <c r="C32" s="498">
        <f>+'4. Polg.Hiv.'!C93</f>
        <v>0</v>
      </c>
      <c r="D32" s="73">
        <f>+'4. Polg.Hiv.'!D93</f>
        <v>2984273</v>
      </c>
      <c r="E32" s="73">
        <f>+'4. Polg.Hiv.'!E93</f>
        <v>2984273</v>
      </c>
      <c r="F32" s="459">
        <f>+'4. Polg.Hiv.'!F93</f>
        <v>0</v>
      </c>
      <c r="G32" s="73"/>
      <c r="H32" s="498">
        <f>+'4. Polg.Hiv.'!H93</f>
        <v>9331645</v>
      </c>
      <c r="I32" s="73">
        <f>+'4. Polg.Hiv.'!I93</f>
        <v>9331645</v>
      </c>
      <c r="J32" s="73">
        <f>+'4. Polg.Hiv.'!J93</f>
        <v>0</v>
      </c>
      <c r="K32" s="73"/>
      <c r="L32" s="660">
        <f t="shared" si="32"/>
        <v>3.1269407993169525</v>
      </c>
      <c r="M32" s="660">
        <f t="shared" si="32"/>
        <v>3.1269407993169525</v>
      </c>
      <c r="N32" s="699">
        <f t="shared" si="32"/>
        <v>0</v>
      </c>
      <c r="O32" s="642"/>
      <c r="P32" s="498">
        <f>+'4. Polg.Hiv.'!P93</f>
        <v>2984273</v>
      </c>
      <c r="Q32" s="73">
        <f>+'4. Polg.Hiv.'!Q93</f>
        <v>0</v>
      </c>
      <c r="R32" s="73">
        <f>+'4. Polg.Hiv.'!R93</f>
        <v>0</v>
      </c>
      <c r="S32" s="73">
        <f t="shared" si="33"/>
        <v>2984273</v>
      </c>
      <c r="T32" s="499"/>
      <c r="U32" s="74"/>
    </row>
    <row r="33" spans="1:21" x14ac:dyDescent="0.25">
      <c r="B33" s="73" t="str">
        <f>+'7. WAMKK'!A1</f>
        <v>Wass Albert Művelődési Központ és Könyvtár</v>
      </c>
      <c r="C33" s="498">
        <f>+'7. WAMKK'!C93</f>
        <v>0</v>
      </c>
      <c r="D33" s="73">
        <f>+'7. WAMKK'!D93</f>
        <v>0</v>
      </c>
      <c r="E33" s="73">
        <f>+'7. WAMKK'!E93</f>
        <v>0</v>
      </c>
      <c r="F33" s="459">
        <f>+'7. WAMKK'!F93</f>
        <v>0</v>
      </c>
      <c r="G33" s="73"/>
      <c r="H33" s="498">
        <f>+'7. WAMKK'!H93</f>
        <v>3054770</v>
      </c>
      <c r="I33" s="73">
        <f>+'7. WAMKK'!I93</f>
        <v>3054770</v>
      </c>
      <c r="J33" s="73">
        <f>+'7. WAMKK'!J93</f>
        <v>0</v>
      </c>
      <c r="K33" s="73"/>
      <c r="L33" s="660">
        <f t="shared" si="32"/>
        <v>0</v>
      </c>
      <c r="M33" s="660">
        <f t="shared" si="32"/>
        <v>0</v>
      </c>
      <c r="N33" s="699">
        <f t="shared" si="32"/>
        <v>0</v>
      </c>
      <c r="O33" s="642"/>
      <c r="P33" s="498">
        <f>+'7. WAMKK'!P93</f>
        <v>0</v>
      </c>
      <c r="Q33" s="73">
        <f>+'7. WAMKK'!Q93</f>
        <v>0</v>
      </c>
      <c r="R33" s="73">
        <f>+'7. WAMKK'!R93</f>
        <v>0</v>
      </c>
      <c r="S33" s="73">
        <f t="shared" si="33"/>
        <v>0</v>
      </c>
      <c r="T33" s="499"/>
      <c r="U33" s="74"/>
    </row>
    <row r="34" spans="1:21" x14ac:dyDescent="0.25">
      <c r="B34" s="73" t="str">
        <f>+'9. Közp. Konyha'!A1</f>
        <v>Központi Konyha</v>
      </c>
      <c r="C34" s="498">
        <f>+'9. Közp. Konyha'!C93</f>
        <v>0</v>
      </c>
      <c r="D34" s="73">
        <f>+'9. Közp. Konyha'!D93</f>
        <v>0</v>
      </c>
      <c r="E34" s="73">
        <f>+'9. Közp. Konyha'!E93</f>
        <v>0</v>
      </c>
      <c r="F34" s="459">
        <f>+'9. Közp. Konyha'!F93</f>
        <v>0</v>
      </c>
      <c r="G34" s="73"/>
      <c r="H34" s="498">
        <f>+'9. Közp. Konyha'!H93</f>
        <v>0</v>
      </c>
      <c r="I34" s="73">
        <f>+'9. Közp. Konyha'!I93</f>
        <v>0</v>
      </c>
      <c r="J34" s="73">
        <f>+'9. Közp. Konyha'!J93</f>
        <v>0</v>
      </c>
      <c r="K34" s="73"/>
      <c r="L34" s="660">
        <f t="shared" si="32"/>
        <v>0</v>
      </c>
      <c r="M34" s="660">
        <f t="shared" si="32"/>
        <v>0</v>
      </c>
      <c r="N34" s="699">
        <f t="shared" si="32"/>
        <v>0</v>
      </c>
      <c r="O34" s="642"/>
      <c r="P34" s="498">
        <f>+'9. Közp. Konyha'!P93</f>
        <v>0</v>
      </c>
      <c r="Q34" s="73">
        <f>+'9. Közp. Konyha'!Q93</f>
        <v>0</v>
      </c>
      <c r="R34" s="73">
        <f>+'9. Közp. Konyha'!R93</f>
        <v>0</v>
      </c>
      <c r="S34" s="73">
        <f t="shared" si="33"/>
        <v>0</v>
      </c>
      <c r="T34" s="499"/>
      <c r="U34" s="74"/>
    </row>
    <row r="35" spans="1:21" ht="8.1" customHeight="1" x14ac:dyDescent="0.25">
      <c r="B35" s="383" t="s">
        <v>443</v>
      </c>
      <c r="C35" s="500"/>
      <c r="D35" s="382"/>
      <c r="E35" s="382"/>
      <c r="F35" s="511"/>
      <c r="G35" s="382"/>
      <c r="H35" s="500"/>
      <c r="I35" s="382"/>
      <c r="J35" s="382"/>
      <c r="K35" s="382"/>
      <c r="L35" s="700"/>
      <c r="M35" s="700"/>
      <c r="N35" s="701"/>
      <c r="O35" s="694"/>
      <c r="P35" s="500"/>
      <c r="Q35" s="382"/>
      <c r="R35" s="382"/>
      <c r="S35" s="382"/>
      <c r="T35" s="499"/>
      <c r="U35" s="74"/>
    </row>
    <row r="36" spans="1:21" x14ac:dyDescent="0.25">
      <c r="A36" s="384" t="str">
        <f>+A27</f>
        <v>B1</v>
      </c>
      <c r="B36" s="364" t="s">
        <v>437</v>
      </c>
      <c r="C36" s="501">
        <f>SUM(C28:C35)</f>
        <v>780199287</v>
      </c>
      <c r="D36" s="365">
        <f t="shared" ref="D36" si="34">SUM(D28:D35)</f>
        <v>783370506</v>
      </c>
      <c r="E36" s="365">
        <f t="shared" ref="E36" si="35">SUM(E28:E35)</f>
        <v>812937448</v>
      </c>
      <c r="F36" s="512">
        <f t="shared" ref="F36" si="36">SUM(F28:F35)</f>
        <v>0</v>
      </c>
      <c r="G36" s="365"/>
      <c r="H36" s="501">
        <f>SUM(H28:H35)</f>
        <v>426403824</v>
      </c>
      <c r="I36" s="365">
        <f t="shared" ref="I36" si="37">SUM(I28:I35)</f>
        <v>615282212</v>
      </c>
      <c r="J36" s="365">
        <f t="shared" ref="J36" si="38">SUM(J28:J35)</f>
        <v>0</v>
      </c>
      <c r="K36" s="365"/>
      <c r="L36" s="702">
        <f t="shared" si="32"/>
        <v>0.54431947684280058</v>
      </c>
      <c r="M36" s="702">
        <f t="shared" si="32"/>
        <v>0.75686292163526958</v>
      </c>
      <c r="N36" s="703">
        <f t="shared" si="32"/>
        <v>0</v>
      </c>
      <c r="O36" s="695"/>
      <c r="P36" s="501">
        <f>SUM(P28:P35)</f>
        <v>3171219</v>
      </c>
      <c r="Q36" s="365">
        <f t="shared" ref="Q36" si="39">SUM(Q28:Q35)</f>
        <v>29566942</v>
      </c>
      <c r="R36" s="365">
        <f t="shared" ref="R36" si="40">SUM(R28:R35)</f>
        <v>0</v>
      </c>
      <c r="S36" s="365">
        <f>+P36*P$8+Q36*Q$8+R36*R$8</f>
        <v>32738161</v>
      </c>
      <c r="T36" s="499"/>
      <c r="U36" s="74"/>
    </row>
    <row r="37" spans="1:21" x14ac:dyDescent="0.25">
      <c r="C37" s="498"/>
      <c r="D37" s="74"/>
      <c r="E37" s="74"/>
      <c r="F37" s="524"/>
      <c r="G37" s="74"/>
      <c r="H37" s="498"/>
      <c r="K37" s="74"/>
      <c r="L37" s="658"/>
      <c r="M37" s="658"/>
      <c r="N37" s="699"/>
      <c r="O37" s="650"/>
      <c r="P37" s="498"/>
      <c r="Q37" s="73"/>
      <c r="R37" s="73"/>
      <c r="S37" s="73"/>
      <c r="T37" s="499"/>
      <c r="U37" s="74"/>
    </row>
    <row r="38" spans="1:21" x14ac:dyDescent="0.25">
      <c r="C38" s="498"/>
      <c r="D38" s="74"/>
      <c r="E38" s="74"/>
      <c r="F38" s="524"/>
      <c r="G38" s="74"/>
      <c r="H38" s="498"/>
      <c r="K38" s="74"/>
      <c r="L38" s="658"/>
      <c r="M38" s="658"/>
      <c r="N38" s="699"/>
      <c r="O38" s="650"/>
      <c r="P38" s="498"/>
      <c r="Q38" s="73"/>
      <c r="R38" s="73"/>
      <c r="S38" s="73"/>
      <c r="T38" s="499"/>
      <c r="U38" s="74"/>
    </row>
    <row r="39" spans="1:21" x14ac:dyDescent="0.25">
      <c r="A39" s="320" t="s">
        <v>261</v>
      </c>
      <c r="B39" s="320" t="str">
        <f>+B14</f>
        <v>Felhalmozási célú tám-ok államházt-on belülről</v>
      </c>
      <c r="C39" s="498"/>
      <c r="D39" s="74"/>
      <c r="E39" s="74"/>
      <c r="F39" s="524"/>
      <c r="G39" s="74"/>
      <c r="H39" s="498"/>
      <c r="K39" s="74"/>
      <c r="L39" s="658"/>
      <c r="M39" s="658"/>
      <c r="N39" s="699"/>
      <c r="O39" s="650"/>
      <c r="P39" s="498"/>
      <c r="Q39" s="73"/>
      <c r="R39" s="73"/>
      <c r="S39" s="73">
        <f t="shared" ref="S39:S46" si="41">+P39*P$8+Q39*Q$8+R39*R$8</f>
        <v>0</v>
      </c>
      <c r="T39" s="499"/>
      <c r="U39" s="74"/>
    </row>
    <row r="40" spans="1:21" x14ac:dyDescent="0.25">
      <c r="B40" s="56" t="str">
        <f t="shared" ref="B40:B46" si="42">+B28</f>
        <v>Sülysáp Város Önkormányzata</v>
      </c>
      <c r="C40" s="498">
        <f>+' 2. Önk. Bevételek'!C30</f>
        <v>70000000</v>
      </c>
      <c r="D40" s="73">
        <f>+' 2. Önk. Bevételek'!D30</f>
        <v>69813054</v>
      </c>
      <c r="E40" s="73">
        <f>+' 2. Önk. Bevételek'!E30</f>
        <v>69813054</v>
      </c>
      <c r="F40" s="459">
        <f>+' 2. Önk. Bevételek'!F30</f>
        <v>0</v>
      </c>
      <c r="G40" s="74"/>
      <c r="H40" s="498">
        <f>+' 2. Önk. Bevételek'!H30</f>
        <v>335582001</v>
      </c>
      <c r="I40" s="73">
        <f>+' 2. Önk. Bevételek'!I30</f>
        <v>359844539</v>
      </c>
      <c r="J40" s="73">
        <f>+' 2. Önk. Bevételek'!J30</f>
        <v>0</v>
      </c>
      <c r="K40" s="74"/>
      <c r="L40" s="660">
        <f t="shared" ref="L40:L46" si="43">IF(D40=0,0,H40/D40)</f>
        <v>4.8068660769374167</v>
      </c>
      <c r="M40" s="660">
        <f t="shared" ref="M40:M46" si="44">IF(E40=0,0,I40/E40)</f>
        <v>5.1544019117112398</v>
      </c>
      <c r="N40" s="699">
        <f t="shared" ref="N40:N46" si="45">IF(F40=0,0,J40/F40)</f>
        <v>0</v>
      </c>
      <c r="O40" s="650"/>
      <c r="P40" s="498">
        <f>+' 2. Önk. Bevételek'!P30</f>
        <v>-186946</v>
      </c>
      <c r="Q40" s="73">
        <f>+' 2. Önk. Bevételek'!Q30</f>
        <v>0</v>
      </c>
      <c r="R40" s="73">
        <f>+' 2. Önk. Bevételek'!R30</f>
        <v>0</v>
      </c>
      <c r="S40" s="73">
        <f t="shared" si="41"/>
        <v>-186946</v>
      </c>
      <c r="T40" s="499"/>
      <c r="U40" s="74"/>
    </row>
    <row r="41" spans="1:21" x14ac:dyDescent="0.25">
      <c r="B41" s="56" t="str">
        <f t="shared" si="42"/>
        <v>Dr. Gáspár István HSZK</v>
      </c>
      <c r="C41" s="498"/>
      <c r="D41" s="73"/>
      <c r="E41" s="73"/>
      <c r="F41" s="459"/>
      <c r="G41" s="73"/>
      <c r="H41" s="498"/>
      <c r="I41" s="73"/>
      <c r="J41" s="73"/>
      <c r="K41" s="73"/>
      <c r="L41" s="660">
        <f t="shared" si="43"/>
        <v>0</v>
      </c>
      <c r="M41" s="660">
        <f t="shared" si="44"/>
        <v>0</v>
      </c>
      <c r="N41" s="699">
        <f t="shared" si="45"/>
        <v>0</v>
      </c>
      <c r="O41" s="642"/>
      <c r="P41" s="498"/>
      <c r="Q41" s="73"/>
      <c r="R41" s="73"/>
      <c r="S41" s="73">
        <f t="shared" si="41"/>
        <v>0</v>
      </c>
      <c r="T41" s="499"/>
      <c r="U41" s="74"/>
    </row>
    <row r="42" spans="1:21" x14ac:dyDescent="0.25">
      <c r="B42" s="56" t="str">
        <f t="shared" si="42"/>
        <v>SÜLYSÁPI CSICSERGŐ ÓVODA</v>
      </c>
      <c r="C42" s="498"/>
      <c r="D42" s="73"/>
      <c r="E42" s="73"/>
      <c r="F42" s="459"/>
      <c r="G42" s="73"/>
      <c r="H42" s="498"/>
      <c r="I42" s="73"/>
      <c r="J42" s="73"/>
      <c r="K42" s="73"/>
      <c r="L42" s="660">
        <f t="shared" si="43"/>
        <v>0</v>
      </c>
      <c r="M42" s="660">
        <f t="shared" si="44"/>
        <v>0</v>
      </c>
      <c r="N42" s="699">
        <f t="shared" si="45"/>
        <v>0</v>
      </c>
      <c r="O42" s="642"/>
      <c r="P42" s="498"/>
      <c r="Q42" s="73"/>
      <c r="R42" s="73"/>
      <c r="S42" s="73">
        <f t="shared" si="41"/>
        <v>0</v>
      </c>
      <c r="T42" s="499"/>
      <c r="U42" s="74"/>
    </row>
    <row r="43" spans="1:21" x14ac:dyDescent="0.25">
      <c r="B43" s="56" t="str">
        <f t="shared" si="42"/>
        <v>GÓLYAHÍR BÖLCSŐDE</v>
      </c>
      <c r="C43" s="498"/>
      <c r="D43" s="73"/>
      <c r="E43" s="73"/>
      <c r="F43" s="459"/>
      <c r="G43" s="73"/>
      <c r="H43" s="498"/>
      <c r="I43" s="73"/>
      <c r="J43" s="73"/>
      <c r="K43" s="73"/>
      <c r="L43" s="660">
        <f t="shared" si="43"/>
        <v>0</v>
      </c>
      <c r="M43" s="660">
        <f t="shared" si="44"/>
        <v>0</v>
      </c>
      <c r="N43" s="699">
        <f t="shared" si="45"/>
        <v>0</v>
      </c>
      <c r="O43" s="642"/>
      <c r="P43" s="498"/>
      <c r="Q43" s="73"/>
      <c r="R43" s="73"/>
      <c r="S43" s="73">
        <f t="shared" si="41"/>
        <v>0</v>
      </c>
      <c r="T43" s="499"/>
      <c r="U43" s="74"/>
    </row>
    <row r="44" spans="1:21" x14ac:dyDescent="0.25">
      <c r="B44" s="56" t="str">
        <f t="shared" si="42"/>
        <v>POLGÁRMESTERI HIVATAL</v>
      </c>
      <c r="C44" s="498"/>
      <c r="D44" s="73"/>
      <c r="E44" s="73"/>
      <c r="F44" s="459"/>
      <c r="G44" s="73"/>
      <c r="H44" s="498"/>
      <c r="I44" s="73"/>
      <c r="J44" s="73"/>
      <c r="K44" s="73"/>
      <c r="L44" s="660">
        <f t="shared" si="43"/>
        <v>0</v>
      </c>
      <c r="M44" s="660">
        <f t="shared" si="44"/>
        <v>0</v>
      </c>
      <c r="N44" s="699">
        <f t="shared" si="45"/>
        <v>0</v>
      </c>
      <c r="O44" s="642"/>
      <c r="P44" s="498"/>
      <c r="Q44" s="73"/>
      <c r="R44" s="73"/>
      <c r="S44" s="73">
        <f t="shared" si="41"/>
        <v>0</v>
      </c>
      <c r="T44" s="499"/>
      <c r="U44" s="74"/>
    </row>
    <row r="45" spans="1:21" x14ac:dyDescent="0.25">
      <c r="B45" s="56" t="str">
        <f t="shared" si="42"/>
        <v>Wass Albert Művelődési Központ és Könyvtár</v>
      </c>
      <c r="C45" s="498"/>
      <c r="D45" s="73"/>
      <c r="E45" s="73"/>
      <c r="F45" s="459"/>
      <c r="G45" s="73"/>
      <c r="H45" s="498"/>
      <c r="I45" s="73"/>
      <c r="J45" s="73"/>
      <c r="K45" s="73"/>
      <c r="L45" s="660">
        <f t="shared" si="43"/>
        <v>0</v>
      </c>
      <c r="M45" s="660">
        <f t="shared" si="44"/>
        <v>0</v>
      </c>
      <c r="N45" s="699">
        <f t="shared" si="45"/>
        <v>0</v>
      </c>
      <c r="O45" s="642"/>
      <c r="P45" s="498"/>
      <c r="Q45" s="73"/>
      <c r="R45" s="73"/>
      <c r="S45" s="73">
        <f t="shared" si="41"/>
        <v>0</v>
      </c>
      <c r="T45" s="499"/>
      <c r="U45" s="74"/>
    </row>
    <row r="46" spans="1:21" x14ac:dyDescent="0.25">
      <c r="B46" s="56" t="str">
        <f t="shared" si="42"/>
        <v>Központi Konyha</v>
      </c>
      <c r="C46" s="498"/>
      <c r="D46" s="73"/>
      <c r="E46" s="73"/>
      <c r="F46" s="459"/>
      <c r="G46" s="73"/>
      <c r="H46" s="498"/>
      <c r="I46" s="73"/>
      <c r="J46" s="73"/>
      <c r="K46" s="73"/>
      <c r="L46" s="660">
        <f t="shared" si="43"/>
        <v>0</v>
      </c>
      <c r="M46" s="660">
        <f t="shared" si="44"/>
        <v>0</v>
      </c>
      <c r="N46" s="699">
        <f t="shared" si="45"/>
        <v>0</v>
      </c>
      <c r="O46" s="642"/>
      <c r="P46" s="498"/>
      <c r="Q46" s="73"/>
      <c r="R46" s="73"/>
      <c r="S46" s="73">
        <f t="shared" si="41"/>
        <v>0</v>
      </c>
      <c r="T46" s="499"/>
      <c r="U46" s="74"/>
    </row>
    <row r="47" spans="1:21" ht="8.1" customHeight="1" x14ac:dyDescent="0.25">
      <c r="B47" s="383" t="s">
        <v>443</v>
      </c>
      <c r="C47" s="500"/>
      <c r="D47" s="382"/>
      <c r="E47" s="382"/>
      <c r="F47" s="511"/>
      <c r="G47" s="382"/>
      <c r="H47" s="500"/>
      <c r="I47" s="382"/>
      <c r="J47" s="382"/>
      <c r="K47" s="382"/>
      <c r="L47" s="700"/>
      <c r="M47" s="700"/>
      <c r="N47" s="701"/>
      <c r="O47" s="694"/>
      <c r="P47" s="500"/>
      <c r="Q47" s="382"/>
      <c r="R47" s="382"/>
      <c r="S47" s="382"/>
      <c r="T47" s="499"/>
      <c r="U47" s="74"/>
    </row>
    <row r="48" spans="1:21" x14ac:dyDescent="0.25">
      <c r="A48" s="384" t="str">
        <f>+A39</f>
        <v>B2</v>
      </c>
      <c r="B48" s="364" t="s">
        <v>437</v>
      </c>
      <c r="C48" s="501">
        <f>SUM(C40:C47)</f>
        <v>70000000</v>
      </c>
      <c r="D48" s="365">
        <f t="shared" ref="D48" si="46">SUM(D40:D47)</f>
        <v>69813054</v>
      </c>
      <c r="E48" s="365">
        <f t="shared" ref="E48" si="47">SUM(E40:E47)</f>
        <v>69813054</v>
      </c>
      <c r="F48" s="512">
        <f t="shared" ref="F48" si="48">SUM(F40:F47)</f>
        <v>0</v>
      </c>
      <c r="G48" s="365"/>
      <c r="H48" s="501">
        <f>SUM(H40:H47)</f>
        <v>335582001</v>
      </c>
      <c r="I48" s="365">
        <f t="shared" ref="I48" si="49">SUM(I40:I47)</f>
        <v>359844539</v>
      </c>
      <c r="J48" s="365">
        <f t="shared" ref="J48" si="50">SUM(J40:J47)</f>
        <v>0</v>
      </c>
      <c r="K48" s="365"/>
      <c r="L48" s="702">
        <f t="shared" ref="L48" si="51">IF(D48=0,0,H48/D48)</f>
        <v>4.8068660769374167</v>
      </c>
      <c r="M48" s="702">
        <f t="shared" ref="M48" si="52">IF(E48=0,0,I48/E48)</f>
        <v>5.1544019117112398</v>
      </c>
      <c r="N48" s="703">
        <f t="shared" ref="N48" si="53">IF(F48=0,0,J48/F48)</f>
        <v>0</v>
      </c>
      <c r="O48" s="695"/>
      <c r="P48" s="501">
        <f>SUM(P40:P47)</f>
        <v>-186946</v>
      </c>
      <c r="Q48" s="365">
        <f t="shared" ref="Q48" si="54">SUM(Q40:Q47)</f>
        <v>0</v>
      </c>
      <c r="R48" s="365">
        <f t="shared" ref="R48" si="55">SUM(R40:R47)</f>
        <v>0</v>
      </c>
      <c r="S48" s="365">
        <f>+P48*P$8+Q48*Q$8+R48*R$8</f>
        <v>-186946</v>
      </c>
      <c r="T48" s="499"/>
      <c r="U48" s="74"/>
    </row>
    <row r="49" spans="1:21" x14ac:dyDescent="0.25">
      <c r="C49" s="498"/>
      <c r="D49" s="74"/>
      <c r="E49" s="74"/>
      <c r="F49" s="524"/>
      <c r="G49" s="74"/>
      <c r="H49" s="498"/>
      <c r="K49" s="74"/>
      <c r="L49" s="658"/>
      <c r="M49" s="658"/>
      <c r="N49" s="699"/>
      <c r="O49" s="650"/>
      <c r="P49" s="498"/>
      <c r="Q49" s="73"/>
      <c r="R49" s="73"/>
      <c r="S49" s="73"/>
      <c r="T49" s="499"/>
      <c r="U49" s="74"/>
    </row>
    <row r="50" spans="1:21" x14ac:dyDescent="0.25">
      <c r="C50" s="498"/>
      <c r="D50" s="74"/>
      <c r="E50" s="74"/>
      <c r="F50" s="524"/>
      <c r="G50" s="74"/>
      <c r="H50" s="498"/>
      <c r="K50" s="74"/>
      <c r="L50" s="658"/>
      <c r="M50" s="658"/>
      <c r="N50" s="699"/>
      <c r="O50" s="650"/>
      <c r="P50" s="498"/>
      <c r="Q50" s="73"/>
      <c r="R50" s="73"/>
      <c r="S50" s="73"/>
      <c r="T50" s="499"/>
      <c r="U50" s="74"/>
    </row>
    <row r="51" spans="1:21" x14ac:dyDescent="0.25">
      <c r="A51" s="320" t="s">
        <v>269</v>
      </c>
      <c r="B51" s="381" t="str">
        <f>+B15</f>
        <v>Közhatalmi bevételek</v>
      </c>
      <c r="C51" s="498"/>
      <c r="D51" s="74"/>
      <c r="E51" s="74"/>
      <c r="F51" s="524"/>
      <c r="G51" s="74"/>
      <c r="H51" s="498"/>
      <c r="K51" s="74"/>
      <c r="L51" s="658"/>
      <c r="M51" s="658"/>
      <c r="N51" s="699"/>
      <c r="O51" s="650"/>
      <c r="P51" s="498"/>
      <c r="Q51" s="73"/>
      <c r="R51" s="73"/>
      <c r="S51" s="73"/>
      <c r="T51" s="499"/>
      <c r="U51" s="74"/>
    </row>
    <row r="52" spans="1:21" x14ac:dyDescent="0.25">
      <c r="B52" s="56" t="str">
        <f t="shared" ref="B52:B58" si="56">+B40</f>
        <v>Sülysáp Város Önkormányzata</v>
      </c>
      <c r="C52" s="498">
        <f>+' 2. Önk. Bevételek'!C39</f>
        <v>200000000</v>
      </c>
      <c r="D52" s="73">
        <f>+' 2. Önk. Bevételek'!D39</f>
        <v>200000000</v>
      </c>
      <c r="E52" s="73">
        <f>+' 2. Önk. Bevételek'!E39</f>
        <v>200000000</v>
      </c>
      <c r="F52" s="459">
        <f>+' 2. Önk. Bevételek'!F39</f>
        <v>0</v>
      </c>
      <c r="G52" s="74"/>
      <c r="H52" s="498">
        <f>+' 2. Önk. Bevételek'!H39</f>
        <v>122999106</v>
      </c>
      <c r="I52" s="73">
        <f>+' 2. Önk. Bevételek'!I39</f>
        <v>223760794</v>
      </c>
      <c r="J52" s="73">
        <f>+' 2. Önk. Bevételek'!J39</f>
        <v>0</v>
      </c>
      <c r="K52" s="74"/>
      <c r="L52" s="660">
        <f t="shared" ref="L52:L58" si="57">IF(D52=0,0,H52/D52)</f>
        <v>0.61499552999999996</v>
      </c>
      <c r="M52" s="660">
        <f t="shared" ref="M52:M58" si="58">IF(E52=0,0,I52/E52)</f>
        <v>1.1188039700000001</v>
      </c>
      <c r="N52" s="699">
        <f t="shared" ref="N52:N58" si="59">IF(F52=0,0,J52/F52)</f>
        <v>0</v>
      </c>
      <c r="O52" s="650"/>
      <c r="P52" s="498">
        <f>+' 2. Önk. Bevételek'!P39</f>
        <v>0</v>
      </c>
      <c r="Q52" s="73">
        <f>+' 2. Önk. Bevételek'!Q39</f>
        <v>0</v>
      </c>
      <c r="R52" s="73">
        <f>+' 2. Önk. Bevételek'!R39</f>
        <v>0</v>
      </c>
      <c r="S52" s="73">
        <f t="shared" ref="S52:S58" si="60">+P52*P$8+Q52*Q$8+R52*R$8</f>
        <v>0</v>
      </c>
      <c r="T52" s="499"/>
      <c r="U52" s="74"/>
    </row>
    <row r="53" spans="1:21" x14ac:dyDescent="0.25">
      <c r="A53" s="56"/>
      <c r="B53" s="56" t="str">
        <f t="shared" si="56"/>
        <v>Dr. Gáspár István HSZK</v>
      </c>
      <c r="C53" s="498"/>
      <c r="D53" s="73"/>
      <c r="E53" s="73"/>
      <c r="F53" s="459"/>
      <c r="G53" s="73"/>
      <c r="H53" s="498"/>
      <c r="I53" s="73"/>
      <c r="J53" s="73"/>
      <c r="K53" s="73"/>
      <c r="L53" s="660">
        <f t="shared" si="57"/>
        <v>0</v>
      </c>
      <c r="M53" s="660">
        <f t="shared" si="58"/>
        <v>0</v>
      </c>
      <c r="N53" s="699">
        <f t="shared" si="59"/>
        <v>0</v>
      </c>
      <c r="O53" s="642"/>
      <c r="P53" s="498"/>
      <c r="Q53" s="73"/>
      <c r="R53" s="73"/>
      <c r="S53" s="73">
        <f t="shared" si="60"/>
        <v>0</v>
      </c>
      <c r="T53" s="499"/>
      <c r="U53" s="74"/>
    </row>
    <row r="54" spans="1:21" x14ac:dyDescent="0.25">
      <c r="B54" s="56" t="str">
        <f t="shared" si="56"/>
        <v>SÜLYSÁPI CSICSERGŐ ÓVODA</v>
      </c>
      <c r="C54" s="498"/>
      <c r="D54" s="73"/>
      <c r="E54" s="73"/>
      <c r="F54" s="459"/>
      <c r="G54" s="73"/>
      <c r="H54" s="498"/>
      <c r="I54" s="73"/>
      <c r="J54" s="73"/>
      <c r="K54" s="73"/>
      <c r="L54" s="660">
        <f t="shared" si="57"/>
        <v>0</v>
      </c>
      <c r="M54" s="660">
        <f t="shared" si="58"/>
        <v>0</v>
      </c>
      <c r="N54" s="699">
        <f t="shared" si="59"/>
        <v>0</v>
      </c>
      <c r="O54" s="642"/>
      <c r="P54" s="498"/>
      <c r="Q54" s="73"/>
      <c r="R54" s="73"/>
      <c r="S54" s="73">
        <f t="shared" si="60"/>
        <v>0</v>
      </c>
      <c r="T54" s="499"/>
      <c r="U54" s="74"/>
    </row>
    <row r="55" spans="1:21" x14ac:dyDescent="0.25">
      <c r="B55" s="56" t="str">
        <f t="shared" si="56"/>
        <v>GÓLYAHÍR BÖLCSŐDE</v>
      </c>
      <c r="C55" s="498"/>
      <c r="D55" s="73"/>
      <c r="E55" s="73"/>
      <c r="F55" s="459"/>
      <c r="G55" s="73"/>
      <c r="H55" s="498"/>
      <c r="I55" s="73"/>
      <c r="J55" s="73"/>
      <c r="K55" s="73"/>
      <c r="L55" s="660">
        <f t="shared" si="57"/>
        <v>0</v>
      </c>
      <c r="M55" s="660">
        <f t="shared" si="58"/>
        <v>0</v>
      </c>
      <c r="N55" s="699">
        <f t="shared" si="59"/>
        <v>0</v>
      </c>
      <c r="O55" s="642"/>
      <c r="P55" s="498"/>
      <c r="Q55" s="73"/>
      <c r="R55" s="73"/>
      <c r="S55" s="73">
        <f t="shared" si="60"/>
        <v>0</v>
      </c>
      <c r="T55" s="499"/>
      <c r="U55" s="74"/>
    </row>
    <row r="56" spans="1:21" x14ac:dyDescent="0.25">
      <c r="B56" s="56" t="str">
        <f t="shared" si="56"/>
        <v>POLGÁRMESTERI HIVATAL</v>
      </c>
      <c r="C56" s="498"/>
      <c r="D56" s="73"/>
      <c r="E56" s="73"/>
      <c r="F56" s="459"/>
      <c r="G56" s="73"/>
      <c r="H56" s="498"/>
      <c r="I56" s="73"/>
      <c r="J56" s="73"/>
      <c r="K56" s="73"/>
      <c r="L56" s="660">
        <f t="shared" si="57"/>
        <v>0</v>
      </c>
      <c r="M56" s="660">
        <f t="shared" si="58"/>
        <v>0</v>
      </c>
      <c r="N56" s="699">
        <f t="shared" si="59"/>
        <v>0</v>
      </c>
      <c r="O56" s="642"/>
      <c r="P56" s="498"/>
      <c r="Q56" s="73"/>
      <c r="R56" s="73"/>
      <c r="S56" s="73">
        <f t="shared" si="60"/>
        <v>0</v>
      </c>
      <c r="T56" s="499"/>
      <c r="U56" s="74"/>
    </row>
    <row r="57" spans="1:21" x14ac:dyDescent="0.25">
      <c r="B57" s="56" t="str">
        <f t="shared" si="56"/>
        <v>Wass Albert Művelődési Központ és Könyvtár</v>
      </c>
      <c r="C57" s="498"/>
      <c r="D57" s="73"/>
      <c r="E57" s="73"/>
      <c r="F57" s="459"/>
      <c r="G57" s="73"/>
      <c r="H57" s="498"/>
      <c r="I57" s="73"/>
      <c r="J57" s="73"/>
      <c r="K57" s="73"/>
      <c r="L57" s="660">
        <f t="shared" si="57"/>
        <v>0</v>
      </c>
      <c r="M57" s="660">
        <f t="shared" si="58"/>
        <v>0</v>
      </c>
      <c r="N57" s="699">
        <f t="shared" si="59"/>
        <v>0</v>
      </c>
      <c r="O57" s="642"/>
      <c r="P57" s="498"/>
      <c r="Q57" s="73"/>
      <c r="R57" s="73"/>
      <c r="S57" s="73">
        <f t="shared" si="60"/>
        <v>0</v>
      </c>
      <c r="T57" s="499"/>
      <c r="U57" s="74"/>
    </row>
    <row r="58" spans="1:21" x14ac:dyDescent="0.25">
      <c r="B58" s="56" t="str">
        <f t="shared" si="56"/>
        <v>Központi Konyha</v>
      </c>
      <c r="C58" s="498"/>
      <c r="D58" s="73"/>
      <c r="E58" s="73"/>
      <c r="F58" s="459"/>
      <c r="G58" s="73"/>
      <c r="H58" s="498"/>
      <c r="I58" s="73"/>
      <c r="J58" s="73"/>
      <c r="K58" s="73"/>
      <c r="L58" s="660">
        <f t="shared" si="57"/>
        <v>0</v>
      </c>
      <c r="M58" s="660">
        <f t="shared" si="58"/>
        <v>0</v>
      </c>
      <c r="N58" s="699">
        <f t="shared" si="59"/>
        <v>0</v>
      </c>
      <c r="O58" s="642"/>
      <c r="P58" s="498"/>
      <c r="Q58" s="73"/>
      <c r="R58" s="73"/>
      <c r="S58" s="73">
        <f t="shared" si="60"/>
        <v>0</v>
      </c>
      <c r="T58" s="499"/>
      <c r="U58" s="74"/>
    </row>
    <row r="59" spans="1:21" ht="8.1" customHeight="1" x14ac:dyDescent="0.25">
      <c r="B59" s="383" t="s">
        <v>443</v>
      </c>
      <c r="C59" s="500"/>
      <c r="D59" s="382"/>
      <c r="E59" s="382"/>
      <c r="F59" s="511"/>
      <c r="G59" s="382"/>
      <c r="H59" s="500"/>
      <c r="I59" s="382"/>
      <c r="J59" s="382"/>
      <c r="K59" s="382"/>
      <c r="L59" s="700"/>
      <c r="M59" s="700"/>
      <c r="N59" s="701"/>
      <c r="O59" s="694"/>
      <c r="P59" s="500"/>
      <c r="Q59" s="382"/>
      <c r="R59" s="382"/>
      <c r="S59" s="382"/>
      <c r="T59" s="499"/>
      <c r="U59" s="74"/>
    </row>
    <row r="60" spans="1:21" x14ac:dyDescent="0.25">
      <c r="A60" s="384" t="str">
        <f>+A51</f>
        <v>B3</v>
      </c>
      <c r="B60" s="364" t="s">
        <v>437</v>
      </c>
      <c r="C60" s="501">
        <f>SUM(C52:C59)</f>
        <v>200000000</v>
      </c>
      <c r="D60" s="365">
        <f t="shared" ref="D60:F60" si="61">SUM(D52:D59)</f>
        <v>200000000</v>
      </c>
      <c r="E60" s="365">
        <f t="shared" si="61"/>
        <v>200000000</v>
      </c>
      <c r="F60" s="512">
        <f t="shared" si="61"/>
        <v>0</v>
      </c>
      <c r="G60" s="365"/>
      <c r="H60" s="501">
        <f>SUM(H52:H59)</f>
        <v>122999106</v>
      </c>
      <c r="I60" s="365">
        <f t="shared" ref="I60:J60" si="62">SUM(I52:I59)</f>
        <v>223760794</v>
      </c>
      <c r="J60" s="365">
        <f t="shared" si="62"/>
        <v>0</v>
      </c>
      <c r="K60" s="365"/>
      <c r="L60" s="702">
        <f t="shared" ref="L60" si="63">IF(D60=0,0,H60/D60)</f>
        <v>0.61499552999999996</v>
      </c>
      <c r="M60" s="702">
        <f t="shared" ref="M60" si="64">IF(E60=0,0,I60/E60)</f>
        <v>1.1188039700000001</v>
      </c>
      <c r="N60" s="703">
        <f t="shared" ref="N60" si="65">IF(F60=0,0,J60/F60)</f>
        <v>0</v>
      </c>
      <c r="O60" s="695"/>
      <c r="P60" s="501">
        <f>SUM(P52:P59)</f>
        <v>0</v>
      </c>
      <c r="Q60" s="365">
        <f t="shared" ref="Q60:R60" si="66">SUM(Q52:Q59)</f>
        <v>0</v>
      </c>
      <c r="R60" s="365">
        <f t="shared" si="66"/>
        <v>0</v>
      </c>
      <c r="S60" s="365">
        <f>+P60*P$8+Q60*Q$8+R60*R$8</f>
        <v>0</v>
      </c>
      <c r="T60" s="499"/>
      <c r="U60" s="74"/>
    </row>
    <row r="61" spans="1:21" x14ac:dyDescent="0.25">
      <c r="C61" s="498"/>
      <c r="D61" s="74"/>
      <c r="E61" s="74"/>
      <c r="F61" s="524"/>
      <c r="G61" s="74"/>
      <c r="H61" s="498"/>
      <c r="K61" s="74"/>
      <c r="L61" s="658"/>
      <c r="M61" s="658"/>
      <c r="N61" s="699"/>
      <c r="O61" s="650"/>
      <c r="P61" s="498"/>
      <c r="Q61" s="73"/>
      <c r="R61" s="73"/>
      <c r="S61" s="73"/>
      <c r="T61" s="499"/>
      <c r="U61" s="74"/>
    </row>
    <row r="62" spans="1:21" x14ac:dyDescent="0.25">
      <c r="C62" s="498"/>
      <c r="D62" s="74"/>
      <c r="E62" s="74"/>
      <c r="F62" s="524"/>
      <c r="G62" s="74"/>
      <c r="H62" s="498"/>
      <c r="K62" s="74"/>
      <c r="L62" s="658"/>
      <c r="M62" s="658"/>
      <c r="N62" s="699"/>
      <c r="O62" s="650"/>
      <c r="P62" s="498"/>
      <c r="Q62" s="73"/>
      <c r="R62" s="73"/>
      <c r="S62" s="73"/>
      <c r="T62" s="499"/>
      <c r="U62" s="74"/>
    </row>
    <row r="63" spans="1:21" x14ac:dyDescent="0.25">
      <c r="A63" s="320" t="s">
        <v>282</v>
      </c>
      <c r="B63" s="320" t="str">
        <f>+B16</f>
        <v>Működési bevételek</v>
      </c>
      <c r="C63" s="498"/>
      <c r="D63" s="74"/>
      <c r="E63" s="74"/>
      <c r="F63" s="524"/>
      <c r="G63" s="74"/>
      <c r="H63" s="498"/>
      <c r="K63" s="74"/>
      <c r="L63" s="658"/>
      <c r="M63" s="658"/>
      <c r="N63" s="699"/>
      <c r="O63" s="650"/>
      <c r="P63" s="498"/>
      <c r="Q63" s="73"/>
      <c r="R63" s="73"/>
      <c r="S63" s="73"/>
      <c r="T63" s="499"/>
      <c r="U63" s="74"/>
    </row>
    <row r="64" spans="1:21" x14ac:dyDescent="0.25">
      <c r="B64" s="56" t="str">
        <f t="shared" ref="B64:B70" si="67">+B52</f>
        <v>Sülysáp Város Önkormányzata</v>
      </c>
      <c r="C64" s="498">
        <f>+' 2. Önk. Bevételek'!C50</f>
        <v>54050000</v>
      </c>
      <c r="D64" s="73">
        <f>+' 2. Önk. Bevételek'!D50</f>
        <v>54050000</v>
      </c>
      <c r="E64" s="73">
        <f>+' 2. Önk. Bevételek'!E50</f>
        <v>54050000</v>
      </c>
      <c r="F64" s="459">
        <f>+' 2. Önk. Bevételek'!F50</f>
        <v>0</v>
      </c>
      <c r="G64" s="74"/>
      <c r="H64" s="498">
        <f>+' 2. Önk. Bevételek'!H50</f>
        <v>36982630</v>
      </c>
      <c r="I64" s="73">
        <f>+' 2. Önk. Bevételek'!I50</f>
        <v>62593860</v>
      </c>
      <c r="J64" s="73">
        <f>+' 2. Önk. Bevételek'!J50</f>
        <v>0</v>
      </c>
      <c r="K64" s="74"/>
      <c r="L64" s="660">
        <f t="shared" ref="L64:L70" si="68">IF(D64=0,0,H64/D64)</f>
        <v>0.68422997224791859</v>
      </c>
      <c r="M64" s="660">
        <f t="shared" ref="M64:M70" si="69">IF(E64=0,0,I64/E64)</f>
        <v>1.1580732654949122</v>
      </c>
      <c r="N64" s="699">
        <f t="shared" ref="N64:N70" si="70">IF(F64=0,0,J64/F64)</f>
        <v>0</v>
      </c>
      <c r="O64" s="650"/>
      <c r="P64" s="498">
        <f>+' 2. Önk. Bevételek'!P50</f>
        <v>-4.6566128730773926E-10</v>
      </c>
      <c r="Q64" s="73">
        <f>+' 2. Önk. Bevételek'!Q50</f>
        <v>0</v>
      </c>
      <c r="R64" s="73">
        <f>+' 2. Önk. Bevételek'!R50</f>
        <v>0</v>
      </c>
      <c r="S64" s="73">
        <f t="shared" ref="S64:S70" si="71">+P64*P$8+Q64*Q$8+R64*R$8</f>
        <v>-4.6566128730773926E-10</v>
      </c>
      <c r="T64" s="499"/>
      <c r="U64" s="74"/>
    </row>
    <row r="65" spans="1:21" x14ac:dyDescent="0.25">
      <c r="A65" s="56"/>
      <c r="B65" s="56" t="str">
        <f t="shared" si="67"/>
        <v>Dr. Gáspár István HSZK</v>
      </c>
      <c r="C65" s="498">
        <f>+'8. Dr Gáspár HSZK'!C95</f>
        <v>7605000</v>
      </c>
      <c r="D65" s="73">
        <f>+'8. Dr Gáspár HSZK'!D95</f>
        <v>7605000</v>
      </c>
      <c r="E65" s="73">
        <f>+'8. Dr Gáspár HSZK'!E95</f>
        <v>7605000</v>
      </c>
      <c r="F65" s="459">
        <f>+'8. Dr Gáspár HSZK'!F95</f>
        <v>0</v>
      </c>
      <c r="G65" s="73"/>
      <c r="H65" s="498">
        <f>+'8. Dr Gáspár HSZK'!H95</f>
        <v>2960245</v>
      </c>
      <c r="I65" s="73">
        <f>+'8. Dr Gáspár HSZK'!I95</f>
        <v>4610080</v>
      </c>
      <c r="J65" s="73">
        <f>+'8. Dr Gáspár HSZK'!J95</f>
        <v>0</v>
      </c>
      <c r="K65" s="73"/>
      <c r="L65" s="660">
        <f t="shared" si="68"/>
        <v>0.38924983563445104</v>
      </c>
      <c r="M65" s="660">
        <f t="shared" si="69"/>
        <v>0.60619066403681787</v>
      </c>
      <c r="N65" s="699">
        <f t="shared" si="70"/>
        <v>0</v>
      </c>
      <c r="O65" s="642"/>
      <c r="P65" s="498">
        <f>+'8. Dr Gáspár HSZK'!P95</f>
        <v>0</v>
      </c>
      <c r="Q65" s="73">
        <f>+'8. Dr Gáspár HSZK'!Q95</f>
        <v>0</v>
      </c>
      <c r="R65" s="73">
        <f>+'8. Dr Gáspár HSZK'!R95</f>
        <v>0</v>
      </c>
      <c r="S65" s="73">
        <f t="shared" si="71"/>
        <v>0</v>
      </c>
      <c r="T65" s="499"/>
      <c r="U65" s="74"/>
    </row>
    <row r="66" spans="1:21" x14ac:dyDescent="0.25">
      <c r="B66" s="56" t="str">
        <f t="shared" si="67"/>
        <v>SÜLYSÁPI CSICSERGŐ ÓVODA</v>
      </c>
      <c r="C66" s="498">
        <f>+'6. Csicsergő'!C95</f>
        <v>5000</v>
      </c>
      <c r="D66" s="73">
        <f>+'6. Csicsergő'!D95</f>
        <v>5000</v>
      </c>
      <c r="E66" s="73">
        <f>+'6. Csicsergő'!E95</f>
        <v>5000</v>
      </c>
      <c r="F66" s="459">
        <f>+'6. Csicsergő'!F95</f>
        <v>0</v>
      </c>
      <c r="G66" s="73"/>
      <c r="H66" s="498">
        <f>+'6. Csicsergő'!H95</f>
        <v>1920</v>
      </c>
      <c r="I66" s="73">
        <f>+'6. Csicsergő'!I95</f>
        <v>2397</v>
      </c>
      <c r="J66" s="73">
        <f>+'6. Csicsergő'!J95</f>
        <v>0</v>
      </c>
      <c r="K66" s="73"/>
      <c r="L66" s="660">
        <f t="shared" si="68"/>
        <v>0.38400000000000001</v>
      </c>
      <c r="M66" s="660">
        <f t="shared" si="69"/>
        <v>0.47939999999999999</v>
      </c>
      <c r="N66" s="699">
        <f t="shared" si="70"/>
        <v>0</v>
      </c>
      <c r="O66" s="642"/>
      <c r="P66" s="498">
        <f>+'6. Csicsergő'!P95</f>
        <v>0</v>
      </c>
      <c r="Q66" s="73">
        <f>+'6. Csicsergő'!Q95</f>
        <v>0</v>
      </c>
      <c r="R66" s="73">
        <f>+'6. Csicsergő'!R95</f>
        <v>0</v>
      </c>
      <c r="S66" s="73">
        <f t="shared" si="71"/>
        <v>0</v>
      </c>
      <c r="T66" s="499"/>
      <c r="U66" s="74"/>
    </row>
    <row r="67" spans="1:21" x14ac:dyDescent="0.25">
      <c r="B67" s="56" t="str">
        <f t="shared" si="67"/>
        <v>GÓLYAHÍR BÖLCSŐDE</v>
      </c>
      <c r="C67" s="498">
        <f>+'5. Gólyahír'!C95</f>
        <v>4710530</v>
      </c>
      <c r="D67" s="73">
        <f>+'5. Gólyahír'!D95</f>
        <v>4710530</v>
      </c>
      <c r="E67" s="73">
        <f>+'5. Gólyahír'!E95</f>
        <v>4710530</v>
      </c>
      <c r="F67" s="459">
        <f>+'5. Gólyahír'!F95</f>
        <v>0</v>
      </c>
      <c r="G67" s="73"/>
      <c r="H67" s="498">
        <f>+'5. Gólyahír'!H95</f>
        <v>2751764</v>
      </c>
      <c r="I67" s="73">
        <f>+'5. Gólyahír'!I95</f>
        <v>4313029</v>
      </c>
      <c r="J67" s="73">
        <f>+'5. Gólyahír'!J95</f>
        <v>0</v>
      </c>
      <c r="K67" s="73"/>
      <c r="L67" s="660">
        <f t="shared" si="68"/>
        <v>0.58417290623348117</v>
      </c>
      <c r="M67" s="660">
        <f t="shared" si="69"/>
        <v>0.91561437884908914</v>
      </c>
      <c r="N67" s="699">
        <f t="shared" si="70"/>
        <v>0</v>
      </c>
      <c r="O67" s="642"/>
      <c r="P67" s="498">
        <f>+'5. Gólyahír'!P95</f>
        <v>0</v>
      </c>
      <c r="Q67" s="73">
        <f>+'5. Gólyahír'!Q95</f>
        <v>0</v>
      </c>
      <c r="R67" s="73">
        <f>+'5. Gólyahír'!R95</f>
        <v>0</v>
      </c>
      <c r="S67" s="73">
        <f t="shared" si="71"/>
        <v>0</v>
      </c>
      <c r="T67" s="499"/>
      <c r="U67" s="74"/>
    </row>
    <row r="68" spans="1:21" x14ac:dyDescent="0.25">
      <c r="B68" s="56" t="str">
        <f t="shared" si="67"/>
        <v>POLGÁRMESTERI HIVATAL</v>
      </c>
      <c r="C68" s="498">
        <f>+'4. Polg.Hiv.'!C95</f>
        <v>10000</v>
      </c>
      <c r="D68" s="73">
        <f>+'4. Polg.Hiv.'!D95</f>
        <v>10000</v>
      </c>
      <c r="E68" s="73">
        <f>+'4. Polg.Hiv.'!E95</f>
        <v>10000</v>
      </c>
      <c r="F68" s="459">
        <f>+'4. Polg.Hiv.'!F95</f>
        <v>0</v>
      </c>
      <c r="G68" s="73"/>
      <c r="H68" s="498">
        <f>+'4. Polg.Hiv.'!H95</f>
        <v>1548</v>
      </c>
      <c r="I68" s="73">
        <f>+'4. Polg.Hiv.'!I95</f>
        <v>3626</v>
      </c>
      <c r="J68" s="73">
        <f>+'4. Polg.Hiv.'!J95</f>
        <v>0</v>
      </c>
      <c r="K68" s="73"/>
      <c r="L68" s="660">
        <f t="shared" si="68"/>
        <v>0.15479999999999999</v>
      </c>
      <c r="M68" s="660">
        <f t="shared" si="69"/>
        <v>0.36259999999999998</v>
      </c>
      <c r="N68" s="699">
        <f t="shared" si="70"/>
        <v>0</v>
      </c>
      <c r="O68" s="642"/>
      <c r="P68" s="498">
        <f>+'4. Polg.Hiv.'!P95</f>
        <v>0</v>
      </c>
      <c r="Q68" s="73">
        <f>+'4. Polg.Hiv.'!Q95</f>
        <v>0</v>
      </c>
      <c r="R68" s="73">
        <f>+'4. Polg.Hiv.'!R95</f>
        <v>0</v>
      </c>
      <c r="S68" s="73">
        <f t="shared" si="71"/>
        <v>0</v>
      </c>
      <c r="T68" s="499"/>
      <c r="U68" s="74"/>
    </row>
    <row r="69" spans="1:21" x14ac:dyDescent="0.25">
      <c r="B69" s="56" t="str">
        <f t="shared" si="67"/>
        <v>Wass Albert Művelődési Központ és Könyvtár</v>
      </c>
      <c r="C69" s="498">
        <f>+'7. WAMKK'!C95</f>
        <v>821000</v>
      </c>
      <c r="D69" s="73">
        <f>+'7. WAMKK'!D95</f>
        <v>821000</v>
      </c>
      <c r="E69" s="73">
        <f>+'7. WAMKK'!E95</f>
        <v>821000</v>
      </c>
      <c r="F69" s="459">
        <f>+'7. WAMKK'!F95</f>
        <v>0</v>
      </c>
      <c r="G69" s="73"/>
      <c r="H69" s="498">
        <f>+'7. WAMKK'!H95</f>
        <v>673005</v>
      </c>
      <c r="I69" s="73">
        <f>+'7. WAMKK'!I95</f>
        <v>906976</v>
      </c>
      <c r="J69" s="73">
        <f>+'7. WAMKK'!J95</f>
        <v>0</v>
      </c>
      <c r="K69" s="73"/>
      <c r="L69" s="660">
        <f t="shared" si="68"/>
        <v>0.81973812423873327</v>
      </c>
      <c r="M69" s="660">
        <f t="shared" si="69"/>
        <v>1.1047210718635809</v>
      </c>
      <c r="N69" s="699">
        <f t="shared" si="70"/>
        <v>0</v>
      </c>
      <c r="O69" s="642"/>
      <c r="P69" s="498">
        <f>+'7. WAMKK'!P95</f>
        <v>0</v>
      </c>
      <c r="Q69" s="73">
        <f>+'7. WAMKK'!Q95</f>
        <v>0</v>
      </c>
      <c r="R69" s="73">
        <f>+'7. WAMKK'!R95</f>
        <v>0</v>
      </c>
      <c r="S69" s="73">
        <f t="shared" si="71"/>
        <v>0</v>
      </c>
      <c r="T69" s="499"/>
      <c r="U69" s="74"/>
    </row>
    <row r="70" spans="1:21" x14ac:dyDescent="0.25">
      <c r="B70" s="56" t="str">
        <f t="shared" si="67"/>
        <v>Központi Konyha</v>
      </c>
      <c r="C70" s="498">
        <f>+'9. Közp. Konyha'!C95</f>
        <v>34300000</v>
      </c>
      <c r="D70" s="73">
        <f>+'9. Közp. Konyha'!D95</f>
        <v>34300000</v>
      </c>
      <c r="E70" s="73">
        <f>+'9. Közp. Konyha'!E95</f>
        <v>34300000</v>
      </c>
      <c r="F70" s="459">
        <f>+'9. Közp. Konyha'!F95</f>
        <v>0</v>
      </c>
      <c r="G70" s="73"/>
      <c r="H70" s="498">
        <f>+'9. Közp. Konyha'!H95</f>
        <v>20067858</v>
      </c>
      <c r="I70" s="73">
        <f>+'9. Közp. Konyha'!I95</f>
        <v>30177769</v>
      </c>
      <c r="J70" s="73">
        <f>+'9. Közp. Konyha'!J95</f>
        <v>0</v>
      </c>
      <c r="K70" s="73"/>
      <c r="L70" s="660">
        <f t="shared" si="68"/>
        <v>0.58506874635568518</v>
      </c>
      <c r="M70" s="660">
        <f t="shared" si="69"/>
        <v>0.87981833819241984</v>
      </c>
      <c r="N70" s="699">
        <f t="shared" si="70"/>
        <v>0</v>
      </c>
      <c r="O70" s="642"/>
      <c r="P70" s="498">
        <f>+'9. Közp. Konyha'!P95</f>
        <v>0</v>
      </c>
      <c r="Q70" s="73">
        <f>+'9. Közp. Konyha'!Q95</f>
        <v>0</v>
      </c>
      <c r="R70" s="73">
        <f>+'9. Közp. Konyha'!R95</f>
        <v>0</v>
      </c>
      <c r="S70" s="73">
        <f t="shared" si="71"/>
        <v>0</v>
      </c>
      <c r="T70" s="499"/>
      <c r="U70" s="74"/>
    </row>
    <row r="71" spans="1:21" ht="8.1" customHeight="1" x14ac:dyDescent="0.25">
      <c r="B71" s="383" t="s">
        <v>443</v>
      </c>
      <c r="C71" s="500"/>
      <c r="D71" s="382"/>
      <c r="E71" s="382"/>
      <c r="F71" s="511"/>
      <c r="G71" s="382"/>
      <c r="H71" s="500"/>
      <c r="I71" s="382"/>
      <c r="J71" s="382"/>
      <c r="K71" s="382"/>
      <c r="L71" s="700"/>
      <c r="M71" s="700"/>
      <c r="N71" s="701"/>
      <c r="O71" s="694"/>
      <c r="P71" s="500"/>
      <c r="Q71" s="382"/>
      <c r="R71" s="382"/>
      <c r="S71" s="382"/>
      <c r="T71" s="499"/>
      <c r="U71" s="74"/>
    </row>
    <row r="72" spans="1:21" x14ac:dyDescent="0.25">
      <c r="A72" s="384" t="str">
        <f>+A63</f>
        <v>B4</v>
      </c>
      <c r="B72" s="364" t="s">
        <v>437</v>
      </c>
      <c r="C72" s="501">
        <f>SUM(C64:C71)</f>
        <v>101501530</v>
      </c>
      <c r="D72" s="365">
        <f t="shared" ref="D72" si="72">SUM(D64:D71)</f>
        <v>101501530</v>
      </c>
      <c r="E72" s="365">
        <f t="shared" ref="E72" si="73">SUM(E64:E71)</f>
        <v>101501530</v>
      </c>
      <c r="F72" s="512">
        <f t="shared" ref="F72" si="74">SUM(F64:F71)</f>
        <v>0</v>
      </c>
      <c r="G72" s="365"/>
      <c r="H72" s="501">
        <f>SUM(H64:H71)</f>
        <v>63438970</v>
      </c>
      <c r="I72" s="365">
        <f t="shared" ref="I72" si="75">SUM(I64:I71)</f>
        <v>102607737</v>
      </c>
      <c r="J72" s="365">
        <f t="shared" ref="J72" si="76">SUM(J64:J71)</f>
        <v>0</v>
      </c>
      <c r="K72" s="365"/>
      <c r="L72" s="702">
        <f t="shared" ref="L72" si="77">IF(D72=0,0,H72/D72)</f>
        <v>0.62500506150005819</v>
      </c>
      <c r="M72" s="702">
        <f t="shared" ref="M72" si="78">IF(E72=0,0,I72/E72)</f>
        <v>1.0108984268512997</v>
      </c>
      <c r="N72" s="703">
        <f t="shared" ref="N72" si="79">IF(F72=0,0,J72/F72)</f>
        <v>0</v>
      </c>
      <c r="O72" s="695"/>
      <c r="P72" s="501">
        <f>SUM(P64:P71)</f>
        <v>-4.6566128730773926E-10</v>
      </c>
      <c r="Q72" s="365">
        <f t="shared" ref="Q72" si="80">SUM(Q64:Q71)</f>
        <v>0</v>
      </c>
      <c r="R72" s="365">
        <f t="shared" ref="R72" si="81">SUM(R64:R71)</f>
        <v>0</v>
      </c>
      <c r="S72" s="365">
        <f>+P72*P$8+Q72*Q$8+R72*R$8</f>
        <v>-4.6566128730773926E-10</v>
      </c>
      <c r="T72" s="499"/>
      <c r="U72" s="74"/>
    </row>
    <row r="73" spans="1:21" x14ac:dyDescent="0.25">
      <c r="C73" s="502"/>
      <c r="F73" s="457"/>
      <c r="H73" s="502"/>
      <c r="L73" s="660"/>
      <c r="M73" s="660"/>
      <c r="N73" s="699"/>
      <c r="O73" s="643"/>
      <c r="P73" s="502"/>
      <c r="T73" s="499"/>
    </row>
    <row r="74" spans="1:21" x14ac:dyDescent="0.25">
      <c r="C74" s="502"/>
      <c r="F74" s="457"/>
      <c r="H74" s="502"/>
      <c r="L74" s="660"/>
      <c r="M74" s="660"/>
      <c r="N74" s="699"/>
      <c r="O74" s="643"/>
      <c r="P74" s="502"/>
      <c r="T74" s="499"/>
    </row>
    <row r="75" spans="1:21" x14ac:dyDescent="0.25">
      <c r="A75" s="320" t="s">
        <v>308</v>
      </c>
      <c r="B75" s="320" t="str">
        <f>+B17</f>
        <v>Felhalmozási bevételek</v>
      </c>
      <c r="C75" s="498"/>
      <c r="D75" s="74"/>
      <c r="E75" s="74"/>
      <c r="F75" s="524"/>
      <c r="G75" s="74"/>
      <c r="H75" s="498"/>
      <c r="K75" s="74"/>
      <c r="L75" s="658"/>
      <c r="M75" s="658"/>
      <c r="N75" s="699"/>
      <c r="O75" s="650"/>
      <c r="P75" s="498"/>
      <c r="Q75" s="73"/>
      <c r="R75" s="73"/>
      <c r="S75" s="73"/>
      <c r="T75" s="499"/>
      <c r="U75" s="74"/>
    </row>
    <row r="76" spans="1:21" x14ac:dyDescent="0.25">
      <c r="B76" s="56" t="str">
        <f t="shared" ref="B76:B82" si="82">+B64</f>
        <v>Sülysáp Város Önkormányzata</v>
      </c>
      <c r="C76" s="498">
        <f>+' 2. Önk. Bevételek'!C67</f>
        <v>61100000</v>
      </c>
      <c r="D76" s="73">
        <f>+' 2. Önk. Bevételek'!D67</f>
        <v>123228000</v>
      </c>
      <c r="E76" s="73">
        <f>+' 2. Önk. Bevételek'!E67</f>
        <v>125937553</v>
      </c>
      <c r="F76" s="459">
        <f>+' 2. Önk. Bevételek'!F67</f>
        <v>0</v>
      </c>
      <c r="G76" s="74"/>
      <c r="H76" s="498">
        <f>+' 2. Önk. Bevételek'!H67</f>
        <v>143069306</v>
      </c>
      <c r="I76" s="73">
        <f>+' 2. Önk. Bevételek'!I67</f>
        <v>151653949</v>
      </c>
      <c r="J76" s="73">
        <f>+' 2. Önk. Bevételek'!J67</f>
        <v>0</v>
      </c>
      <c r="K76" s="74"/>
      <c r="L76" s="660">
        <f t="shared" ref="L76:L82" si="83">IF(D76=0,0,H76/D76)</f>
        <v>1.1610129678319863</v>
      </c>
      <c r="M76" s="660">
        <f t="shared" ref="M76:M82" si="84">IF(E76=0,0,I76/E76)</f>
        <v>1.204199584535361</v>
      </c>
      <c r="N76" s="699">
        <f t="shared" ref="N76:N82" si="85">IF(F76=0,0,J76/F76)</f>
        <v>0</v>
      </c>
      <c r="O76" s="650"/>
      <c r="P76" s="498">
        <f>+' 2. Önk. Bevételek'!P67</f>
        <v>62128000</v>
      </c>
      <c r="Q76" s="73">
        <f>+' 2. Önk. Bevételek'!Q67</f>
        <v>2709553</v>
      </c>
      <c r="R76" s="73">
        <f>+' 2. Önk. Bevételek'!R67</f>
        <v>0</v>
      </c>
      <c r="S76" s="73">
        <f t="shared" ref="S76:S82" si="86">+P76*P$8+Q76*Q$8+R76*R$8</f>
        <v>64837553</v>
      </c>
      <c r="T76" s="499"/>
      <c r="U76" s="74"/>
    </row>
    <row r="77" spans="1:21" x14ac:dyDescent="0.25">
      <c r="A77" s="56"/>
      <c r="B77" s="56" t="str">
        <f t="shared" si="82"/>
        <v>Dr. Gáspár István HSZK</v>
      </c>
      <c r="C77" s="498"/>
      <c r="D77" s="73"/>
      <c r="E77" s="73"/>
      <c r="F77" s="459"/>
      <c r="G77" s="73"/>
      <c r="H77" s="498"/>
      <c r="I77" s="73"/>
      <c r="J77" s="73"/>
      <c r="K77" s="73"/>
      <c r="L77" s="660">
        <f t="shared" si="83"/>
        <v>0</v>
      </c>
      <c r="M77" s="660">
        <f t="shared" si="84"/>
        <v>0</v>
      </c>
      <c r="N77" s="699">
        <f t="shared" si="85"/>
        <v>0</v>
      </c>
      <c r="O77" s="642"/>
      <c r="P77" s="498"/>
      <c r="Q77" s="73"/>
      <c r="R77" s="73"/>
      <c r="S77" s="73">
        <f t="shared" si="86"/>
        <v>0</v>
      </c>
      <c r="T77" s="499"/>
      <c r="U77" s="74"/>
    </row>
    <row r="78" spans="1:21" x14ac:dyDescent="0.25">
      <c r="B78" s="56" t="str">
        <f t="shared" si="82"/>
        <v>SÜLYSÁPI CSICSERGŐ ÓVODA</v>
      </c>
      <c r="C78" s="498"/>
      <c r="D78" s="73"/>
      <c r="E78" s="73"/>
      <c r="F78" s="459"/>
      <c r="G78" s="73"/>
      <c r="H78" s="498"/>
      <c r="I78" s="73"/>
      <c r="J78" s="73"/>
      <c r="K78" s="73"/>
      <c r="L78" s="660">
        <f t="shared" si="83"/>
        <v>0</v>
      </c>
      <c r="M78" s="660">
        <f t="shared" si="84"/>
        <v>0</v>
      </c>
      <c r="N78" s="699">
        <f t="shared" si="85"/>
        <v>0</v>
      </c>
      <c r="O78" s="642"/>
      <c r="P78" s="498"/>
      <c r="Q78" s="73"/>
      <c r="R78" s="73"/>
      <c r="S78" s="73">
        <f t="shared" si="86"/>
        <v>0</v>
      </c>
      <c r="T78" s="499"/>
      <c r="U78" s="74"/>
    </row>
    <row r="79" spans="1:21" x14ac:dyDescent="0.25">
      <c r="B79" s="56" t="str">
        <f t="shared" si="82"/>
        <v>GÓLYAHÍR BÖLCSŐDE</v>
      </c>
      <c r="C79" s="498"/>
      <c r="D79" s="73"/>
      <c r="E79" s="73"/>
      <c r="F79" s="459"/>
      <c r="G79" s="73"/>
      <c r="H79" s="498"/>
      <c r="I79" s="73"/>
      <c r="J79" s="73"/>
      <c r="K79" s="73"/>
      <c r="L79" s="660">
        <f t="shared" si="83"/>
        <v>0</v>
      </c>
      <c r="M79" s="660">
        <f t="shared" si="84"/>
        <v>0</v>
      </c>
      <c r="N79" s="699">
        <f t="shared" si="85"/>
        <v>0</v>
      </c>
      <c r="O79" s="642"/>
      <c r="P79" s="498"/>
      <c r="Q79" s="73"/>
      <c r="R79" s="73"/>
      <c r="S79" s="73">
        <f t="shared" si="86"/>
        <v>0</v>
      </c>
      <c r="T79" s="499"/>
      <c r="U79" s="74"/>
    </row>
    <row r="80" spans="1:21" x14ac:dyDescent="0.25">
      <c r="B80" s="56" t="str">
        <f t="shared" si="82"/>
        <v>POLGÁRMESTERI HIVATAL</v>
      </c>
      <c r="C80" s="498"/>
      <c r="D80" s="73"/>
      <c r="E80" s="73"/>
      <c r="F80" s="459"/>
      <c r="G80" s="73"/>
      <c r="H80" s="498"/>
      <c r="I80" s="73"/>
      <c r="J80" s="73"/>
      <c r="K80" s="73"/>
      <c r="L80" s="660">
        <f t="shared" si="83"/>
        <v>0</v>
      </c>
      <c r="M80" s="660">
        <f t="shared" si="84"/>
        <v>0</v>
      </c>
      <c r="N80" s="699">
        <f t="shared" si="85"/>
        <v>0</v>
      </c>
      <c r="O80" s="642"/>
      <c r="P80" s="498"/>
      <c r="Q80" s="73"/>
      <c r="R80" s="73"/>
      <c r="S80" s="73">
        <f t="shared" si="86"/>
        <v>0</v>
      </c>
      <c r="T80" s="499"/>
      <c r="U80" s="74"/>
    </row>
    <row r="81" spans="1:21" x14ac:dyDescent="0.25">
      <c r="B81" s="56" t="str">
        <f t="shared" si="82"/>
        <v>Wass Albert Művelődési Központ és Könyvtár</v>
      </c>
      <c r="C81" s="498"/>
      <c r="D81" s="73"/>
      <c r="E81" s="73"/>
      <c r="F81" s="459"/>
      <c r="G81" s="73"/>
      <c r="H81" s="498"/>
      <c r="I81" s="73"/>
      <c r="J81" s="73"/>
      <c r="K81" s="73"/>
      <c r="L81" s="660">
        <f t="shared" si="83"/>
        <v>0</v>
      </c>
      <c r="M81" s="660">
        <f t="shared" si="84"/>
        <v>0</v>
      </c>
      <c r="N81" s="699">
        <f t="shared" si="85"/>
        <v>0</v>
      </c>
      <c r="O81" s="642"/>
      <c r="P81" s="498"/>
      <c r="Q81" s="73"/>
      <c r="R81" s="73"/>
      <c r="S81" s="73">
        <f t="shared" si="86"/>
        <v>0</v>
      </c>
      <c r="T81" s="499"/>
      <c r="U81" s="74"/>
    </row>
    <row r="82" spans="1:21" x14ac:dyDescent="0.25">
      <c r="B82" s="56" t="str">
        <f t="shared" si="82"/>
        <v>Központi Konyha</v>
      </c>
      <c r="C82" s="498"/>
      <c r="D82" s="73"/>
      <c r="E82" s="73"/>
      <c r="F82" s="459"/>
      <c r="G82" s="73"/>
      <c r="H82" s="498"/>
      <c r="I82" s="73"/>
      <c r="J82" s="73"/>
      <c r="K82" s="73"/>
      <c r="L82" s="660">
        <f t="shared" si="83"/>
        <v>0</v>
      </c>
      <c r="M82" s="660">
        <f t="shared" si="84"/>
        <v>0</v>
      </c>
      <c r="N82" s="699">
        <f t="shared" si="85"/>
        <v>0</v>
      </c>
      <c r="O82" s="642"/>
      <c r="P82" s="498"/>
      <c r="Q82" s="73"/>
      <c r="R82" s="73"/>
      <c r="S82" s="73">
        <f t="shared" si="86"/>
        <v>0</v>
      </c>
      <c r="T82" s="499"/>
      <c r="U82" s="74"/>
    </row>
    <row r="83" spans="1:21" ht="8.1" customHeight="1" x14ac:dyDescent="0.25">
      <c r="B83" s="383" t="s">
        <v>443</v>
      </c>
      <c r="C83" s="500"/>
      <c r="D83" s="382"/>
      <c r="E83" s="382"/>
      <c r="F83" s="511"/>
      <c r="G83" s="382"/>
      <c r="H83" s="500"/>
      <c r="I83" s="382"/>
      <c r="J83" s="382"/>
      <c r="K83" s="382"/>
      <c r="L83" s="700"/>
      <c r="M83" s="700"/>
      <c r="N83" s="701"/>
      <c r="O83" s="694"/>
      <c r="P83" s="500"/>
      <c r="Q83" s="382"/>
      <c r="R83" s="382"/>
      <c r="S83" s="382"/>
      <c r="T83" s="499"/>
      <c r="U83" s="74"/>
    </row>
    <row r="84" spans="1:21" x14ac:dyDescent="0.25">
      <c r="A84" s="384" t="str">
        <f>+A75</f>
        <v>B5</v>
      </c>
      <c r="B84" s="364" t="s">
        <v>437</v>
      </c>
      <c r="C84" s="501">
        <f>SUM(C76:C83)</f>
        <v>61100000</v>
      </c>
      <c r="D84" s="365">
        <f t="shared" ref="D84" si="87">SUM(D76:D83)</f>
        <v>123228000</v>
      </c>
      <c r="E84" s="365">
        <f t="shared" ref="E84" si="88">SUM(E76:E83)</f>
        <v>125937553</v>
      </c>
      <c r="F84" s="512">
        <f t="shared" ref="F84" si="89">SUM(F76:F83)</f>
        <v>0</v>
      </c>
      <c r="G84" s="365"/>
      <c r="H84" s="501">
        <f>SUM(H76:H83)</f>
        <v>143069306</v>
      </c>
      <c r="I84" s="365">
        <f t="shared" ref="I84" si="90">SUM(I76:I83)</f>
        <v>151653949</v>
      </c>
      <c r="J84" s="365">
        <f t="shared" ref="J84" si="91">SUM(J76:J83)</f>
        <v>0</v>
      </c>
      <c r="K84" s="365"/>
      <c r="L84" s="702">
        <f t="shared" ref="L84" si="92">IF(D84=0,0,H84/D84)</f>
        <v>1.1610129678319863</v>
      </c>
      <c r="M84" s="702">
        <f t="shared" ref="M84" si="93">IF(E84=0,0,I84/E84)</f>
        <v>1.204199584535361</v>
      </c>
      <c r="N84" s="703">
        <f t="shared" ref="N84" si="94">IF(F84=0,0,J84/F84)</f>
        <v>0</v>
      </c>
      <c r="O84" s="695"/>
      <c r="P84" s="501">
        <f>SUM(P76:P83)</f>
        <v>62128000</v>
      </c>
      <c r="Q84" s="365">
        <f t="shared" ref="Q84" si="95">SUM(Q76:Q83)</f>
        <v>2709553</v>
      </c>
      <c r="R84" s="365">
        <f t="shared" ref="R84" si="96">SUM(R76:R83)</f>
        <v>0</v>
      </c>
      <c r="S84" s="365">
        <f>+P84*P$8+Q84*Q$8+R84*R$8</f>
        <v>64837553</v>
      </c>
      <c r="T84" s="499"/>
      <c r="U84" s="74"/>
    </row>
    <row r="85" spans="1:21" x14ac:dyDescent="0.25">
      <c r="C85" s="502"/>
      <c r="F85" s="457"/>
      <c r="H85" s="502"/>
      <c r="L85" s="660"/>
      <c r="M85" s="660"/>
      <c r="N85" s="699"/>
      <c r="O85" s="643"/>
      <c r="P85" s="502"/>
      <c r="T85" s="499"/>
    </row>
    <row r="86" spans="1:21" x14ac:dyDescent="0.25">
      <c r="C86" s="502"/>
      <c r="F86" s="457"/>
      <c r="H86" s="502"/>
      <c r="L86" s="660"/>
      <c r="M86" s="660"/>
      <c r="N86" s="699"/>
      <c r="O86" s="643"/>
      <c r="P86" s="502"/>
      <c r="T86" s="499"/>
    </row>
    <row r="87" spans="1:21" x14ac:dyDescent="0.25">
      <c r="A87" s="320" t="s">
        <v>318</v>
      </c>
      <c r="B87" s="381" t="str">
        <f>+B18</f>
        <v>Működési célú átvett pénzeszközök</v>
      </c>
      <c r="C87" s="498"/>
      <c r="D87" s="74"/>
      <c r="E87" s="74"/>
      <c r="F87" s="524"/>
      <c r="G87" s="74"/>
      <c r="H87" s="498"/>
      <c r="K87" s="74"/>
      <c r="L87" s="658"/>
      <c r="M87" s="658"/>
      <c r="N87" s="699"/>
      <c r="O87" s="650"/>
      <c r="P87" s="498"/>
      <c r="Q87" s="73"/>
      <c r="R87" s="73"/>
      <c r="S87" s="73"/>
      <c r="T87" s="499"/>
      <c r="U87" s="74"/>
    </row>
    <row r="88" spans="1:21" x14ac:dyDescent="0.25">
      <c r="B88" s="56" t="str">
        <f t="shared" ref="B88:B94" si="97">+B76</f>
        <v>Sülysáp Város Önkormányzata</v>
      </c>
      <c r="C88" s="498">
        <f>+' 2. Önk. Bevételek'!C72</f>
        <v>0</v>
      </c>
      <c r="D88" s="73">
        <f>+' 2. Önk. Bevételek'!D72</f>
        <v>0</v>
      </c>
      <c r="E88" s="73">
        <f>+' 2. Önk. Bevételek'!E72</f>
        <v>0</v>
      </c>
      <c r="F88" s="459">
        <f>+' 2. Önk. Bevételek'!F72</f>
        <v>0</v>
      </c>
      <c r="G88" s="74"/>
      <c r="H88" s="498">
        <f>+' 2. Önk. Bevételek'!H72</f>
        <v>161668810</v>
      </c>
      <c r="I88" s="73">
        <f>+' 2. Önk. Bevételek'!I72</f>
        <v>161668810</v>
      </c>
      <c r="J88" s="73">
        <f>+' 2. Önk. Bevételek'!J72</f>
        <v>0</v>
      </c>
      <c r="K88" s="74"/>
      <c r="L88" s="660">
        <f t="shared" ref="L88:L94" si="98">IF(D88=0,0,H88/D88)</f>
        <v>0</v>
      </c>
      <c r="M88" s="660">
        <f t="shared" ref="M88:M94" si="99">IF(E88=0,0,I88/E88)</f>
        <v>0</v>
      </c>
      <c r="N88" s="699">
        <f t="shared" ref="N88:N94" si="100">IF(F88=0,0,J88/F88)</f>
        <v>0</v>
      </c>
      <c r="O88" s="650"/>
      <c r="P88" s="498">
        <f>+' 2. Önk. Bevételek'!P72</f>
        <v>0</v>
      </c>
      <c r="Q88" s="73">
        <f>+' 2. Önk. Bevételek'!Q72</f>
        <v>0</v>
      </c>
      <c r="R88" s="73">
        <f>+' 2. Önk. Bevételek'!R72</f>
        <v>0</v>
      </c>
      <c r="S88" s="73">
        <f t="shared" ref="S88:S94" si="101">+P88*P$8+Q88*Q$8+R88*R$8</f>
        <v>0</v>
      </c>
      <c r="T88" s="499"/>
      <c r="U88" s="74"/>
    </row>
    <row r="89" spans="1:21" x14ac:dyDescent="0.25">
      <c r="A89" s="56"/>
      <c r="B89" s="56" t="str">
        <f t="shared" si="97"/>
        <v>Dr. Gáspár István HSZK</v>
      </c>
      <c r="C89" s="498"/>
      <c r="D89" s="73"/>
      <c r="E89" s="73"/>
      <c r="F89" s="459"/>
      <c r="G89" s="73"/>
      <c r="H89" s="498"/>
      <c r="I89" s="73"/>
      <c r="J89" s="73"/>
      <c r="K89" s="73"/>
      <c r="L89" s="660">
        <f t="shared" si="98"/>
        <v>0</v>
      </c>
      <c r="M89" s="660">
        <f t="shared" si="99"/>
        <v>0</v>
      </c>
      <c r="N89" s="699">
        <f t="shared" si="100"/>
        <v>0</v>
      </c>
      <c r="O89" s="642"/>
      <c r="P89" s="498"/>
      <c r="Q89" s="73"/>
      <c r="R89" s="73"/>
      <c r="S89" s="73">
        <f t="shared" si="101"/>
        <v>0</v>
      </c>
      <c r="T89" s="499"/>
      <c r="U89" s="74"/>
    </row>
    <row r="90" spans="1:21" x14ac:dyDescent="0.25">
      <c r="B90" s="56" t="str">
        <f t="shared" si="97"/>
        <v>SÜLYSÁPI CSICSERGŐ ÓVODA</v>
      </c>
      <c r="C90" s="498"/>
      <c r="D90" s="73"/>
      <c r="E90" s="73"/>
      <c r="F90" s="459"/>
      <c r="G90" s="73"/>
      <c r="H90" s="498"/>
      <c r="I90" s="73"/>
      <c r="J90" s="73"/>
      <c r="K90" s="73"/>
      <c r="L90" s="660">
        <f t="shared" si="98"/>
        <v>0</v>
      </c>
      <c r="M90" s="660">
        <f t="shared" si="99"/>
        <v>0</v>
      </c>
      <c r="N90" s="699">
        <f t="shared" si="100"/>
        <v>0</v>
      </c>
      <c r="O90" s="642"/>
      <c r="P90" s="498"/>
      <c r="Q90" s="73"/>
      <c r="R90" s="73"/>
      <c r="S90" s="73">
        <f t="shared" si="101"/>
        <v>0</v>
      </c>
      <c r="T90" s="499"/>
      <c r="U90" s="74"/>
    </row>
    <row r="91" spans="1:21" x14ac:dyDescent="0.25">
      <c r="B91" s="56" t="str">
        <f t="shared" si="97"/>
        <v>GÓLYAHÍR BÖLCSŐDE</v>
      </c>
      <c r="C91" s="498"/>
      <c r="D91" s="73"/>
      <c r="E91" s="73"/>
      <c r="F91" s="459"/>
      <c r="G91" s="73"/>
      <c r="H91" s="498"/>
      <c r="I91" s="73"/>
      <c r="J91" s="73"/>
      <c r="K91" s="73"/>
      <c r="L91" s="660">
        <f t="shared" si="98"/>
        <v>0</v>
      </c>
      <c r="M91" s="660">
        <f t="shared" si="99"/>
        <v>0</v>
      </c>
      <c r="N91" s="699">
        <f t="shared" si="100"/>
        <v>0</v>
      </c>
      <c r="O91" s="642"/>
      <c r="P91" s="498"/>
      <c r="Q91" s="73"/>
      <c r="R91" s="73"/>
      <c r="S91" s="73">
        <f t="shared" si="101"/>
        <v>0</v>
      </c>
      <c r="T91" s="499"/>
      <c r="U91" s="74"/>
    </row>
    <row r="92" spans="1:21" x14ac:dyDescent="0.25">
      <c r="B92" s="56" t="str">
        <f t="shared" si="97"/>
        <v>POLGÁRMESTERI HIVATAL</v>
      </c>
      <c r="C92" s="498"/>
      <c r="D92" s="73"/>
      <c r="E92" s="73"/>
      <c r="F92" s="459"/>
      <c r="G92" s="73"/>
      <c r="H92" s="498"/>
      <c r="I92" s="73"/>
      <c r="J92" s="73"/>
      <c r="K92" s="73"/>
      <c r="L92" s="660">
        <f t="shared" si="98"/>
        <v>0</v>
      </c>
      <c r="M92" s="660">
        <f t="shared" si="99"/>
        <v>0</v>
      </c>
      <c r="N92" s="699">
        <f t="shared" si="100"/>
        <v>0</v>
      </c>
      <c r="O92" s="642"/>
      <c r="P92" s="498"/>
      <c r="Q92" s="73"/>
      <c r="R92" s="73"/>
      <c r="S92" s="73">
        <f t="shared" si="101"/>
        <v>0</v>
      </c>
      <c r="T92" s="499"/>
      <c r="U92" s="74"/>
    </row>
    <row r="93" spans="1:21" x14ac:dyDescent="0.25">
      <c r="B93" s="56" t="str">
        <f t="shared" si="97"/>
        <v>Wass Albert Művelődési Központ és Könyvtár</v>
      </c>
      <c r="C93" s="498"/>
      <c r="D93" s="73"/>
      <c r="E93" s="73"/>
      <c r="F93" s="459"/>
      <c r="G93" s="73"/>
      <c r="H93" s="498"/>
      <c r="I93" s="73"/>
      <c r="J93" s="73"/>
      <c r="K93" s="73"/>
      <c r="L93" s="660">
        <f t="shared" si="98"/>
        <v>0</v>
      </c>
      <c r="M93" s="660">
        <f t="shared" si="99"/>
        <v>0</v>
      </c>
      <c r="N93" s="699">
        <f t="shared" si="100"/>
        <v>0</v>
      </c>
      <c r="O93" s="642"/>
      <c r="P93" s="498"/>
      <c r="Q93" s="73"/>
      <c r="R93" s="73"/>
      <c r="S93" s="73">
        <f t="shared" si="101"/>
        <v>0</v>
      </c>
      <c r="T93" s="499"/>
      <c r="U93" s="74"/>
    </row>
    <row r="94" spans="1:21" x14ac:dyDescent="0.25">
      <c r="B94" s="56" t="str">
        <f t="shared" si="97"/>
        <v>Központi Konyha</v>
      </c>
      <c r="C94" s="498"/>
      <c r="D94" s="73"/>
      <c r="E94" s="73"/>
      <c r="F94" s="459"/>
      <c r="G94" s="73"/>
      <c r="H94" s="498"/>
      <c r="I94" s="73"/>
      <c r="J94" s="73"/>
      <c r="K94" s="73"/>
      <c r="L94" s="660">
        <f t="shared" si="98"/>
        <v>0</v>
      </c>
      <c r="M94" s="660">
        <f t="shared" si="99"/>
        <v>0</v>
      </c>
      <c r="N94" s="699">
        <f t="shared" si="100"/>
        <v>0</v>
      </c>
      <c r="O94" s="642"/>
      <c r="P94" s="498"/>
      <c r="Q94" s="73"/>
      <c r="R94" s="73"/>
      <c r="S94" s="73">
        <f t="shared" si="101"/>
        <v>0</v>
      </c>
      <c r="T94" s="499"/>
      <c r="U94" s="74"/>
    </row>
    <row r="95" spans="1:21" ht="8.1" customHeight="1" x14ac:dyDescent="0.25">
      <c r="B95" s="383" t="s">
        <v>443</v>
      </c>
      <c r="C95" s="500"/>
      <c r="D95" s="382"/>
      <c r="E95" s="382"/>
      <c r="F95" s="511"/>
      <c r="G95" s="382"/>
      <c r="H95" s="500"/>
      <c r="I95" s="382"/>
      <c r="J95" s="382"/>
      <c r="K95" s="382"/>
      <c r="L95" s="700"/>
      <c r="M95" s="700"/>
      <c r="N95" s="701"/>
      <c r="O95" s="694"/>
      <c r="P95" s="500"/>
      <c r="Q95" s="382"/>
      <c r="R95" s="382"/>
      <c r="S95" s="382"/>
      <c r="T95" s="499"/>
      <c r="U95" s="74"/>
    </row>
    <row r="96" spans="1:21" x14ac:dyDescent="0.25">
      <c r="A96" s="384" t="str">
        <f>+A87</f>
        <v>B6</v>
      </c>
      <c r="B96" s="364" t="s">
        <v>437</v>
      </c>
      <c r="C96" s="501">
        <f>SUM(C88:C95)</f>
        <v>0</v>
      </c>
      <c r="D96" s="365">
        <f t="shared" ref="D96" si="102">SUM(D88:D95)</f>
        <v>0</v>
      </c>
      <c r="E96" s="365">
        <f t="shared" ref="E96" si="103">SUM(E88:E95)</f>
        <v>0</v>
      </c>
      <c r="F96" s="512">
        <f t="shared" ref="F96" si="104">SUM(F88:F95)</f>
        <v>0</v>
      </c>
      <c r="G96" s="365"/>
      <c r="H96" s="501">
        <f>SUM(H88:H95)</f>
        <v>161668810</v>
      </c>
      <c r="I96" s="365">
        <f t="shared" ref="I96" si="105">SUM(I88:I95)</f>
        <v>161668810</v>
      </c>
      <c r="J96" s="365">
        <f t="shared" ref="J96" si="106">SUM(J88:J95)</f>
        <v>0</v>
      </c>
      <c r="K96" s="365"/>
      <c r="L96" s="702">
        <f t="shared" ref="L96" si="107">IF(D96=0,0,H96/D96)</f>
        <v>0</v>
      </c>
      <c r="M96" s="702">
        <f t="shared" ref="M96" si="108">IF(E96=0,0,I96/E96)</f>
        <v>0</v>
      </c>
      <c r="N96" s="703">
        <f t="shared" ref="N96" si="109">IF(F96=0,0,J96/F96)</f>
        <v>0</v>
      </c>
      <c r="O96" s="695"/>
      <c r="P96" s="501">
        <f>SUM(P88:P95)</f>
        <v>0</v>
      </c>
      <c r="Q96" s="365">
        <f t="shared" ref="Q96" si="110">SUM(Q88:Q95)</f>
        <v>0</v>
      </c>
      <c r="R96" s="365">
        <f t="shared" ref="R96" si="111">SUM(R88:R95)</f>
        <v>0</v>
      </c>
      <c r="S96" s="365">
        <f>+P96*P$8+Q96*Q$8+R96*R$8</f>
        <v>0</v>
      </c>
      <c r="T96" s="499"/>
      <c r="U96" s="74"/>
    </row>
    <row r="97" spans="1:21" x14ac:dyDescent="0.25">
      <c r="C97" s="502"/>
      <c r="F97" s="457"/>
      <c r="H97" s="502"/>
      <c r="L97" s="660"/>
      <c r="M97" s="660"/>
      <c r="N97" s="699"/>
      <c r="O97" s="643"/>
      <c r="P97" s="502"/>
      <c r="T97" s="499"/>
    </row>
    <row r="98" spans="1:21" x14ac:dyDescent="0.25">
      <c r="C98" s="502"/>
      <c r="F98" s="457"/>
      <c r="H98" s="502"/>
      <c r="L98" s="660"/>
      <c r="M98" s="660"/>
      <c r="N98" s="699"/>
      <c r="O98" s="643"/>
      <c r="P98" s="502"/>
      <c r="T98" s="499"/>
    </row>
    <row r="99" spans="1:21" x14ac:dyDescent="0.25">
      <c r="A99" s="320" t="s">
        <v>322</v>
      </c>
      <c r="B99" s="381" t="str">
        <f>+B19</f>
        <v>Felhalmozási célú átvett pénzeszközök</v>
      </c>
      <c r="C99" s="498"/>
      <c r="D99" s="74"/>
      <c r="E99" s="74"/>
      <c r="F99" s="524"/>
      <c r="G99" s="74"/>
      <c r="H99" s="498"/>
      <c r="K99" s="74"/>
      <c r="L99" s="658"/>
      <c r="M99" s="658"/>
      <c r="N99" s="699"/>
      <c r="O99" s="650"/>
      <c r="P99" s="498"/>
      <c r="Q99" s="73"/>
      <c r="R99" s="73"/>
      <c r="S99" s="73"/>
      <c r="T99" s="499"/>
      <c r="U99" s="74"/>
    </row>
    <row r="100" spans="1:21" x14ac:dyDescent="0.25">
      <c r="B100" s="56" t="str">
        <f t="shared" ref="B100:B106" si="112">+B88</f>
        <v>Sülysáp Város Önkormányzata</v>
      </c>
      <c r="C100" s="498">
        <f>+' 2. Önk. Bevételek'!C76</f>
        <v>0</v>
      </c>
      <c r="D100" s="73">
        <f>+' 2. Önk. Bevételek'!D76</f>
        <v>0</v>
      </c>
      <c r="E100" s="73">
        <f>+' 2. Önk. Bevételek'!E76</f>
        <v>0</v>
      </c>
      <c r="F100" s="459">
        <f>+' 2. Önk. Bevételek'!F76</f>
        <v>0</v>
      </c>
      <c r="G100" s="74"/>
      <c r="H100" s="498">
        <f>+' 2. Önk. Bevételek'!H76</f>
        <v>1704190</v>
      </c>
      <c r="I100" s="73">
        <f>+' 2. Önk. Bevételek'!I76</f>
        <v>2172463</v>
      </c>
      <c r="J100" s="73">
        <f>+' 2. Önk. Bevételek'!J76</f>
        <v>0</v>
      </c>
      <c r="K100" s="74"/>
      <c r="L100" s="660">
        <f t="shared" ref="L100:L106" si="113">IF(D100=0,0,H100/D100)</f>
        <v>0</v>
      </c>
      <c r="M100" s="660">
        <f t="shared" ref="M100:M106" si="114">IF(E100=0,0,I100/E100)</f>
        <v>0</v>
      </c>
      <c r="N100" s="699">
        <f t="shared" ref="N100:N106" si="115">IF(F100=0,0,J100/F100)</f>
        <v>0</v>
      </c>
      <c r="O100" s="650"/>
      <c r="P100" s="498">
        <f>+' 2. Önk. Bevételek'!P76</f>
        <v>0</v>
      </c>
      <c r="Q100" s="73">
        <f>+' 2. Önk. Bevételek'!Q76</f>
        <v>0</v>
      </c>
      <c r="R100" s="73">
        <f>+' 2. Önk. Bevételek'!R76</f>
        <v>0</v>
      </c>
      <c r="S100" s="73">
        <f t="shared" ref="S100:S106" si="116">+P100*P$8+Q100*Q$8+R100*R$8</f>
        <v>0</v>
      </c>
      <c r="T100" s="499"/>
      <c r="U100" s="74"/>
    </row>
    <row r="101" spans="1:21" x14ac:dyDescent="0.25">
      <c r="A101" s="56"/>
      <c r="B101" s="56" t="str">
        <f t="shared" si="112"/>
        <v>Dr. Gáspár István HSZK</v>
      </c>
      <c r="C101" s="498"/>
      <c r="D101" s="73"/>
      <c r="E101" s="73"/>
      <c r="F101" s="459"/>
      <c r="G101" s="73"/>
      <c r="H101" s="498"/>
      <c r="I101" s="73"/>
      <c r="J101" s="73"/>
      <c r="K101" s="73"/>
      <c r="L101" s="660">
        <f t="shared" si="113"/>
        <v>0</v>
      </c>
      <c r="M101" s="660">
        <f t="shared" si="114"/>
        <v>0</v>
      </c>
      <c r="N101" s="699">
        <f t="shared" si="115"/>
        <v>0</v>
      </c>
      <c r="O101" s="642"/>
      <c r="P101" s="498"/>
      <c r="Q101" s="73"/>
      <c r="R101" s="73"/>
      <c r="S101" s="73">
        <f t="shared" si="116"/>
        <v>0</v>
      </c>
      <c r="T101" s="499"/>
      <c r="U101" s="74"/>
    </row>
    <row r="102" spans="1:21" x14ac:dyDescent="0.25">
      <c r="B102" s="56" t="str">
        <f t="shared" si="112"/>
        <v>SÜLYSÁPI CSICSERGŐ ÓVODA</v>
      </c>
      <c r="C102" s="498"/>
      <c r="D102" s="73"/>
      <c r="E102" s="73"/>
      <c r="F102" s="459"/>
      <c r="G102" s="73"/>
      <c r="H102" s="498"/>
      <c r="I102" s="73"/>
      <c r="J102" s="73"/>
      <c r="K102" s="73"/>
      <c r="L102" s="660">
        <f t="shared" si="113"/>
        <v>0</v>
      </c>
      <c r="M102" s="660">
        <f t="shared" si="114"/>
        <v>0</v>
      </c>
      <c r="N102" s="699">
        <f t="shared" si="115"/>
        <v>0</v>
      </c>
      <c r="O102" s="642"/>
      <c r="P102" s="498"/>
      <c r="Q102" s="73"/>
      <c r="R102" s="73"/>
      <c r="S102" s="73">
        <f t="shared" si="116"/>
        <v>0</v>
      </c>
      <c r="T102" s="499"/>
      <c r="U102" s="74"/>
    </row>
    <row r="103" spans="1:21" x14ac:dyDescent="0.25">
      <c r="B103" s="56" t="str">
        <f t="shared" si="112"/>
        <v>GÓLYAHÍR BÖLCSŐDE</v>
      </c>
      <c r="C103" s="498"/>
      <c r="D103" s="73"/>
      <c r="E103" s="73"/>
      <c r="F103" s="459"/>
      <c r="G103" s="73"/>
      <c r="H103" s="498"/>
      <c r="I103" s="73"/>
      <c r="J103" s="73"/>
      <c r="K103" s="73"/>
      <c r="L103" s="660">
        <f t="shared" si="113"/>
        <v>0</v>
      </c>
      <c r="M103" s="660">
        <f t="shared" si="114"/>
        <v>0</v>
      </c>
      <c r="N103" s="699">
        <f t="shared" si="115"/>
        <v>0</v>
      </c>
      <c r="O103" s="642"/>
      <c r="P103" s="498"/>
      <c r="Q103" s="73"/>
      <c r="R103" s="73"/>
      <c r="S103" s="73">
        <f t="shared" si="116"/>
        <v>0</v>
      </c>
      <c r="T103" s="499"/>
      <c r="U103" s="74"/>
    </row>
    <row r="104" spans="1:21" x14ac:dyDescent="0.25">
      <c r="B104" s="56" t="str">
        <f t="shared" si="112"/>
        <v>POLGÁRMESTERI HIVATAL</v>
      </c>
      <c r="C104" s="498"/>
      <c r="D104" s="73"/>
      <c r="E104" s="73"/>
      <c r="F104" s="459"/>
      <c r="G104" s="73"/>
      <c r="H104" s="498"/>
      <c r="I104" s="73"/>
      <c r="J104" s="73"/>
      <c r="K104" s="73"/>
      <c r="L104" s="660">
        <f t="shared" si="113"/>
        <v>0</v>
      </c>
      <c r="M104" s="660">
        <f t="shared" si="114"/>
        <v>0</v>
      </c>
      <c r="N104" s="699">
        <f t="shared" si="115"/>
        <v>0</v>
      </c>
      <c r="O104" s="642"/>
      <c r="P104" s="498"/>
      <c r="Q104" s="73"/>
      <c r="R104" s="73"/>
      <c r="S104" s="73">
        <f t="shared" si="116"/>
        <v>0</v>
      </c>
      <c r="T104" s="499"/>
      <c r="U104" s="74"/>
    </row>
    <row r="105" spans="1:21" x14ac:dyDescent="0.25">
      <c r="B105" s="56" t="str">
        <f t="shared" si="112"/>
        <v>Wass Albert Művelődési Központ és Könyvtár</v>
      </c>
      <c r="C105" s="498"/>
      <c r="D105" s="73"/>
      <c r="E105" s="73"/>
      <c r="F105" s="459"/>
      <c r="G105" s="73"/>
      <c r="H105" s="498"/>
      <c r="I105" s="73"/>
      <c r="J105" s="73"/>
      <c r="K105" s="73"/>
      <c r="L105" s="660">
        <f t="shared" si="113"/>
        <v>0</v>
      </c>
      <c r="M105" s="660">
        <f t="shared" si="114"/>
        <v>0</v>
      </c>
      <c r="N105" s="699">
        <f t="shared" si="115"/>
        <v>0</v>
      </c>
      <c r="O105" s="642"/>
      <c r="P105" s="498"/>
      <c r="Q105" s="73"/>
      <c r="R105" s="73"/>
      <c r="S105" s="73">
        <f t="shared" si="116"/>
        <v>0</v>
      </c>
      <c r="T105" s="499"/>
      <c r="U105" s="74"/>
    </row>
    <row r="106" spans="1:21" x14ac:dyDescent="0.25">
      <c r="B106" s="56" t="str">
        <f t="shared" si="112"/>
        <v>Központi Konyha</v>
      </c>
      <c r="C106" s="498"/>
      <c r="D106" s="73"/>
      <c r="E106" s="73"/>
      <c r="F106" s="459"/>
      <c r="G106" s="73"/>
      <c r="H106" s="498"/>
      <c r="I106" s="73"/>
      <c r="J106" s="73"/>
      <c r="K106" s="73"/>
      <c r="L106" s="660">
        <f t="shared" si="113"/>
        <v>0</v>
      </c>
      <c r="M106" s="660">
        <f t="shared" si="114"/>
        <v>0</v>
      </c>
      <c r="N106" s="699">
        <f t="shared" si="115"/>
        <v>0</v>
      </c>
      <c r="O106" s="642"/>
      <c r="P106" s="498"/>
      <c r="Q106" s="73"/>
      <c r="R106" s="73"/>
      <c r="S106" s="73">
        <f t="shared" si="116"/>
        <v>0</v>
      </c>
      <c r="T106" s="499"/>
      <c r="U106" s="74"/>
    </row>
    <row r="107" spans="1:21" ht="8.1" customHeight="1" x14ac:dyDescent="0.25">
      <c r="B107" s="383" t="s">
        <v>443</v>
      </c>
      <c r="C107" s="500"/>
      <c r="D107" s="382"/>
      <c r="E107" s="382"/>
      <c r="F107" s="511"/>
      <c r="G107" s="382"/>
      <c r="H107" s="500"/>
      <c r="I107" s="382"/>
      <c r="J107" s="382"/>
      <c r="K107" s="382"/>
      <c r="L107" s="700"/>
      <c r="M107" s="700"/>
      <c r="N107" s="701"/>
      <c r="O107" s="694"/>
      <c r="P107" s="500"/>
      <c r="Q107" s="382"/>
      <c r="R107" s="382"/>
      <c r="S107" s="382"/>
      <c r="T107" s="499"/>
      <c r="U107" s="74"/>
    </row>
    <row r="108" spans="1:21" x14ac:dyDescent="0.25">
      <c r="A108" s="384" t="str">
        <f>+A99</f>
        <v>B7</v>
      </c>
      <c r="B108" s="364" t="s">
        <v>437</v>
      </c>
      <c r="C108" s="501">
        <f>SUM(C100:C107)</f>
        <v>0</v>
      </c>
      <c r="D108" s="365">
        <f t="shared" ref="D108" si="117">SUM(D100:D107)</f>
        <v>0</v>
      </c>
      <c r="E108" s="365">
        <f t="shared" ref="E108" si="118">SUM(E100:E107)</f>
        <v>0</v>
      </c>
      <c r="F108" s="512">
        <f t="shared" ref="F108" si="119">SUM(F100:F107)</f>
        <v>0</v>
      </c>
      <c r="G108" s="365"/>
      <c r="H108" s="501">
        <f>SUM(H100:H107)</f>
        <v>1704190</v>
      </c>
      <c r="I108" s="365">
        <f t="shared" ref="I108" si="120">SUM(I100:I107)</f>
        <v>2172463</v>
      </c>
      <c r="J108" s="365">
        <f t="shared" ref="J108" si="121">SUM(J100:J107)</f>
        <v>0</v>
      </c>
      <c r="K108" s="365"/>
      <c r="L108" s="702">
        <f t="shared" ref="L108" si="122">IF(D108=0,0,H108/D108)</f>
        <v>0</v>
      </c>
      <c r="M108" s="702">
        <f t="shared" ref="M108" si="123">IF(E108=0,0,I108/E108)</f>
        <v>0</v>
      </c>
      <c r="N108" s="703">
        <f t="shared" ref="N108" si="124">IF(F108=0,0,J108/F108)</f>
        <v>0</v>
      </c>
      <c r="O108" s="695"/>
      <c r="P108" s="501">
        <f>SUM(P100:P107)</f>
        <v>0</v>
      </c>
      <c r="Q108" s="365">
        <f t="shared" ref="Q108" si="125">SUM(Q100:Q107)</f>
        <v>0</v>
      </c>
      <c r="R108" s="365">
        <f t="shared" ref="R108" si="126">SUM(R100:R107)</f>
        <v>0</v>
      </c>
      <c r="S108" s="365">
        <f>+P108*P$8+Q108*Q$8+R108*R$8</f>
        <v>0</v>
      </c>
      <c r="T108" s="499"/>
      <c r="U108" s="74"/>
    </row>
    <row r="109" spans="1:21" x14ac:dyDescent="0.25">
      <c r="C109" s="502"/>
      <c r="F109" s="457"/>
      <c r="H109" s="502"/>
      <c r="L109" s="660"/>
      <c r="M109" s="660"/>
      <c r="N109" s="699"/>
      <c r="O109" s="643"/>
      <c r="P109" s="502"/>
      <c r="T109" s="499"/>
    </row>
    <row r="110" spans="1:21" x14ac:dyDescent="0.25">
      <c r="C110" s="502"/>
      <c r="F110" s="457"/>
      <c r="H110" s="502"/>
      <c r="L110" s="660"/>
      <c r="M110" s="660"/>
      <c r="N110" s="699"/>
      <c r="O110" s="643"/>
      <c r="P110" s="502"/>
      <c r="T110" s="499"/>
    </row>
    <row r="111" spans="1:21" x14ac:dyDescent="0.25">
      <c r="A111" s="320" t="s">
        <v>328</v>
      </c>
      <c r="B111" s="320"/>
      <c r="C111" s="498"/>
      <c r="D111" s="372" t="s">
        <v>439</v>
      </c>
      <c r="E111" s="74"/>
      <c r="F111" s="524"/>
      <c r="G111" s="74"/>
      <c r="H111" s="498"/>
      <c r="K111" s="74"/>
      <c r="L111" s="658"/>
      <c r="M111" s="658"/>
      <c r="N111" s="699"/>
      <c r="O111" s="650"/>
      <c r="P111" s="498"/>
      <c r="Q111" s="73"/>
      <c r="R111" s="73"/>
      <c r="S111" s="73"/>
      <c r="T111" s="499"/>
      <c r="U111" s="74"/>
    </row>
    <row r="112" spans="1:21" x14ac:dyDescent="0.25">
      <c r="B112" s="56" t="str">
        <f t="shared" ref="B112:B118" si="127">+B100</f>
        <v>Sülysáp Város Önkormányzata</v>
      </c>
      <c r="C112" s="498">
        <f>+' 2. Önk. Bevételek'!C80</f>
        <v>141968012</v>
      </c>
      <c r="D112" s="73">
        <f>+' 2. Önk. Bevételek'!D80</f>
        <v>141968012</v>
      </c>
      <c r="E112" s="73">
        <f>+' 2. Önk. Bevételek'!E80</f>
        <v>141968012</v>
      </c>
      <c r="F112" s="459">
        <f>+' 2. Önk. Bevételek'!F80-F124</f>
        <v>0</v>
      </c>
      <c r="G112" s="74"/>
      <c r="H112" s="498">
        <f>+' 2. Önk. Bevételek'!H80</f>
        <v>142622511</v>
      </c>
      <c r="I112" s="73">
        <f>+' 2. Önk. Bevételek'!I80</f>
        <v>142622507</v>
      </c>
      <c r="J112" s="73">
        <f>+' 2. Önk. Bevételek'!J80-J124</f>
        <v>0</v>
      </c>
      <c r="K112" s="74"/>
      <c r="L112" s="660">
        <f t="shared" ref="L112:L118" si="128">IF(D112=0,0,H112/D112)</f>
        <v>1.0046101864129786</v>
      </c>
      <c r="M112" s="660">
        <f t="shared" ref="M112:M118" si="129">IF(E112=0,0,I112/E112)</f>
        <v>1.0046101582376177</v>
      </c>
      <c r="N112" s="699">
        <f t="shared" ref="N112:N118" si="130">IF(F112=0,0,J112/F112)</f>
        <v>0</v>
      </c>
      <c r="O112" s="650"/>
      <c r="P112" s="498">
        <f>+' 2. Önk. Bevételek'!P80-P124</f>
        <v>0</v>
      </c>
      <c r="Q112" s="73">
        <f>+' 2. Önk. Bevételek'!Q80-Q124</f>
        <v>0</v>
      </c>
      <c r="R112" s="73">
        <f>+' 2. Önk. Bevételek'!R80-R124</f>
        <v>0</v>
      </c>
      <c r="S112" s="73">
        <f t="shared" ref="S112:S118" si="131">+P112*P$8+Q112*Q$8+R112*R$8</f>
        <v>0</v>
      </c>
      <c r="T112" s="499"/>
      <c r="U112" s="74"/>
    </row>
    <row r="113" spans="1:21" x14ac:dyDescent="0.25">
      <c r="A113" s="56"/>
      <c r="B113" s="56" t="str">
        <f t="shared" si="127"/>
        <v>Dr. Gáspár István HSZK</v>
      </c>
      <c r="C113" s="498">
        <f>+'8. Dr Gáspár HSZK'!C99</f>
        <v>42830000</v>
      </c>
      <c r="D113" s="73">
        <f>+'8. Dr Gáspár HSZK'!D99</f>
        <v>42830000</v>
      </c>
      <c r="E113" s="73">
        <f>+'8. Dr Gáspár HSZK'!E99</f>
        <v>42830000</v>
      </c>
      <c r="F113" s="459">
        <f>+'8. Dr Gáspár HSZK'!F99-F125</f>
        <v>0</v>
      </c>
      <c r="G113" s="73"/>
      <c r="H113" s="498">
        <f>+'8. Dr Gáspár HSZK'!H99</f>
        <v>20754194</v>
      </c>
      <c r="I113" s="73">
        <f>+'8. Dr Gáspár HSZK'!I99</f>
        <v>37052307</v>
      </c>
      <c r="J113" s="73">
        <f>+'8. Dr Gáspár HSZK'!J99-J125</f>
        <v>0</v>
      </c>
      <c r="K113" s="73"/>
      <c r="L113" s="660">
        <f t="shared" si="128"/>
        <v>0.48457142190053698</v>
      </c>
      <c r="M113" s="660">
        <f t="shared" si="129"/>
        <v>0.86510172776091521</v>
      </c>
      <c r="N113" s="699">
        <f t="shared" si="130"/>
        <v>0</v>
      </c>
      <c r="O113" s="642"/>
      <c r="P113" s="498">
        <f>+'8. Dr Gáspár HSZK'!P99-P125</f>
        <v>0</v>
      </c>
      <c r="Q113" s="73">
        <f>+'8. Dr Gáspár HSZK'!Q99-Q125</f>
        <v>0</v>
      </c>
      <c r="R113" s="73">
        <f>+'8. Dr Gáspár HSZK'!R99-R125</f>
        <v>0</v>
      </c>
      <c r="S113" s="73">
        <f t="shared" si="131"/>
        <v>0</v>
      </c>
      <c r="T113" s="499"/>
      <c r="U113" s="74"/>
    </row>
    <row r="114" spans="1:21" x14ac:dyDescent="0.25">
      <c r="B114" s="56" t="str">
        <f t="shared" si="127"/>
        <v>SÜLYSÁPI CSICSERGŐ ÓVODA</v>
      </c>
      <c r="C114" s="498">
        <f>+'6. Csicsergő'!C99</f>
        <v>233581000</v>
      </c>
      <c r="D114" s="73">
        <f>+'6. Csicsergő'!D99</f>
        <v>233581000</v>
      </c>
      <c r="E114" s="73">
        <f>+'6. Csicsergő'!E99</f>
        <v>233581000</v>
      </c>
      <c r="F114" s="459">
        <f>+'6. Csicsergő'!F99-F126</f>
        <v>0</v>
      </c>
      <c r="G114" s="73"/>
      <c r="H114" s="498">
        <f>+'6. Csicsergő'!H99</f>
        <v>116834931</v>
      </c>
      <c r="I114" s="73">
        <f>+'6. Csicsergő'!I99</f>
        <v>173535205</v>
      </c>
      <c r="J114" s="73">
        <f>+'6. Csicsergő'!J99-J126</f>
        <v>0</v>
      </c>
      <c r="K114" s="73"/>
      <c r="L114" s="660">
        <f t="shared" si="128"/>
        <v>0.50019021667002028</v>
      </c>
      <c r="M114" s="660">
        <f t="shared" si="129"/>
        <v>0.7429337360487368</v>
      </c>
      <c r="N114" s="699">
        <f t="shared" si="130"/>
        <v>0</v>
      </c>
      <c r="O114" s="642"/>
      <c r="P114" s="498">
        <f>+'6. Csicsergő'!P99-P126</f>
        <v>0</v>
      </c>
      <c r="Q114" s="73">
        <f>+'6. Csicsergő'!Q99-Q126</f>
        <v>0</v>
      </c>
      <c r="R114" s="73">
        <f>+'6. Csicsergő'!R99-R126</f>
        <v>0</v>
      </c>
      <c r="S114" s="73">
        <f t="shared" si="131"/>
        <v>0</v>
      </c>
      <c r="T114" s="499"/>
      <c r="U114" s="74"/>
    </row>
    <row r="115" spans="1:21" x14ac:dyDescent="0.25">
      <c r="B115" s="56" t="str">
        <f t="shared" si="127"/>
        <v>GÓLYAHÍR BÖLCSŐDE</v>
      </c>
      <c r="C115" s="498">
        <f>+'5. Gólyahír'!C99</f>
        <v>89246470</v>
      </c>
      <c r="D115" s="73">
        <f>+'5. Gólyahír'!D99</f>
        <v>89246470</v>
      </c>
      <c r="E115" s="73">
        <f>+'5. Gólyahír'!E99</f>
        <v>91246470</v>
      </c>
      <c r="F115" s="459">
        <f>+'5. Gólyahír'!F99-F127</f>
        <v>0</v>
      </c>
      <c r="G115" s="73"/>
      <c r="H115" s="498">
        <f>+'5. Gólyahír'!H99</f>
        <v>45697644</v>
      </c>
      <c r="I115" s="73">
        <f>+'5. Gólyahír'!I99</f>
        <v>69566239</v>
      </c>
      <c r="J115" s="73">
        <f>+'5. Gólyahír'!J99-J127</f>
        <v>0</v>
      </c>
      <c r="K115" s="73"/>
      <c r="L115" s="660">
        <f t="shared" si="128"/>
        <v>0.51203867222983723</v>
      </c>
      <c r="M115" s="660">
        <f t="shared" si="129"/>
        <v>0.76239923582797231</v>
      </c>
      <c r="N115" s="699">
        <f t="shared" si="130"/>
        <v>0</v>
      </c>
      <c r="O115" s="642"/>
      <c r="P115" s="498">
        <f>+'5. Gólyahír'!P99-P127</f>
        <v>0</v>
      </c>
      <c r="Q115" s="73">
        <f>+'5. Gólyahír'!Q99-Q127</f>
        <v>2000000</v>
      </c>
      <c r="R115" s="73">
        <f>+'5. Gólyahír'!R99-R127</f>
        <v>0</v>
      </c>
      <c r="S115" s="73">
        <f t="shared" si="131"/>
        <v>2000000</v>
      </c>
      <c r="T115" s="499"/>
      <c r="U115" s="74"/>
    </row>
    <row r="116" spans="1:21" x14ac:dyDescent="0.25">
      <c r="B116" s="56" t="str">
        <f t="shared" si="127"/>
        <v>POLGÁRMESTERI HIVATAL</v>
      </c>
      <c r="C116" s="498">
        <f>+'4. Polg.Hiv.'!C99</f>
        <v>167420000</v>
      </c>
      <c r="D116" s="73">
        <f>+'4. Polg.Hiv.'!D99</f>
        <v>167420000</v>
      </c>
      <c r="E116" s="73">
        <f>+'4. Polg.Hiv.'!E99</f>
        <v>167420000</v>
      </c>
      <c r="F116" s="459">
        <f>+'4. Polg.Hiv.'!F99-F128</f>
        <v>0</v>
      </c>
      <c r="G116" s="73"/>
      <c r="H116" s="498">
        <f>+'4. Polg.Hiv.'!H99</f>
        <v>91754672</v>
      </c>
      <c r="I116" s="73">
        <f>+'4. Polg.Hiv.'!I99</f>
        <v>128326114</v>
      </c>
      <c r="J116" s="73">
        <f>+'4. Polg.Hiv.'!J99-J128</f>
        <v>0</v>
      </c>
      <c r="K116" s="73"/>
      <c r="L116" s="660">
        <f t="shared" si="128"/>
        <v>0.54805084219328637</v>
      </c>
      <c r="M116" s="660">
        <f t="shared" si="129"/>
        <v>0.76649213952932749</v>
      </c>
      <c r="N116" s="699">
        <f t="shared" si="130"/>
        <v>0</v>
      </c>
      <c r="O116" s="642"/>
      <c r="P116" s="498">
        <f>+'4. Polg.Hiv.'!P99-P128</f>
        <v>0</v>
      </c>
      <c r="Q116" s="73">
        <f>+'4. Polg.Hiv.'!Q99-Q128</f>
        <v>0</v>
      </c>
      <c r="R116" s="73">
        <f>+'4. Polg.Hiv.'!R99-R128</f>
        <v>0</v>
      </c>
      <c r="S116" s="73">
        <f t="shared" si="131"/>
        <v>0</v>
      </c>
      <c r="T116" s="499"/>
      <c r="U116" s="74"/>
    </row>
    <row r="117" spans="1:21" x14ac:dyDescent="0.25">
      <c r="B117" s="56" t="str">
        <f t="shared" si="127"/>
        <v>Wass Albert Művelődési Központ és Könyvtár</v>
      </c>
      <c r="C117" s="498">
        <f>+'7. WAMKK'!C99</f>
        <v>52179000</v>
      </c>
      <c r="D117" s="73">
        <f>+'7. WAMKK'!D99</f>
        <v>52179000</v>
      </c>
      <c r="E117" s="73">
        <f>+'7. WAMKK'!E99</f>
        <v>56179000</v>
      </c>
      <c r="F117" s="459">
        <f>+'7. WAMKK'!F99-F129</f>
        <v>0</v>
      </c>
      <c r="G117" s="73"/>
      <c r="H117" s="498">
        <f>+'7. WAMKK'!H99</f>
        <v>17216457</v>
      </c>
      <c r="I117" s="73">
        <f>+'7. WAMKK'!I99</f>
        <v>35221475</v>
      </c>
      <c r="J117" s="73">
        <f>+'7. WAMKK'!J99-J129</f>
        <v>0</v>
      </c>
      <c r="K117" s="73"/>
      <c r="L117" s="660">
        <f t="shared" si="128"/>
        <v>0.32994992238256771</v>
      </c>
      <c r="M117" s="660">
        <f t="shared" si="129"/>
        <v>0.62695090692251554</v>
      </c>
      <c r="N117" s="699">
        <f t="shared" si="130"/>
        <v>0</v>
      </c>
      <c r="O117" s="642"/>
      <c r="P117" s="498">
        <f>+'7. WAMKK'!P99-P129</f>
        <v>0</v>
      </c>
      <c r="Q117" s="73">
        <f>+'7. WAMKK'!Q99-Q129</f>
        <v>4000000</v>
      </c>
      <c r="R117" s="73">
        <f>+'7. WAMKK'!R99-R129</f>
        <v>0</v>
      </c>
      <c r="S117" s="73">
        <f t="shared" si="131"/>
        <v>4000000</v>
      </c>
      <c r="T117" s="499"/>
      <c r="U117" s="74"/>
    </row>
    <row r="118" spans="1:21" x14ac:dyDescent="0.25">
      <c r="B118" s="56" t="str">
        <f t="shared" si="127"/>
        <v>Központi Konyha</v>
      </c>
      <c r="C118" s="498">
        <f>+'9. Közp. Konyha'!C99</f>
        <v>81245000</v>
      </c>
      <c r="D118" s="73">
        <f>+'9. Közp. Konyha'!D99</f>
        <v>81245000</v>
      </c>
      <c r="E118" s="73">
        <f>+'9. Közp. Konyha'!E99</f>
        <v>81245000</v>
      </c>
      <c r="F118" s="459">
        <f>+'9. Közp. Konyha'!F99-F130</f>
        <v>0</v>
      </c>
      <c r="G118" s="73"/>
      <c r="H118" s="498">
        <f>+'9. Közp. Konyha'!H99</f>
        <v>45327974</v>
      </c>
      <c r="I118" s="73">
        <f>+'9. Közp. Konyha'!I99</f>
        <v>61650682</v>
      </c>
      <c r="J118" s="73">
        <f>+'9. Közp. Konyha'!J99-J130</f>
        <v>0</v>
      </c>
      <c r="K118" s="73"/>
      <c r="L118" s="660">
        <f t="shared" si="128"/>
        <v>0.55791709028247893</v>
      </c>
      <c r="M118" s="660">
        <f t="shared" si="129"/>
        <v>0.75882432149670753</v>
      </c>
      <c r="N118" s="699">
        <f t="shared" si="130"/>
        <v>0</v>
      </c>
      <c r="O118" s="642"/>
      <c r="P118" s="498">
        <f>+'9. Közp. Konyha'!P99-P130</f>
        <v>0</v>
      </c>
      <c r="Q118" s="73">
        <f>+'9. Közp. Konyha'!Q99-Q130</f>
        <v>0</v>
      </c>
      <c r="R118" s="73">
        <f>+'9. Közp. Konyha'!R99-R130</f>
        <v>0</v>
      </c>
      <c r="S118" s="73">
        <f t="shared" si="131"/>
        <v>0</v>
      </c>
      <c r="T118" s="499"/>
      <c r="U118" s="74"/>
    </row>
    <row r="119" spans="1:21" ht="8.1" customHeight="1" x14ac:dyDescent="0.25">
      <c r="B119" s="383" t="s">
        <v>443</v>
      </c>
      <c r="C119" s="500"/>
      <c r="D119" s="382"/>
      <c r="E119" s="382"/>
      <c r="F119" s="511"/>
      <c r="G119" s="382"/>
      <c r="H119" s="500"/>
      <c r="I119" s="382"/>
      <c r="J119" s="382"/>
      <c r="K119" s="382"/>
      <c r="L119" s="700"/>
      <c r="M119" s="700"/>
      <c r="N119" s="701"/>
      <c r="O119" s="694"/>
      <c r="P119" s="500"/>
      <c r="Q119" s="382"/>
      <c r="R119" s="382"/>
      <c r="S119" s="382"/>
      <c r="T119" s="499"/>
      <c r="U119" s="74"/>
    </row>
    <row r="120" spans="1:21" x14ac:dyDescent="0.25">
      <c r="A120" s="384" t="str">
        <f>+A111</f>
        <v>B8</v>
      </c>
      <c r="B120" s="364" t="s">
        <v>437</v>
      </c>
      <c r="C120" s="501">
        <f>SUM(C112:C119)</f>
        <v>808469482</v>
      </c>
      <c r="D120" s="365">
        <f t="shared" ref="D120" si="132">SUM(D112:D119)</f>
        <v>808469482</v>
      </c>
      <c r="E120" s="365">
        <f t="shared" ref="E120" si="133">SUM(E112:E119)</f>
        <v>814469482</v>
      </c>
      <c r="F120" s="512">
        <f t="shared" ref="F120" si="134">SUM(F112:F119)</f>
        <v>0</v>
      </c>
      <c r="G120" s="365"/>
      <c r="H120" s="501">
        <f>SUM(H112:H119)</f>
        <v>480208383</v>
      </c>
      <c r="I120" s="365">
        <f t="shared" ref="I120" si="135">SUM(I112:I119)</f>
        <v>647974529</v>
      </c>
      <c r="J120" s="365">
        <f t="shared" ref="J120" si="136">SUM(J112:J119)</f>
        <v>0</v>
      </c>
      <c r="K120" s="365"/>
      <c r="L120" s="702">
        <f t="shared" ref="L120" si="137">IF(D120=0,0,H120/D120)</f>
        <v>0.59397218286094811</v>
      </c>
      <c r="M120" s="702">
        <f t="shared" ref="M120" si="138">IF(E120=0,0,I120/E120)</f>
        <v>0.7955786475987322</v>
      </c>
      <c r="N120" s="703">
        <f t="shared" ref="N120" si="139">IF(F120=0,0,J120/F120)</f>
        <v>0</v>
      </c>
      <c r="O120" s="695"/>
      <c r="P120" s="501">
        <f>SUM(P112:P119)</f>
        <v>0</v>
      </c>
      <c r="Q120" s="365">
        <f t="shared" ref="Q120" si="140">SUM(Q112:Q119)</f>
        <v>6000000</v>
      </c>
      <c r="R120" s="365">
        <f t="shared" ref="R120" si="141">SUM(R112:R119)</f>
        <v>0</v>
      </c>
      <c r="S120" s="365">
        <f>+P120*P$8+Q120*Q$8+R120*R$8</f>
        <v>6000000</v>
      </c>
      <c r="T120" s="499"/>
      <c r="U120" s="74"/>
    </row>
    <row r="121" spans="1:21" x14ac:dyDescent="0.25">
      <c r="C121" s="502"/>
      <c r="F121" s="457"/>
      <c r="H121" s="502"/>
      <c r="L121" s="660"/>
      <c r="M121" s="660"/>
      <c r="N121" s="699"/>
      <c r="O121" s="643"/>
      <c r="P121" s="502"/>
      <c r="T121" s="499"/>
    </row>
    <row r="122" spans="1:21" x14ac:dyDescent="0.25">
      <c r="C122" s="502"/>
      <c r="F122" s="457"/>
      <c r="H122" s="502"/>
      <c r="L122" s="660"/>
      <c r="M122" s="660"/>
      <c r="N122" s="699"/>
      <c r="O122" s="643"/>
      <c r="P122" s="502"/>
      <c r="T122" s="499"/>
    </row>
    <row r="123" spans="1:21" x14ac:dyDescent="0.25">
      <c r="A123" s="320" t="s">
        <v>444</v>
      </c>
      <c r="B123" s="320"/>
      <c r="C123" s="498"/>
      <c r="D123" s="74"/>
      <c r="E123" s="74"/>
      <c r="F123" s="524"/>
      <c r="G123" s="74"/>
      <c r="H123" s="498"/>
      <c r="K123" s="74"/>
      <c r="L123" s="658"/>
      <c r="M123" s="658"/>
      <c r="N123" s="699"/>
      <c r="O123" s="650"/>
      <c r="P123" s="498"/>
      <c r="Q123" s="73"/>
      <c r="R123" s="73"/>
      <c r="S123" s="73"/>
      <c r="T123" s="499"/>
      <c r="U123" s="74"/>
    </row>
    <row r="124" spans="1:21" x14ac:dyDescent="0.25">
      <c r="B124" s="56" t="str">
        <f t="shared" ref="B124:B130" si="142">+B112</f>
        <v>Sülysáp Város Önkormányzata</v>
      </c>
      <c r="C124" s="498">
        <f>+' 2. Önk. Bevételek'!C87</f>
        <v>141968012</v>
      </c>
      <c r="D124" s="73">
        <f>+' 2. Önk. Bevételek'!D87</f>
        <v>141968012</v>
      </c>
      <c r="E124" s="73">
        <f>+' 2. Önk. Bevételek'!E87</f>
        <v>141968012</v>
      </c>
      <c r="F124" s="459">
        <f>+' 2. Önk. Bevételek'!F87</f>
        <v>0</v>
      </c>
      <c r="G124" s="74"/>
      <c r="H124" s="498">
        <f>+' 2. Önk. Bevételek'!H87</f>
        <v>141968016</v>
      </c>
      <c r="I124" s="73">
        <f>+' 2. Önk. Bevételek'!I87</f>
        <v>141968012</v>
      </c>
      <c r="J124" s="73">
        <f>+' 2. Önk. Bevételek'!J87</f>
        <v>0</v>
      </c>
      <c r="K124" s="74"/>
      <c r="L124" s="660">
        <f t="shared" ref="L124:L130" si="143">IF(D124=0,0,H124/D124)</f>
        <v>1.0000000281753612</v>
      </c>
      <c r="M124" s="660">
        <f t="shared" ref="M124:M130" si="144">IF(E124=0,0,I124/E124)</f>
        <v>1</v>
      </c>
      <c r="N124" s="699">
        <f t="shared" ref="N124:N130" si="145">IF(F124=0,0,J124/F124)</f>
        <v>0</v>
      </c>
      <c r="O124" s="650"/>
      <c r="P124" s="498">
        <f>+' 2. Önk. Bevételek'!P87</f>
        <v>0</v>
      </c>
      <c r="Q124" s="73">
        <f>+' 2. Önk. Bevételek'!Q87</f>
        <v>0</v>
      </c>
      <c r="R124" s="73">
        <f>+' 2. Önk. Bevételek'!R87</f>
        <v>0</v>
      </c>
      <c r="S124" s="73">
        <f t="shared" ref="S124:S130" si="146">+P124*P$8+Q124*Q$8+R124*R$8</f>
        <v>0</v>
      </c>
      <c r="T124" s="499"/>
      <c r="U124" s="74"/>
    </row>
    <row r="125" spans="1:21" x14ac:dyDescent="0.25">
      <c r="A125" s="56"/>
      <c r="B125" s="56" t="str">
        <f t="shared" si="142"/>
        <v>Dr. Gáspár István HSZK</v>
      </c>
      <c r="C125" s="498">
        <f>+'8. Dr Gáspár HSZK'!C101</f>
        <v>1878080</v>
      </c>
      <c r="D125" s="73">
        <f>+'8. Dr Gáspár HSZK'!D101</f>
        <v>1878080</v>
      </c>
      <c r="E125" s="73">
        <f>+'8. Dr Gáspár HSZK'!E101</f>
        <v>1878080</v>
      </c>
      <c r="F125" s="459">
        <f>+'8. Dr Gáspár HSZK'!F101</f>
        <v>0</v>
      </c>
      <c r="G125" s="73"/>
      <c r="H125" s="498">
        <f>+'8. Dr Gáspár HSZK'!H101</f>
        <v>1878080</v>
      </c>
      <c r="I125" s="73">
        <f>+'8. Dr Gáspár HSZK'!I101</f>
        <v>1878080</v>
      </c>
      <c r="J125" s="73">
        <f>+'8. Dr Gáspár HSZK'!J101</f>
        <v>0</v>
      </c>
      <c r="K125" s="73"/>
      <c r="L125" s="660">
        <f t="shared" si="143"/>
        <v>1</v>
      </c>
      <c r="M125" s="660">
        <f t="shared" si="144"/>
        <v>1</v>
      </c>
      <c r="N125" s="699">
        <f t="shared" si="145"/>
        <v>0</v>
      </c>
      <c r="O125" s="642"/>
      <c r="P125" s="498">
        <f>+'8. Dr Gáspár HSZK'!P101</f>
        <v>0</v>
      </c>
      <c r="Q125" s="73">
        <f>+'8. Dr Gáspár HSZK'!Q101</f>
        <v>0</v>
      </c>
      <c r="R125" s="73">
        <f>+'8. Dr Gáspár HSZK'!R101</f>
        <v>0</v>
      </c>
      <c r="S125" s="73">
        <f t="shared" si="146"/>
        <v>0</v>
      </c>
      <c r="T125" s="499"/>
      <c r="U125" s="74"/>
    </row>
    <row r="126" spans="1:21" x14ac:dyDescent="0.25">
      <c r="B126" s="56" t="str">
        <f t="shared" si="142"/>
        <v>SÜLYSÁPI CSICSERGŐ ÓVODA</v>
      </c>
      <c r="C126" s="498">
        <f>+'6. Csicsergő'!C101</f>
        <v>330406</v>
      </c>
      <c r="D126" s="73">
        <f>+'6. Csicsergő'!D101</f>
        <v>330406</v>
      </c>
      <c r="E126" s="73">
        <f>+'6. Csicsergő'!E101</f>
        <v>330406</v>
      </c>
      <c r="F126" s="459">
        <f>+'6. Csicsergő'!F101</f>
        <v>0</v>
      </c>
      <c r="G126" s="73"/>
      <c r="H126" s="498">
        <f>+'6. Csicsergő'!H101</f>
        <v>330406</v>
      </c>
      <c r="I126" s="73">
        <f>+'6. Csicsergő'!I101</f>
        <v>330406</v>
      </c>
      <c r="J126" s="73">
        <f>+'6. Csicsergő'!J101</f>
        <v>0</v>
      </c>
      <c r="K126" s="73"/>
      <c r="L126" s="660">
        <f t="shared" si="143"/>
        <v>1</v>
      </c>
      <c r="M126" s="660">
        <f t="shared" si="144"/>
        <v>1</v>
      </c>
      <c r="N126" s="699">
        <f t="shared" si="145"/>
        <v>0</v>
      </c>
      <c r="O126" s="642"/>
      <c r="P126" s="498">
        <f>+'6. Csicsergő'!P101</f>
        <v>0</v>
      </c>
      <c r="Q126" s="73">
        <f>+'6. Csicsergő'!Q101</f>
        <v>0</v>
      </c>
      <c r="R126" s="73">
        <f>+'6. Csicsergő'!R101</f>
        <v>0</v>
      </c>
      <c r="S126" s="73">
        <f t="shared" si="146"/>
        <v>0</v>
      </c>
      <c r="T126" s="499"/>
      <c r="U126" s="74"/>
    </row>
    <row r="127" spans="1:21" x14ac:dyDescent="0.25">
      <c r="B127" s="56" t="str">
        <f t="shared" si="142"/>
        <v>GÓLYAHÍR BÖLCSŐDE</v>
      </c>
      <c r="C127" s="498">
        <f>+'5. Gólyahír'!C101</f>
        <v>1007208</v>
      </c>
      <c r="D127" s="73">
        <f>+'5. Gólyahír'!D101</f>
        <v>1007208</v>
      </c>
      <c r="E127" s="73">
        <f>+'5. Gólyahír'!E101</f>
        <v>1007208</v>
      </c>
      <c r="F127" s="459">
        <f>+'5. Gólyahír'!F101</f>
        <v>0</v>
      </c>
      <c r="G127" s="73"/>
      <c r="H127" s="498">
        <f>+'5. Gólyahír'!H101</f>
        <v>1007208</v>
      </c>
      <c r="I127" s="73">
        <f>+'5. Gólyahír'!I101</f>
        <v>1007208</v>
      </c>
      <c r="J127" s="73">
        <f>+'5. Gólyahír'!J101</f>
        <v>0</v>
      </c>
      <c r="K127" s="73"/>
      <c r="L127" s="660">
        <f t="shared" si="143"/>
        <v>1</v>
      </c>
      <c r="M127" s="660">
        <f t="shared" si="144"/>
        <v>1</v>
      </c>
      <c r="N127" s="699">
        <f t="shared" si="145"/>
        <v>0</v>
      </c>
      <c r="O127" s="642"/>
      <c r="P127" s="498">
        <f>+'5. Gólyahír'!P101</f>
        <v>0</v>
      </c>
      <c r="Q127" s="73">
        <f>+'5. Gólyahír'!Q101</f>
        <v>0</v>
      </c>
      <c r="R127" s="73">
        <f>+'5. Gólyahír'!R101</f>
        <v>0</v>
      </c>
      <c r="S127" s="73">
        <f t="shared" si="146"/>
        <v>0</v>
      </c>
      <c r="T127" s="499"/>
      <c r="U127" s="74"/>
    </row>
    <row r="128" spans="1:21" x14ac:dyDescent="0.25">
      <c r="B128" s="56" t="str">
        <f t="shared" si="142"/>
        <v>POLGÁRMESTERI HIVATAL</v>
      </c>
      <c r="C128" s="498">
        <f>+'4. Polg.Hiv.'!C101</f>
        <v>1446734</v>
      </c>
      <c r="D128" s="73">
        <f>+'4. Polg.Hiv.'!D101</f>
        <v>1446734</v>
      </c>
      <c r="E128" s="73">
        <f>+'4. Polg.Hiv.'!E101</f>
        <v>1446734</v>
      </c>
      <c r="F128" s="459">
        <f>+'4. Polg.Hiv.'!F101</f>
        <v>0</v>
      </c>
      <c r="G128" s="73"/>
      <c r="H128" s="498">
        <f>+'4. Polg.Hiv.'!H101</f>
        <v>1446734</v>
      </c>
      <c r="I128" s="73">
        <f>+'4. Polg.Hiv.'!I101</f>
        <v>1446734</v>
      </c>
      <c r="J128" s="73">
        <f>+'4. Polg.Hiv.'!J101</f>
        <v>0</v>
      </c>
      <c r="K128" s="73"/>
      <c r="L128" s="660">
        <f t="shared" si="143"/>
        <v>1</v>
      </c>
      <c r="M128" s="660">
        <f t="shared" si="144"/>
        <v>1</v>
      </c>
      <c r="N128" s="699">
        <f t="shared" si="145"/>
        <v>0</v>
      </c>
      <c r="O128" s="642"/>
      <c r="P128" s="498">
        <f>+'4. Polg.Hiv.'!P101</f>
        <v>0</v>
      </c>
      <c r="Q128" s="73">
        <f>+'4. Polg.Hiv.'!Q101</f>
        <v>0</v>
      </c>
      <c r="R128" s="73">
        <f>+'4. Polg.Hiv.'!R101</f>
        <v>0</v>
      </c>
      <c r="S128" s="73">
        <f t="shared" si="146"/>
        <v>0</v>
      </c>
      <c r="T128" s="499"/>
      <c r="U128" s="74"/>
    </row>
    <row r="129" spans="1:21" x14ac:dyDescent="0.25">
      <c r="B129" s="56" t="str">
        <f t="shared" si="142"/>
        <v>Wass Albert Művelődési Központ és Könyvtár</v>
      </c>
      <c r="C129" s="498">
        <f>+'7. WAMKK'!C101</f>
        <v>7105630</v>
      </c>
      <c r="D129" s="73">
        <f>+'7. WAMKK'!D101</f>
        <v>7105630</v>
      </c>
      <c r="E129" s="73">
        <f>+'7. WAMKK'!E101</f>
        <v>7105630</v>
      </c>
      <c r="F129" s="459">
        <f>+'7. WAMKK'!F101</f>
        <v>0</v>
      </c>
      <c r="G129" s="73"/>
      <c r="H129" s="498">
        <f>+'7. WAMKK'!H101</f>
        <v>7105630</v>
      </c>
      <c r="I129" s="73">
        <f>+'7. WAMKK'!I101</f>
        <v>7105630</v>
      </c>
      <c r="J129" s="73">
        <f>+'7. WAMKK'!J101</f>
        <v>0</v>
      </c>
      <c r="K129" s="73"/>
      <c r="L129" s="660">
        <f t="shared" si="143"/>
        <v>1</v>
      </c>
      <c r="M129" s="660">
        <f t="shared" si="144"/>
        <v>1</v>
      </c>
      <c r="N129" s="699">
        <f t="shared" si="145"/>
        <v>0</v>
      </c>
      <c r="O129" s="642"/>
      <c r="P129" s="498">
        <f>+'7. WAMKK'!P101</f>
        <v>0</v>
      </c>
      <c r="Q129" s="73">
        <f>+'7. WAMKK'!Q101</f>
        <v>0</v>
      </c>
      <c r="R129" s="73">
        <f>+'7. WAMKK'!R101</f>
        <v>0</v>
      </c>
      <c r="S129" s="73">
        <f t="shared" si="146"/>
        <v>0</v>
      </c>
      <c r="T129" s="499"/>
      <c r="U129" s="74"/>
    </row>
    <row r="130" spans="1:21" x14ac:dyDescent="0.25">
      <c r="B130" s="56" t="str">
        <f t="shared" si="142"/>
        <v>Központi Konyha</v>
      </c>
      <c r="C130" s="498">
        <f>+'9. Közp. Konyha'!C101</f>
        <v>3312732</v>
      </c>
      <c r="D130" s="73">
        <f>+'9. Közp. Konyha'!D101</f>
        <v>3312732</v>
      </c>
      <c r="E130" s="73">
        <f>+'9. Közp. Konyha'!E101</f>
        <v>3312732</v>
      </c>
      <c r="F130" s="459">
        <f>+'9. Közp. Konyha'!F101</f>
        <v>0</v>
      </c>
      <c r="G130" s="73"/>
      <c r="H130" s="498">
        <f>+'9. Közp. Konyha'!H101</f>
        <v>3312732</v>
      </c>
      <c r="I130" s="73">
        <f>+'9. Közp. Konyha'!I101</f>
        <v>3312732</v>
      </c>
      <c r="J130" s="73">
        <f>+'9. Közp. Konyha'!J101</f>
        <v>0</v>
      </c>
      <c r="K130" s="73"/>
      <c r="L130" s="660">
        <f t="shared" si="143"/>
        <v>1</v>
      </c>
      <c r="M130" s="660">
        <f t="shared" si="144"/>
        <v>1</v>
      </c>
      <c r="N130" s="699">
        <f t="shared" si="145"/>
        <v>0</v>
      </c>
      <c r="O130" s="642"/>
      <c r="P130" s="498">
        <f>+'9. Közp. Konyha'!P101</f>
        <v>0</v>
      </c>
      <c r="Q130" s="73">
        <f>+'9. Közp. Konyha'!Q101</f>
        <v>0</v>
      </c>
      <c r="R130" s="73">
        <f>+'9. Közp. Konyha'!R101</f>
        <v>0</v>
      </c>
      <c r="S130" s="73">
        <f t="shared" si="146"/>
        <v>0</v>
      </c>
      <c r="T130" s="499"/>
      <c r="U130" s="74"/>
    </row>
    <row r="131" spans="1:21" ht="8.1" customHeight="1" x14ac:dyDescent="0.25">
      <c r="B131" s="383" t="s">
        <v>443</v>
      </c>
      <c r="C131" s="500"/>
      <c r="D131" s="382"/>
      <c r="E131" s="382"/>
      <c r="F131" s="511"/>
      <c r="G131" s="382"/>
      <c r="H131" s="500"/>
      <c r="I131" s="382"/>
      <c r="J131" s="382"/>
      <c r="K131" s="382"/>
      <c r="L131" s="700"/>
      <c r="M131" s="700"/>
      <c r="N131" s="701"/>
      <c r="O131" s="694"/>
      <c r="P131" s="500"/>
      <c r="Q131" s="382"/>
      <c r="R131" s="382"/>
      <c r="S131" s="382"/>
      <c r="T131" s="499"/>
      <c r="U131" s="74"/>
    </row>
    <row r="132" spans="1:21" x14ac:dyDescent="0.25">
      <c r="A132" s="384" t="str">
        <f>+A123</f>
        <v>B8-ból előző évi mardvány igénybevétele</v>
      </c>
      <c r="B132" s="364" t="s">
        <v>437</v>
      </c>
      <c r="C132" s="501">
        <f>SUM(C124:C131)</f>
        <v>157048802</v>
      </c>
      <c r="D132" s="365">
        <f t="shared" ref="D132" si="147">SUM(D124:D131)</f>
        <v>157048802</v>
      </c>
      <c r="E132" s="365">
        <f t="shared" ref="E132" si="148">SUM(E124:E131)</f>
        <v>157048802</v>
      </c>
      <c r="F132" s="512">
        <f t="shared" ref="F132" si="149">SUM(F124:F131)</f>
        <v>0</v>
      </c>
      <c r="G132" s="365"/>
      <c r="H132" s="501">
        <f>SUM(H124:H131)</f>
        <v>157048806</v>
      </c>
      <c r="I132" s="365">
        <f t="shared" ref="I132" si="150">SUM(I124:I131)</f>
        <v>157048802</v>
      </c>
      <c r="J132" s="365">
        <f t="shared" ref="J132" si="151">SUM(J124:J131)</f>
        <v>0</v>
      </c>
      <c r="K132" s="365"/>
      <c r="L132" s="702">
        <f t="shared" ref="L132" si="152">IF(D132=0,0,H132/D132)</f>
        <v>1.0000000254697901</v>
      </c>
      <c r="M132" s="702">
        <f t="shared" ref="M132" si="153">IF(E132=0,0,I132/E132)</f>
        <v>1</v>
      </c>
      <c r="N132" s="703">
        <f t="shared" ref="N132" si="154">IF(F132=0,0,J132/F132)</f>
        <v>0</v>
      </c>
      <c r="O132" s="695"/>
      <c r="P132" s="501">
        <f>SUM(P124:P131)</f>
        <v>0</v>
      </c>
      <c r="Q132" s="365">
        <f t="shared" ref="Q132" si="155">SUM(Q124:Q131)</f>
        <v>0</v>
      </c>
      <c r="R132" s="365">
        <f t="shared" ref="R132" si="156">SUM(R124:R131)</f>
        <v>0</v>
      </c>
      <c r="S132" s="365">
        <f>+P132*P$8+Q132*Q$8+R132*R$8</f>
        <v>0</v>
      </c>
      <c r="T132" s="499"/>
      <c r="U132" s="74"/>
    </row>
    <row r="133" spans="1:21" x14ac:dyDescent="0.25">
      <c r="C133" s="498"/>
      <c r="F133" s="457"/>
      <c r="H133" s="502"/>
      <c r="L133" s="660"/>
      <c r="M133" s="660"/>
      <c r="N133" s="699"/>
      <c r="O133" s="643"/>
      <c r="P133" s="502"/>
      <c r="T133" s="499"/>
    </row>
    <row r="134" spans="1:21" x14ac:dyDescent="0.25">
      <c r="B134" s="73"/>
      <c r="C134" s="502"/>
      <c r="F134" s="457"/>
      <c r="H134" s="502"/>
      <c r="L134" s="660"/>
      <c r="M134" s="660"/>
      <c r="N134" s="699"/>
      <c r="O134" s="643"/>
      <c r="P134" s="502"/>
      <c r="T134" s="499"/>
    </row>
    <row r="135" spans="1:21" x14ac:dyDescent="0.25">
      <c r="A135" s="320" t="s">
        <v>354</v>
      </c>
      <c r="B135" s="320" t="str">
        <f>+'8. Dr Gáspár HSZK'!B100</f>
        <v>Központi, irányító szervi támogatás</v>
      </c>
      <c r="C135" s="525" t="s">
        <v>439</v>
      </c>
      <c r="D135" s="74"/>
      <c r="E135" s="74"/>
      <c r="F135" s="524"/>
      <c r="G135" s="74"/>
      <c r="H135" s="498"/>
      <c r="K135" s="74"/>
      <c r="L135" s="658"/>
      <c r="M135" s="658"/>
      <c r="N135" s="699"/>
      <c r="O135" s="650"/>
      <c r="P135" s="498"/>
      <c r="Q135" s="73"/>
      <c r="R135" s="73"/>
      <c r="S135" s="73"/>
      <c r="T135" s="499"/>
      <c r="U135" s="74"/>
    </row>
    <row r="136" spans="1:21" x14ac:dyDescent="0.25">
      <c r="B136" s="56" t="str">
        <f t="shared" ref="B136:B142" si="157">+B124</f>
        <v>Sülysáp Város Önkormányzata</v>
      </c>
      <c r="C136" s="498"/>
      <c r="D136" s="73"/>
      <c r="E136" s="73"/>
      <c r="F136" s="459"/>
      <c r="G136" s="74"/>
      <c r="H136" s="498"/>
      <c r="I136" s="73"/>
      <c r="J136" s="73"/>
      <c r="K136" s="74"/>
      <c r="L136" s="658"/>
      <c r="M136" s="658"/>
      <c r="N136" s="699"/>
      <c r="O136" s="650"/>
      <c r="P136" s="498"/>
      <c r="Q136" s="73"/>
      <c r="R136" s="73"/>
      <c r="S136" s="73"/>
      <c r="T136" s="499"/>
      <c r="U136" s="74"/>
    </row>
    <row r="137" spans="1:21" x14ac:dyDescent="0.25">
      <c r="A137" s="56"/>
      <c r="B137" s="56" t="str">
        <f t="shared" si="157"/>
        <v>Dr. Gáspár István HSZK</v>
      </c>
      <c r="C137" s="498">
        <f>+'8. Dr Gáspár HSZK'!C100</f>
        <v>40951920</v>
      </c>
      <c r="D137" s="73">
        <f>+'8. Dr Gáspár HSZK'!D100</f>
        <v>40951920</v>
      </c>
      <c r="E137" s="73">
        <f>+'8. Dr Gáspár HSZK'!E100</f>
        <v>40951920</v>
      </c>
      <c r="F137" s="459">
        <f>+'8. Dr Gáspár HSZK'!F100</f>
        <v>0</v>
      </c>
      <c r="G137" s="73"/>
      <c r="H137" s="498">
        <f>+'8. Dr Gáspár HSZK'!H100</f>
        <v>18876114</v>
      </c>
      <c r="I137" s="73">
        <f>+'8. Dr Gáspár HSZK'!I100</f>
        <v>35174227</v>
      </c>
      <c r="J137" s="73">
        <f>+'8. Dr Gáspár HSZK'!J100</f>
        <v>0</v>
      </c>
      <c r="K137" s="73"/>
      <c r="L137" s="660">
        <f t="shared" ref="L137:L144" si="158">IF(D137=0,0,H137/D137)</f>
        <v>0.46093355329859992</v>
      </c>
      <c r="M137" s="660">
        <f t="shared" ref="M137:M144" si="159">IF(E137=0,0,I137/E137)</f>
        <v>0.85891521081307054</v>
      </c>
      <c r="N137" s="699">
        <f t="shared" ref="N137:N144" si="160">IF(F137=0,0,J137/F137)</f>
        <v>0</v>
      </c>
      <c r="O137" s="642"/>
      <c r="P137" s="498">
        <f>+'8. Dr Gáspár HSZK'!P100</f>
        <v>0</v>
      </c>
      <c r="Q137" s="73">
        <f>+'8. Dr Gáspár HSZK'!Q100</f>
        <v>0</v>
      </c>
      <c r="R137" s="73">
        <f>+'8. Dr Gáspár HSZK'!R100</f>
        <v>0</v>
      </c>
      <c r="S137" s="73">
        <f t="shared" ref="S137:S142" si="161">+P137*P$8+Q137*Q$8+R137*R$8</f>
        <v>0</v>
      </c>
      <c r="T137" s="499"/>
      <c r="U137" s="74"/>
    </row>
    <row r="138" spans="1:21" x14ac:dyDescent="0.25">
      <c r="B138" s="56" t="str">
        <f t="shared" si="157"/>
        <v>SÜLYSÁPI CSICSERGŐ ÓVODA</v>
      </c>
      <c r="C138" s="498">
        <f>+'6. Csicsergő'!C100</f>
        <v>233250594</v>
      </c>
      <c r="D138" s="73">
        <f>+'6. Csicsergő'!D100</f>
        <v>233250594</v>
      </c>
      <c r="E138" s="73">
        <f>+'6. Csicsergő'!E100</f>
        <v>233250594</v>
      </c>
      <c r="F138" s="459">
        <f>+'6. Csicsergő'!F100</f>
        <v>0</v>
      </c>
      <c r="G138" s="73"/>
      <c r="H138" s="498">
        <f>+'6. Csicsergő'!H100</f>
        <v>116504525</v>
      </c>
      <c r="I138" s="73">
        <f>+'6. Csicsergő'!I100</f>
        <v>173204799</v>
      </c>
      <c r="J138" s="73">
        <f>+'6. Csicsergő'!J100</f>
        <v>0</v>
      </c>
      <c r="K138" s="73"/>
      <c r="L138" s="660">
        <f t="shared" si="158"/>
        <v>0.49948222211172588</v>
      </c>
      <c r="M138" s="660">
        <f t="shared" si="159"/>
        <v>0.74256959448514848</v>
      </c>
      <c r="N138" s="699">
        <f t="shared" si="160"/>
        <v>0</v>
      </c>
      <c r="O138" s="642"/>
      <c r="P138" s="498">
        <f>+'6. Csicsergő'!P100</f>
        <v>0</v>
      </c>
      <c r="Q138" s="73">
        <f>+'6. Csicsergő'!Q100</f>
        <v>0</v>
      </c>
      <c r="R138" s="73">
        <f>+'6. Csicsergő'!R100</f>
        <v>0</v>
      </c>
      <c r="S138" s="73">
        <f t="shared" si="161"/>
        <v>0</v>
      </c>
      <c r="T138" s="499"/>
      <c r="U138" s="74"/>
    </row>
    <row r="139" spans="1:21" x14ac:dyDescent="0.25">
      <c r="B139" s="56" t="str">
        <f t="shared" si="157"/>
        <v>GÓLYAHÍR BÖLCSŐDE</v>
      </c>
      <c r="C139" s="498">
        <f>+'5. Gólyahír'!C100</f>
        <v>88239262</v>
      </c>
      <c r="D139" s="73">
        <f>+'5. Gólyahír'!D100</f>
        <v>88239262</v>
      </c>
      <c r="E139" s="73">
        <f>+'5. Gólyahír'!E100</f>
        <v>90239262</v>
      </c>
      <c r="F139" s="459">
        <f>+'5. Gólyahír'!F100</f>
        <v>0</v>
      </c>
      <c r="G139" s="73"/>
      <c r="H139" s="498">
        <f>+'5. Gólyahír'!H100</f>
        <v>44690436</v>
      </c>
      <c r="I139" s="73">
        <f>+'5. Gólyahír'!I100</f>
        <v>68559031</v>
      </c>
      <c r="J139" s="73">
        <f>+'5. Gólyahír'!J100</f>
        <v>0</v>
      </c>
      <c r="K139" s="73"/>
      <c r="L139" s="660">
        <f t="shared" si="158"/>
        <v>0.50646883243425134</v>
      </c>
      <c r="M139" s="660">
        <f t="shared" si="159"/>
        <v>0.75974724837621121</v>
      </c>
      <c r="N139" s="699">
        <f t="shared" si="160"/>
        <v>0</v>
      </c>
      <c r="O139" s="642"/>
      <c r="P139" s="498">
        <f>+'5. Gólyahír'!P100</f>
        <v>0</v>
      </c>
      <c r="Q139" s="73">
        <f>+'5. Gólyahír'!Q100</f>
        <v>2000000</v>
      </c>
      <c r="R139" s="73">
        <f>+'5. Gólyahír'!R100</f>
        <v>0</v>
      </c>
      <c r="S139" s="73">
        <f t="shared" si="161"/>
        <v>2000000</v>
      </c>
      <c r="T139" s="499"/>
      <c r="U139" s="74"/>
    </row>
    <row r="140" spans="1:21" x14ac:dyDescent="0.25">
      <c r="B140" s="56" t="str">
        <f t="shared" si="157"/>
        <v>POLGÁRMESTERI HIVATAL</v>
      </c>
      <c r="C140" s="498">
        <f>+'4. Polg.Hiv.'!C100</f>
        <v>165973266</v>
      </c>
      <c r="D140" s="73">
        <f>+'4. Polg.Hiv.'!D100</f>
        <v>165973266</v>
      </c>
      <c r="E140" s="73">
        <f>+'4. Polg.Hiv.'!E100</f>
        <v>165973266</v>
      </c>
      <c r="F140" s="459">
        <f>+'4. Polg.Hiv.'!F100</f>
        <v>0</v>
      </c>
      <c r="G140" s="73"/>
      <c r="H140" s="498">
        <f>+'4. Polg.Hiv.'!H100</f>
        <v>90307938</v>
      </c>
      <c r="I140" s="73">
        <f>+'4. Polg.Hiv.'!I100</f>
        <v>126879380</v>
      </c>
      <c r="J140" s="73">
        <f>+'4. Polg.Hiv.'!J100</f>
        <v>0</v>
      </c>
      <c r="K140" s="73"/>
      <c r="L140" s="660">
        <f t="shared" si="158"/>
        <v>0.54411135104131769</v>
      </c>
      <c r="M140" s="660">
        <f t="shared" si="159"/>
        <v>0.76445672883246152</v>
      </c>
      <c r="N140" s="699">
        <f t="shared" si="160"/>
        <v>0</v>
      </c>
      <c r="O140" s="642"/>
      <c r="P140" s="498">
        <f>+'4. Polg.Hiv.'!P100</f>
        <v>0</v>
      </c>
      <c r="Q140" s="73">
        <f>+'4. Polg.Hiv.'!Q100</f>
        <v>0</v>
      </c>
      <c r="R140" s="73">
        <f>+'4. Polg.Hiv.'!R100</f>
        <v>0</v>
      </c>
      <c r="S140" s="73">
        <f t="shared" si="161"/>
        <v>0</v>
      </c>
      <c r="T140" s="499"/>
      <c r="U140" s="74"/>
    </row>
    <row r="141" spans="1:21" x14ac:dyDescent="0.25">
      <c r="B141" s="56" t="str">
        <f t="shared" si="157"/>
        <v>Wass Albert Művelődési Központ és Könyvtár</v>
      </c>
      <c r="C141" s="498">
        <f>+'7. WAMKK'!C100</f>
        <v>45073370</v>
      </c>
      <c r="D141" s="73">
        <f>+'7. WAMKK'!D100</f>
        <v>45073370</v>
      </c>
      <c r="E141" s="73">
        <f>+'7. WAMKK'!E100</f>
        <v>49073370</v>
      </c>
      <c r="F141" s="459">
        <f>+'7. WAMKK'!F100</f>
        <v>0</v>
      </c>
      <c r="G141" s="73"/>
      <c r="H141" s="498">
        <f>+'7. WAMKK'!H100</f>
        <v>10110827</v>
      </c>
      <c r="I141" s="73">
        <f>+'7. WAMKK'!I100</f>
        <v>28115845</v>
      </c>
      <c r="J141" s="73">
        <f>+'7. WAMKK'!J100</f>
        <v>0</v>
      </c>
      <c r="K141" s="73"/>
      <c r="L141" s="660">
        <f t="shared" si="158"/>
        <v>0.22431930428099786</v>
      </c>
      <c r="M141" s="660">
        <f t="shared" si="159"/>
        <v>0.57293487282409994</v>
      </c>
      <c r="N141" s="699">
        <f t="shared" si="160"/>
        <v>0</v>
      </c>
      <c r="O141" s="642"/>
      <c r="P141" s="498">
        <f>+'7. WAMKK'!P100</f>
        <v>0</v>
      </c>
      <c r="Q141" s="73">
        <f>+'7. WAMKK'!Q100</f>
        <v>4000000</v>
      </c>
      <c r="R141" s="73">
        <f>+'7. WAMKK'!R100</f>
        <v>0</v>
      </c>
      <c r="S141" s="73">
        <f t="shared" si="161"/>
        <v>4000000</v>
      </c>
      <c r="T141" s="499"/>
      <c r="U141" s="74"/>
    </row>
    <row r="142" spans="1:21" x14ac:dyDescent="0.25">
      <c r="B142" s="56" t="str">
        <f t="shared" si="157"/>
        <v>Központi Konyha</v>
      </c>
      <c r="C142" s="498">
        <f>+'9. Közp. Konyha'!C100</f>
        <v>77932268</v>
      </c>
      <c r="D142" s="73">
        <f>+'9. Közp. Konyha'!D100</f>
        <v>77932268</v>
      </c>
      <c r="E142" s="73">
        <f>+'9. Közp. Konyha'!E100</f>
        <v>77932268</v>
      </c>
      <c r="F142" s="459">
        <f>+'9. Közp. Konyha'!F100</f>
        <v>0</v>
      </c>
      <c r="G142" s="73"/>
      <c r="H142" s="498">
        <f>+'9. Közp. Konyha'!H100</f>
        <v>42015242</v>
      </c>
      <c r="I142" s="73">
        <f>+'9. Közp. Konyha'!I100</f>
        <v>58337950</v>
      </c>
      <c r="J142" s="73">
        <f>+'9. Közp. Konyha'!J100</f>
        <v>0</v>
      </c>
      <c r="K142" s="73"/>
      <c r="L142" s="660">
        <f t="shared" si="158"/>
        <v>0.53912510283930148</v>
      </c>
      <c r="M142" s="660">
        <f t="shared" si="159"/>
        <v>0.74857246551582457</v>
      </c>
      <c r="N142" s="699">
        <f t="shared" si="160"/>
        <v>0</v>
      </c>
      <c r="O142" s="642"/>
      <c r="P142" s="498">
        <f>+'9. Közp. Konyha'!P100</f>
        <v>0</v>
      </c>
      <c r="Q142" s="73">
        <f>+'9. Közp. Konyha'!Q100</f>
        <v>0</v>
      </c>
      <c r="R142" s="73">
        <f>+'9. Közp. Konyha'!R100</f>
        <v>0</v>
      </c>
      <c r="S142" s="73">
        <f t="shared" si="161"/>
        <v>0</v>
      </c>
      <c r="T142" s="499"/>
      <c r="U142" s="74"/>
    </row>
    <row r="143" spans="1:21" ht="8.1" customHeight="1" x14ac:dyDescent="0.25">
      <c r="B143" s="383" t="s">
        <v>443</v>
      </c>
      <c r="C143" s="500"/>
      <c r="D143" s="382"/>
      <c r="E143" s="382"/>
      <c r="F143" s="511"/>
      <c r="G143" s="382"/>
      <c r="H143" s="500"/>
      <c r="I143" s="382"/>
      <c r="J143" s="382"/>
      <c r="K143" s="382"/>
      <c r="L143" s="700"/>
      <c r="M143" s="700"/>
      <c r="N143" s="701"/>
      <c r="O143" s="694"/>
      <c r="P143" s="500"/>
      <c r="Q143" s="382"/>
      <c r="R143" s="382"/>
      <c r="S143" s="382"/>
      <c r="T143" s="499"/>
      <c r="U143" s="74"/>
    </row>
    <row r="144" spans="1:21" x14ac:dyDescent="0.25">
      <c r="B144" s="364" t="s">
        <v>437</v>
      </c>
      <c r="C144" s="501">
        <f>SUM(C136:C142)</f>
        <v>651420680</v>
      </c>
      <c r="D144" s="365">
        <f t="shared" ref="D144:F144" si="162">SUM(D136:D142)</f>
        <v>651420680</v>
      </c>
      <c r="E144" s="365">
        <f t="shared" si="162"/>
        <v>657420680</v>
      </c>
      <c r="F144" s="512">
        <f t="shared" si="162"/>
        <v>0</v>
      </c>
      <c r="G144" s="365"/>
      <c r="H144" s="501">
        <f t="shared" ref="H144:J144" si="163">SUM(H136:H142)</f>
        <v>322505082</v>
      </c>
      <c r="I144" s="365">
        <f t="shared" si="163"/>
        <v>490271232</v>
      </c>
      <c r="J144" s="365">
        <f t="shared" si="163"/>
        <v>0</v>
      </c>
      <c r="K144" s="365"/>
      <c r="L144" s="702">
        <f t="shared" si="158"/>
        <v>0.49507958820097636</v>
      </c>
      <c r="M144" s="702">
        <f t="shared" si="159"/>
        <v>0.7457496347696273</v>
      </c>
      <c r="N144" s="703">
        <f t="shared" si="160"/>
        <v>0</v>
      </c>
      <c r="O144" s="695"/>
      <c r="P144" s="501">
        <f>SUM(P137:P142)</f>
        <v>0</v>
      </c>
      <c r="Q144" s="365">
        <f>SUM(Q136:Q142)</f>
        <v>6000000</v>
      </c>
      <c r="R144" s="365">
        <f>SUM(R136:R142)</f>
        <v>0</v>
      </c>
      <c r="S144" s="365">
        <f>+P144*P$8+Q144*Q$8+R144*R$8</f>
        <v>6000000</v>
      </c>
      <c r="T144" s="499"/>
      <c r="U144" s="74"/>
    </row>
    <row r="145" spans="3:20" x14ac:dyDescent="0.25">
      <c r="C145" s="503"/>
      <c r="D145" s="513"/>
      <c r="E145" s="513"/>
      <c r="F145" s="526"/>
      <c r="H145" s="503"/>
      <c r="I145" s="513"/>
      <c r="J145" s="513"/>
      <c r="K145" s="513"/>
      <c r="L145" s="704"/>
      <c r="M145" s="704"/>
      <c r="N145" s="705"/>
      <c r="O145" s="643"/>
      <c r="P145" s="503"/>
      <c r="Q145" s="504"/>
      <c r="R145" s="504"/>
      <c r="S145" s="504"/>
      <c r="T145" s="505"/>
    </row>
    <row r="146" spans="3:20" x14ac:dyDescent="0.25">
      <c r="C146" s="23"/>
      <c r="L146" s="660"/>
      <c r="M146" s="660"/>
      <c r="N146" s="660"/>
      <c r="O146" s="643"/>
    </row>
    <row r="147" spans="3:20" x14ac:dyDescent="0.25">
      <c r="C147" s="23"/>
      <c r="L147" s="660"/>
      <c r="M147" s="660"/>
      <c r="N147" s="660"/>
      <c r="O147" s="643"/>
    </row>
    <row r="148" spans="3:20" x14ac:dyDescent="0.25">
      <c r="C148" s="23"/>
      <c r="L148" s="660"/>
      <c r="M148" s="660"/>
      <c r="N148" s="660"/>
      <c r="O148" s="643"/>
    </row>
    <row r="149" spans="3:20" x14ac:dyDescent="0.25">
      <c r="C149" s="23"/>
      <c r="L149" s="660"/>
      <c r="M149" s="660"/>
      <c r="N149" s="660"/>
      <c r="O149" s="643"/>
    </row>
    <row r="150" spans="3:20" x14ac:dyDescent="0.25">
      <c r="C150" s="23"/>
      <c r="L150" s="660"/>
      <c r="M150" s="660"/>
      <c r="N150" s="660"/>
      <c r="O150" s="643"/>
    </row>
    <row r="151" spans="3:20" x14ac:dyDescent="0.25">
      <c r="C151" s="23"/>
      <c r="L151" s="660"/>
      <c r="M151" s="660"/>
      <c r="N151" s="660"/>
      <c r="O151" s="643"/>
    </row>
    <row r="152" spans="3:20" x14ac:dyDescent="0.25">
      <c r="C152" s="23"/>
      <c r="L152" s="660"/>
      <c r="M152" s="660"/>
      <c r="N152" s="660"/>
      <c r="O152" s="643"/>
    </row>
    <row r="153" spans="3:20" x14ac:dyDescent="0.25">
      <c r="L153" s="645"/>
      <c r="M153" s="645"/>
      <c r="N153" s="645"/>
      <c r="O153" s="64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Y200"/>
  <sheetViews>
    <sheetView view="pageBreakPreview" zoomScale="75" zoomScaleNormal="75" zoomScaleSheetLayoutView="75" workbookViewId="0">
      <selection activeCell="C15" sqref="C15"/>
    </sheetView>
  </sheetViews>
  <sheetFormatPr defaultRowHeight="13.2" x14ac:dyDescent="0.25"/>
  <cols>
    <col min="1" max="1" width="8.44140625" style="22" customWidth="1"/>
    <col min="2" max="2" width="40" style="22" customWidth="1"/>
    <col min="3" max="3" width="14.6640625" style="22" customWidth="1"/>
    <col min="4" max="5" width="14.6640625" style="23" customWidth="1"/>
    <col min="6" max="6" width="12.109375" style="23" bestFit="1" customWidth="1"/>
    <col min="7" max="7" width="0.6640625" style="23" customWidth="1"/>
    <col min="8" max="8" width="14.6640625" style="22" customWidth="1"/>
    <col min="9" max="9" width="14.6640625" style="23" customWidth="1"/>
    <col min="10" max="10" width="13.77734375" style="23" customWidth="1"/>
    <col min="11" max="11" width="0.6640625" style="23" customWidth="1"/>
    <col min="12" max="13" width="14.109375" style="22" customWidth="1"/>
    <col min="14" max="14" width="18.21875" style="22" bestFit="1" customWidth="1"/>
    <col min="15" max="15" width="0.6640625" style="23" customWidth="1"/>
    <col min="16" max="16" width="14.5546875" style="22" customWidth="1"/>
    <col min="17" max="17" width="14.6640625" style="22" customWidth="1"/>
    <col min="18" max="18" width="16" style="22" bestFit="1" customWidth="1"/>
    <col min="19" max="19" width="13.6640625" style="22" customWidth="1"/>
    <col min="20" max="20" width="13.44140625" style="22" customWidth="1"/>
  </cols>
  <sheetData>
    <row r="1" spans="1:25" ht="24.6" x14ac:dyDescent="0.4">
      <c r="A1" s="228" t="s">
        <v>478</v>
      </c>
      <c r="B1" s="227"/>
      <c r="C1" s="227"/>
      <c r="D1" s="227"/>
      <c r="E1" s="227"/>
      <c r="F1" s="341"/>
      <c r="G1" s="226"/>
      <c r="H1" s="225"/>
      <c r="I1" s="225"/>
      <c r="J1" s="852"/>
      <c r="K1" s="229"/>
      <c r="L1" s="224" t="str">
        <f>'1. Sülysáp összesen'!J1</f>
        <v>2022. III. Negyedéves költségvetési beszámoló</v>
      </c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5" hidden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5" hidden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5" ht="13.8" thickBot="1" x14ac:dyDescent="0.3">
      <c r="B4" s="46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>
        <v>1</v>
      </c>
      <c r="Q4" s="63">
        <v>1</v>
      </c>
      <c r="R4" s="63">
        <v>0</v>
      </c>
      <c r="S4" s="63"/>
      <c r="T4" s="46"/>
    </row>
    <row r="5" spans="1:25" ht="14.1" hidden="1" customHeight="1" x14ac:dyDescent="0.25">
      <c r="A5" s="46"/>
      <c r="B5" s="46"/>
      <c r="C5" s="342"/>
      <c r="D5" s="342"/>
      <c r="E5" s="342"/>
      <c r="F5" s="342"/>
      <c r="G5" s="342"/>
      <c r="H5" s="343"/>
      <c r="I5" s="343"/>
      <c r="J5" s="343"/>
      <c r="K5" s="342"/>
      <c r="L5" s="344"/>
      <c r="M5" s="36"/>
      <c r="N5" s="36"/>
      <c r="O5" s="342"/>
      <c r="P5" s="343"/>
      <c r="Q5" s="343"/>
      <c r="R5" s="343"/>
      <c r="S5" s="343"/>
      <c r="T5" s="36"/>
    </row>
    <row r="6" spans="1:25" ht="14.1" hidden="1" customHeight="1" x14ac:dyDescent="0.25">
      <c r="A6" s="46"/>
      <c r="B6" s="46"/>
      <c r="C6" s="342"/>
      <c r="D6" s="342"/>
      <c r="E6" s="342"/>
      <c r="F6" s="342"/>
      <c r="G6" s="342"/>
      <c r="H6" s="343"/>
      <c r="I6" s="343"/>
      <c r="J6" s="343"/>
      <c r="K6" s="342"/>
      <c r="L6" s="344"/>
      <c r="M6" s="36"/>
      <c r="N6" s="36"/>
      <c r="O6" s="342"/>
      <c r="P6" s="343"/>
      <c r="Q6" s="343"/>
      <c r="R6" s="343"/>
      <c r="S6" s="343"/>
      <c r="T6" s="36"/>
    </row>
    <row r="7" spans="1:25" ht="15.6" x14ac:dyDescent="0.3">
      <c r="A7" s="46"/>
      <c r="B7" s="46"/>
      <c r="C7" s="874" t="s">
        <v>404</v>
      </c>
      <c r="D7" s="875"/>
      <c r="E7" s="875"/>
      <c r="F7" s="876"/>
      <c r="G7" s="345"/>
      <c r="H7" s="874" t="s">
        <v>403</v>
      </c>
      <c r="I7" s="877"/>
      <c r="J7" s="877"/>
      <c r="K7" s="877"/>
      <c r="L7" s="877"/>
      <c r="M7" s="877"/>
      <c r="N7" s="878"/>
      <c r="O7" s="345"/>
      <c r="P7" s="874" t="s">
        <v>400</v>
      </c>
      <c r="Q7" s="875"/>
      <c r="R7" s="875"/>
      <c r="S7" s="875"/>
      <c r="T7" s="876"/>
    </row>
    <row r="8" spans="1:25" ht="13.8" x14ac:dyDescent="0.25">
      <c r="A8" s="46"/>
      <c r="B8" s="46"/>
      <c r="C8" s="437"/>
      <c r="D8" s="378"/>
      <c r="E8" s="378"/>
      <c r="F8" s="421"/>
      <c r="G8" s="342"/>
      <c r="H8" s="879" t="s">
        <v>413</v>
      </c>
      <c r="I8" s="880"/>
      <c r="J8" s="881"/>
      <c r="K8" s="377"/>
      <c r="L8" s="872" t="s">
        <v>412</v>
      </c>
      <c r="M8" s="871"/>
      <c r="N8" s="882"/>
      <c r="O8" s="342"/>
      <c r="P8" s="420"/>
      <c r="Q8" s="378"/>
      <c r="R8" s="378"/>
      <c r="S8" s="378"/>
      <c r="T8" s="421"/>
    </row>
    <row r="9" spans="1:25" s="1" customFormat="1" ht="64.5" customHeight="1" x14ac:dyDescent="0.25">
      <c r="A9" s="357" t="s">
        <v>367</v>
      </c>
      <c r="B9" s="357" t="s">
        <v>365</v>
      </c>
      <c r="C9" s="520" t="s">
        <v>512</v>
      </c>
      <c r="D9" s="358" t="s">
        <v>513</v>
      </c>
      <c r="E9" s="358" t="s">
        <v>514</v>
      </c>
      <c r="F9" s="521" t="s">
        <v>515</v>
      </c>
      <c r="G9" s="358"/>
      <c r="H9" s="494" t="s">
        <v>525</v>
      </c>
      <c r="I9" s="359" t="s">
        <v>526</v>
      </c>
      <c r="J9" s="359" t="s">
        <v>527</v>
      </c>
      <c r="K9" s="358"/>
      <c r="L9" s="360" t="s">
        <v>528</v>
      </c>
      <c r="M9" s="360" t="s">
        <v>529</v>
      </c>
      <c r="N9" s="495" t="s">
        <v>530</v>
      </c>
      <c r="O9" s="358"/>
      <c r="P9" s="494" t="s">
        <v>522</v>
      </c>
      <c r="Q9" s="359" t="s">
        <v>523</v>
      </c>
      <c r="R9" s="359" t="s">
        <v>524</v>
      </c>
      <c r="S9" s="359" t="s">
        <v>401</v>
      </c>
      <c r="T9" s="495" t="s">
        <v>402</v>
      </c>
    </row>
    <row r="10" spans="1:25" ht="13.8" thickBot="1" x14ac:dyDescent="0.3">
      <c r="A10" s="361"/>
      <c r="B10" s="47"/>
      <c r="C10" s="438"/>
      <c r="D10" s="362"/>
      <c r="E10" s="362"/>
      <c r="F10" s="439"/>
      <c r="G10" s="362"/>
      <c r="H10" s="422"/>
      <c r="I10" s="341"/>
      <c r="J10" s="456"/>
      <c r="K10" s="362"/>
      <c r="L10" s="355"/>
      <c r="M10" s="363"/>
      <c r="N10" s="432"/>
      <c r="O10" s="362"/>
      <c r="P10" s="422"/>
      <c r="Q10" s="341"/>
      <c r="R10" s="341"/>
      <c r="S10" s="341"/>
      <c r="T10" s="423"/>
    </row>
    <row r="11" spans="1:25" ht="18" thickBot="1" x14ac:dyDescent="0.35">
      <c r="A11" s="411" t="str">
        <f>+'bevételi segédtábla'!B28</f>
        <v>Sülysáp Város Önkormányzata</v>
      </c>
      <c r="B11" s="412"/>
      <c r="C11" s="74"/>
      <c r="D11" s="74"/>
      <c r="E11" s="74"/>
      <c r="F11" s="441"/>
      <c r="G11" s="74"/>
      <c r="H11" s="433"/>
      <c r="I11" s="217"/>
      <c r="J11" s="457"/>
      <c r="K11" s="74"/>
      <c r="L11" s="87"/>
      <c r="M11" s="87"/>
      <c r="N11" s="405"/>
      <c r="O11" s="74"/>
      <c r="P11" s="424"/>
      <c r="Q11" s="73"/>
      <c r="R11" s="73"/>
      <c r="S11" s="73"/>
      <c r="T11" s="405"/>
    </row>
    <row r="12" spans="1:25" x14ac:dyDescent="0.25">
      <c r="A12" s="396"/>
      <c r="B12" s="397"/>
      <c r="C12" s="425"/>
      <c r="D12" s="417"/>
      <c r="E12" s="417"/>
      <c r="F12" s="442"/>
      <c r="G12" s="417"/>
      <c r="H12" s="434"/>
      <c r="I12" s="418"/>
      <c r="J12" s="458"/>
      <c r="K12" s="417"/>
      <c r="L12" s="419"/>
      <c r="M12" s="419"/>
      <c r="N12" s="399"/>
      <c r="O12" s="417"/>
      <c r="P12" s="425"/>
      <c r="Q12" s="416"/>
      <c r="R12" s="416"/>
      <c r="S12" s="416"/>
      <c r="T12" s="399"/>
    </row>
    <row r="13" spans="1:25" x14ac:dyDescent="0.25">
      <c r="A13" s="400" t="s">
        <v>0</v>
      </c>
      <c r="B13" s="22" t="s">
        <v>3</v>
      </c>
      <c r="C13" s="424">
        <f>+'3. Önk. Kiadások'!C13</f>
        <v>100510000</v>
      </c>
      <c r="D13" s="73">
        <f>+'3. Önk. Kiadások'!D13</f>
        <v>112270000</v>
      </c>
      <c r="E13" s="73">
        <f>+'3. Önk. Kiadások'!E13</f>
        <v>112270000</v>
      </c>
      <c r="F13" s="435">
        <f>+'3. Önk. Kiadások'!F13</f>
        <v>0</v>
      </c>
      <c r="G13" s="73">
        <f>+'3. Önk. Kiadások'!G13</f>
        <v>0</v>
      </c>
      <c r="H13" s="424">
        <f>+'3. Önk. Kiadások'!H13</f>
        <v>46032044</v>
      </c>
      <c r="I13" s="73">
        <f>+'3. Önk. Kiadások'!I13</f>
        <v>77087587</v>
      </c>
      <c r="J13" s="459">
        <f>+'3. Önk. Kiadások'!J13</f>
        <v>0</v>
      </c>
      <c r="K13" s="73"/>
      <c r="L13" s="531">
        <f>IF(D13=0,0,H13/C13)</f>
        <v>0.45798471793851359</v>
      </c>
      <c r="M13" s="531">
        <f>IF(E13=0,0,I13/E13)</f>
        <v>0.68662676583236837</v>
      </c>
      <c r="N13" s="532">
        <f>IF(F13=0,0,J13/F13)</f>
        <v>0</v>
      </c>
      <c r="O13" s="73"/>
      <c r="P13" s="424">
        <f>+D13-C13</f>
        <v>11760000</v>
      </c>
      <c r="Q13" s="73">
        <f>+E13-D13</f>
        <v>0</v>
      </c>
      <c r="R13" s="73">
        <f>+F13-E13</f>
        <v>-112270000</v>
      </c>
      <c r="S13" s="73">
        <f>+P$4*P13+Q$4*Q13*R$4*R13</f>
        <v>11760000</v>
      </c>
      <c r="T13" s="547">
        <f>IF(S13=0,0,S13/C13)</f>
        <v>0.11700328325539747</v>
      </c>
    </row>
    <row r="14" spans="1:25" x14ac:dyDescent="0.25">
      <c r="A14" s="400" t="s">
        <v>26</v>
      </c>
      <c r="B14" s="56" t="s">
        <v>27</v>
      </c>
      <c r="C14" s="424">
        <f>+'3. Önk. Kiadások'!C29</f>
        <v>13000000</v>
      </c>
      <c r="D14" s="73">
        <f>+'3. Önk. Kiadások'!D29</f>
        <v>14415000</v>
      </c>
      <c r="E14" s="73">
        <f>+'3. Önk. Kiadások'!E29</f>
        <v>14415000</v>
      </c>
      <c r="F14" s="435">
        <f>+'3. Önk. Kiadások'!F29</f>
        <v>0</v>
      </c>
      <c r="G14" s="74"/>
      <c r="H14" s="424">
        <f>+'3. Önk. Kiadások'!H29</f>
        <v>5715394</v>
      </c>
      <c r="I14" s="73">
        <f>+'3. Önk. Kiadások'!I29</f>
        <v>9195251</v>
      </c>
      <c r="J14" s="459">
        <f>+'3. Önk. Kiadások'!J29</f>
        <v>0</v>
      </c>
      <c r="K14" s="74"/>
      <c r="L14" s="531">
        <f t="shared" ref="L14:L21" si="0">IF(D14=0,0,H14/C14)</f>
        <v>0.43964569230769229</v>
      </c>
      <c r="M14" s="531">
        <f t="shared" ref="M14:M21" si="1">IF(E14=0,0,I14/E14)</f>
        <v>0.63789462365591398</v>
      </c>
      <c r="N14" s="532">
        <f t="shared" ref="N14:N21" si="2">IF(F14=0,0,J14/F14)</f>
        <v>0</v>
      </c>
      <c r="O14" s="74"/>
      <c r="P14" s="424">
        <f t="shared" ref="P14:P21" si="3">+D14-C14</f>
        <v>1415000</v>
      </c>
      <c r="Q14" s="73">
        <f t="shared" ref="Q14:Q21" si="4">+E14-D14</f>
        <v>0</v>
      </c>
      <c r="R14" s="73">
        <f>+'3. Önk. Kiadások'!R29</f>
        <v>0</v>
      </c>
      <c r="S14" s="73">
        <f t="shared" ref="S14:S21" si="5">+P$4*P14+Q$4*Q14*R$4*R14</f>
        <v>1415000</v>
      </c>
      <c r="T14" s="547">
        <f t="shared" ref="T14:T33" si="6">IF(S14=0,0,S14/C14)</f>
        <v>0.10884615384615384</v>
      </c>
    </row>
    <row r="15" spans="1:25" x14ac:dyDescent="0.25">
      <c r="A15" s="400" t="s">
        <v>29</v>
      </c>
      <c r="B15" s="56" t="s">
        <v>30</v>
      </c>
      <c r="C15" s="424">
        <f>+'3. Önk. Kiadások'!C32</f>
        <v>217700000</v>
      </c>
      <c r="D15" s="73">
        <f>+'3. Önk. Kiadások'!D32</f>
        <v>207001305</v>
      </c>
      <c r="E15" s="73">
        <f>+'3. Önk. Kiadások'!E32</f>
        <v>208680000</v>
      </c>
      <c r="F15" s="435">
        <f>+'3. Önk. Kiadások'!F32</f>
        <v>0</v>
      </c>
      <c r="G15" s="74"/>
      <c r="H15" s="424">
        <f>+'3. Önk. Kiadások'!H32</f>
        <v>87543418</v>
      </c>
      <c r="I15" s="73">
        <f>+'3. Önk. Kiadások'!I32</f>
        <v>121417212</v>
      </c>
      <c r="J15" s="459">
        <f>+'3. Önk. Kiadások'!J32</f>
        <v>0</v>
      </c>
      <c r="K15" s="74"/>
      <c r="L15" s="531">
        <f t="shared" si="0"/>
        <v>0.40212870004593476</v>
      </c>
      <c r="M15" s="531">
        <f t="shared" si="1"/>
        <v>0.58183444508338122</v>
      </c>
      <c r="N15" s="532">
        <f t="shared" si="2"/>
        <v>0</v>
      </c>
      <c r="O15" s="74"/>
      <c r="P15" s="424">
        <f t="shared" si="3"/>
        <v>-10698695</v>
      </c>
      <c r="Q15" s="73">
        <f t="shared" si="4"/>
        <v>1678695</v>
      </c>
      <c r="R15" s="73">
        <f>+'3. Önk. Kiadások'!R32</f>
        <v>0</v>
      </c>
      <c r="S15" s="73">
        <f t="shared" si="5"/>
        <v>-10698695</v>
      </c>
      <c r="T15" s="547">
        <f t="shared" si="6"/>
        <v>-4.9144212218649515E-2</v>
      </c>
    </row>
    <row r="16" spans="1:25" x14ac:dyDescent="0.25">
      <c r="A16" s="400" t="s">
        <v>111</v>
      </c>
      <c r="B16" s="56" t="s">
        <v>476</v>
      </c>
      <c r="C16" s="424">
        <f>+'3. Önk. Kiadások'!C81</f>
        <v>16000000</v>
      </c>
      <c r="D16" s="73">
        <f>+'3. Önk. Kiadások'!D81</f>
        <v>16000000</v>
      </c>
      <c r="E16" s="73">
        <f>+'3. Önk. Kiadások'!E81</f>
        <v>16000000</v>
      </c>
      <c r="F16" s="435">
        <f>+'3. Önk. Kiadások'!F81</f>
        <v>0</v>
      </c>
      <c r="G16" s="74"/>
      <c r="H16" s="424">
        <f>+'3. Önk. Kiadások'!H81</f>
        <v>4998433</v>
      </c>
      <c r="I16" s="73">
        <f>+'3. Önk. Kiadások'!I81</f>
        <v>8147040</v>
      </c>
      <c r="J16" s="459">
        <f>+'3. Önk. Kiadások'!J81</f>
        <v>0</v>
      </c>
      <c r="K16" s="74"/>
      <c r="L16" s="531">
        <f t="shared" si="0"/>
        <v>0.31240206250000002</v>
      </c>
      <c r="M16" s="531">
        <f t="shared" si="1"/>
        <v>0.50919000000000003</v>
      </c>
      <c r="N16" s="532">
        <f t="shared" si="2"/>
        <v>0</v>
      </c>
      <c r="O16" s="74"/>
      <c r="P16" s="424">
        <f t="shared" si="3"/>
        <v>0</v>
      </c>
      <c r="Q16" s="73">
        <f t="shared" si="4"/>
        <v>0</v>
      </c>
      <c r="R16" s="73">
        <f>+'3. Önk. Kiadások'!R81</f>
        <v>0</v>
      </c>
      <c r="S16" s="73">
        <f t="shared" si="5"/>
        <v>0</v>
      </c>
      <c r="T16" s="547">
        <f t="shared" si="6"/>
        <v>0</v>
      </c>
    </row>
    <row r="17" spans="1:20" x14ac:dyDescent="0.25">
      <c r="A17" s="401" t="s">
        <v>370</v>
      </c>
      <c r="B17" s="56" t="s">
        <v>141</v>
      </c>
      <c r="C17" s="424">
        <f>+'3. Önk. Kiadások'!C106</f>
        <v>151426315</v>
      </c>
      <c r="D17" s="73">
        <f>+'3. Önk. Kiadások'!D106</f>
        <v>221879015</v>
      </c>
      <c r="E17" s="73">
        <f>+'3. Önk. Kiadások'!E106</f>
        <v>225231315</v>
      </c>
      <c r="F17" s="435">
        <f>+'3. Önk. Kiadások'!F106</f>
        <v>0</v>
      </c>
      <c r="G17" s="74"/>
      <c r="H17" s="424">
        <f>+'3. Önk. Kiadások'!H106</f>
        <v>91594087</v>
      </c>
      <c r="I17" s="73">
        <f>+'3. Önk. Kiadások'!I106</f>
        <v>153439419</v>
      </c>
      <c r="J17" s="459">
        <f>+'3. Önk. Kiadások'!J106</f>
        <v>0</v>
      </c>
      <c r="K17" s="74"/>
      <c r="L17" s="531">
        <f t="shared" si="0"/>
        <v>0.604875625481608</v>
      </c>
      <c r="M17" s="531">
        <f t="shared" si="1"/>
        <v>0.68125260024344303</v>
      </c>
      <c r="N17" s="532">
        <f t="shared" si="2"/>
        <v>0</v>
      </c>
      <c r="O17" s="74"/>
      <c r="P17" s="424">
        <f t="shared" si="3"/>
        <v>70452700</v>
      </c>
      <c r="Q17" s="73">
        <f t="shared" si="4"/>
        <v>3352300</v>
      </c>
      <c r="R17" s="73">
        <f>+'3. Önk. Kiadások'!R106</f>
        <v>0</v>
      </c>
      <c r="S17" s="73">
        <f t="shared" si="5"/>
        <v>70452700</v>
      </c>
      <c r="T17" s="547">
        <f t="shared" si="6"/>
        <v>0.46526061206732794</v>
      </c>
    </row>
    <row r="18" spans="1:20" x14ac:dyDescent="0.25">
      <c r="A18" s="400" t="s">
        <v>158</v>
      </c>
      <c r="B18" s="56" t="s">
        <v>159</v>
      </c>
      <c r="C18" s="424">
        <f>+'3. Önk. Kiadások'!C120</f>
        <v>49230500</v>
      </c>
      <c r="D18" s="73">
        <f>+'3. Önk. Kiadások'!D120</f>
        <v>37731000</v>
      </c>
      <c r="E18" s="73">
        <f>+'3. Önk. Kiadások'!E120</f>
        <v>58830500</v>
      </c>
      <c r="F18" s="435">
        <f>+'3. Önk. Kiadások'!F120</f>
        <v>0</v>
      </c>
      <c r="G18" s="74"/>
      <c r="H18" s="424">
        <f>+'3. Önk. Kiadások'!H120</f>
        <v>5033909</v>
      </c>
      <c r="I18" s="73">
        <f>+'3. Önk. Kiadások'!I120</f>
        <v>50216919</v>
      </c>
      <c r="J18" s="459">
        <f>+'3. Önk. Kiadások'!J120</f>
        <v>0</v>
      </c>
      <c r="K18" s="74"/>
      <c r="L18" s="531">
        <f t="shared" si="0"/>
        <v>0.10225183575222677</v>
      </c>
      <c r="M18" s="531">
        <f t="shared" si="1"/>
        <v>0.8535864730029491</v>
      </c>
      <c r="N18" s="532">
        <f t="shared" si="2"/>
        <v>0</v>
      </c>
      <c r="O18" s="74"/>
      <c r="P18" s="424">
        <f t="shared" si="3"/>
        <v>-11499500</v>
      </c>
      <c r="Q18" s="73">
        <f t="shared" si="4"/>
        <v>21099500</v>
      </c>
      <c r="R18" s="73">
        <f>+'3. Önk. Kiadások'!R120</f>
        <v>0</v>
      </c>
      <c r="S18" s="73">
        <f t="shared" si="5"/>
        <v>-11499500</v>
      </c>
      <c r="T18" s="547">
        <f t="shared" si="6"/>
        <v>-0.2335848711672642</v>
      </c>
    </row>
    <row r="19" spans="1:20" x14ac:dyDescent="0.25">
      <c r="A19" s="400" t="s">
        <v>173</v>
      </c>
      <c r="B19" s="56" t="s">
        <v>174</v>
      </c>
      <c r="C19" s="424">
        <f>+'3. Önk. Kiadások'!C129</f>
        <v>83452445</v>
      </c>
      <c r="D19" s="73">
        <f>+'3. Önk. Kiadások'!D129</f>
        <v>83452445</v>
      </c>
      <c r="E19" s="73">
        <f>+'3. Önk. Kiadások'!E129</f>
        <v>83452445</v>
      </c>
      <c r="F19" s="435">
        <f>+'3. Önk. Kiadások'!F129</f>
        <v>0</v>
      </c>
      <c r="G19" s="74"/>
      <c r="H19" s="424">
        <f>+'3. Önk. Kiadások'!H129</f>
        <v>32771553</v>
      </c>
      <c r="I19" s="73">
        <f>+'3. Önk. Kiadások'!I129</f>
        <v>35385584</v>
      </c>
      <c r="J19" s="459">
        <f>+'3. Önk. Kiadások'!J129</f>
        <v>0</v>
      </c>
      <c r="K19" s="74"/>
      <c r="L19" s="531">
        <f t="shared" si="0"/>
        <v>0.39269733798692175</v>
      </c>
      <c r="M19" s="531">
        <f t="shared" si="1"/>
        <v>0.42402093791260398</v>
      </c>
      <c r="N19" s="532">
        <f t="shared" si="2"/>
        <v>0</v>
      </c>
      <c r="O19" s="74"/>
      <c r="P19" s="424">
        <f t="shared" si="3"/>
        <v>0</v>
      </c>
      <c r="Q19" s="73">
        <f t="shared" si="4"/>
        <v>0</v>
      </c>
      <c r="R19" s="73">
        <f>+'3. Önk. Kiadások'!R129</f>
        <v>0</v>
      </c>
      <c r="S19" s="73">
        <f t="shared" si="5"/>
        <v>0</v>
      </c>
      <c r="T19" s="547">
        <f t="shared" si="6"/>
        <v>0</v>
      </c>
    </row>
    <row r="20" spans="1:20" x14ac:dyDescent="0.25">
      <c r="A20" s="400" t="s">
        <v>183</v>
      </c>
      <c r="B20" s="56" t="s">
        <v>48</v>
      </c>
      <c r="C20" s="424">
        <f>+'3. Önk. Kiadások'!C135</f>
        <v>0</v>
      </c>
      <c r="D20" s="73">
        <f>+'3. Önk. Kiadások'!D135</f>
        <v>44000</v>
      </c>
      <c r="E20" s="73">
        <f>+'3. Önk. Kiadások'!E135</f>
        <v>190000</v>
      </c>
      <c r="F20" s="435">
        <f>+'3. Önk. Kiadások'!F135</f>
        <v>0</v>
      </c>
      <c r="G20" s="74"/>
      <c r="H20" s="424">
        <f>+'3. Önk. Kiadások'!H135</f>
        <v>43039</v>
      </c>
      <c r="I20" s="73">
        <f>+'3. Önk. Kiadások'!I135</f>
        <v>188702</v>
      </c>
      <c r="J20" s="459">
        <f>+'3. Önk. Kiadások'!J135</f>
        <v>0</v>
      </c>
      <c r="K20" s="74"/>
      <c r="L20" s="531" t="e">
        <f t="shared" si="0"/>
        <v>#DIV/0!</v>
      </c>
      <c r="M20" s="531">
        <f t="shared" si="1"/>
        <v>0.99316842105263159</v>
      </c>
      <c r="N20" s="532">
        <f t="shared" si="2"/>
        <v>0</v>
      </c>
      <c r="O20" s="74"/>
      <c r="P20" s="424">
        <f t="shared" si="3"/>
        <v>44000</v>
      </c>
      <c r="Q20" s="73">
        <f t="shared" si="4"/>
        <v>146000</v>
      </c>
      <c r="R20" s="73">
        <f>+'3. Önk. Kiadások'!R135</f>
        <v>0</v>
      </c>
      <c r="S20" s="73">
        <f t="shared" si="5"/>
        <v>44000</v>
      </c>
      <c r="T20" s="547" t="e">
        <f t="shared" si="6"/>
        <v>#DIV/0!</v>
      </c>
    </row>
    <row r="21" spans="1:20" x14ac:dyDescent="0.25">
      <c r="A21" s="400" t="s">
        <v>200</v>
      </c>
      <c r="B21" s="56" t="s">
        <v>201</v>
      </c>
      <c r="C21" s="424">
        <f>+'3. Önk. Kiadások'!C145</f>
        <v>675998039</v>
      </c>
      <c r="D21" s="73">
        <f>+'3. Önk. Kiadások'!D145</f>
        <v>676652534</v>
      </c>
      <c r="E21" s="73">
        <f>+'3. Önk. Kiadások'!E145</f>
        <v>682652534</v>
      </c>
      <c r="F21" s="435">
        <f>+'3. Önk. Kiadások'!F145</f>
        <v>0</v>
      </c>
      <c r="G21" s="74"/>
      <c r="H21" s="424">
        <f>+'3. Önk. Kiadások'!H145</f>
        <v>347736936</v>
      </c>
      <c r="I21" s="73">
        <f>+'3. Önk. Kiadások'!I145</f>
        <v>515503086</v>
      </c>
      <c r="J21" s="459">
        <f>+'3. Önk. Kiadások'!J145</f>
        <v>0</v>
      </c>
      <c r="K21" s="74"/>
      <c r="L21" s="531">
        <f t="shared" si="0"/>
        <v>0.51440524371106944</v>
      </c>
      <c r="M21" s="531">
        <f t="shared" si="1"/>
        <v>0.75514710680030961</v>
      </c>
      <c r="N21" s="532">
        <f t="shared" si="2"/>
        <v>0</v>
      </c>
      <c r="O21" s="74"/>
      <c r="P21" s="424">
        <f t="shared" si="3"/>
        <v>654495</v>
      </c>
      <c r="Q21" s="73">
        <f t="shared" si="4"/>
        <v>6000000</v>
      </c>
      <c r="R21" s="73">
        <f>+'3. Önk. Kiadások'!R145</f>
        <v>0</v>
      </c>
      <c r="S21" s="73">
        <f t="shared" si="5"/>
        <v>654495</v>
      </c>
      <c r="T21" s="547">
        <f t="shared" si="6"/>
        <v>9.6819067843479354E-4</v>
      </c>
    </row>
    <row r="22" spans="1:20" x14ac:dyDescent="0.25">
      <c r="A22" s="402"/>
      <c r="B22" s="386" t="s">
        <v>372</v>
      </c>
      <c r="C22" s="426">
        <f>SUM(C13:C21)</f>
        <v>1307317299</v>
      </c>
      <c r="D22" s="387">
        <f t="shared" ref="D22:J22" si="7">SUM(D13:D21)</f>
        <v>1369445299</v>
      </c>
      <c r="E22" s="387">
        <f t="shared" si="7"/>
        <v>1401721794</v>
      </c>
      <c r="F22" s="443">
        <f t="shared" si="7"/>
        <v>0</v>
      </c>
      <c r="G22" s="387"/>
      <c r="H22" s="426">
        <f t="shared" si="7"/>
        <v>621468813</v>
      </c>
      <c r="I22" s="387">
        <f t="shared" si="7"/>
        <v>970580800</v>
      </c>
      <c r="J22" s="388">
        <f t="shared" si="7"/>
        <v>0</v>
      </c>
      <c r="K22" s="204"/>
      <c r="L22" s="533">
        <f>IF(D22=0,0,H22/C22)</f>
        <v>0.47537718155751263</v>
      </c>
      <c r="M22" s="533">
        <f t="shared" ref="M22" si="8">IF(E22=0,0,I22/E22)</f>
        <v>0.69242042476226207</v>
      </c>
      <c r="N22" s="534">
        <f t="shared" ref="N22" si="9">IF(F22=0,0,J22/F22)</f>
        <v>0</v>
      </c>
      <c r="O22" s="204"/>
      <c r="P22" s="426">
        <f t="shared" ref="P22" si="10">SUM(P13:P21)</f>
        <v>62128000</v>
      </c>
      <c r="Q22" s="387">
        <f t="shared" ref="Q22" si="11">SUM(Q13:Q21)</f>
        <v>32276495</v>
      </c>
      <c r="R22" s="387">
        <f t="shared" ref="R22" si="12">SUM(R13:R21)</f>
        <v>-112270000</v>
      </c>
      <c r="S22" s="388">
        <f t="shared" ref="S22" si="13">SUM(S13:S21)</f>
        <v>62128000</v>
      </c>
      <c r="T22" s="548">
        <f t="shared" si="6"/>
        <v>4.7523275372798386E-2</v>
      </c>
    </row>
    <row r="23" spans="1:20" x14ac:dyDescent="0.25">
      <c r="A23" s="400"/>
      <c r="C23" s="424"/>
      <c r="D23" s="74"/>
      <c r="E23" s="74"/>
      <c r="F23" s="441"/>
      <c r="G23" s="74"/>
      <c r="H23" s="433"/>
      <c r="I23" s="218"/>
      <c r="J23" s="457"/>
      <c r="K23" s="74"/>
      <c r="L23" s="531"/>
      <c r="M23" s="531"/>
      <c r="N23" s="532"/>
      <c r="O23" s="74"/>
      <c r="P23" s="424"/>
      <c r="Q23" s="73"/>
      <c r="R23" s="73"/>
      <c r="S23" s="73"/>
      <c r="T23" s="547"/>
    </row>
    <row r="24" spans="1:20" x14ac:dyDescent="0.25">
      <c r="A24" s="400" t="s">
        <v>240</v>
      </c>
      <c r="B24" s="22" t="s">
        <v>442</v>
      </c>
      <c r="C24" s="424">
        <f>+' 2. Önk. Bevételek'!C13</f>
        <v>780199287</v>
      </c>
      <c r="D24" s="73">
        <f>+' 2. Önk. Bevételek'!D13</f>
        <v>780386233</v>
      </c>
      <c r="E24" s="73">
        <f>+' 2. Önk. Bevételek'!E13</f>
        <v>809953175</v>
      </c>
      <c r="F24" s="435">
        <f>+' 2. Önk. Bevételek'!F13</f>
        <v>0</v>
      </c>
      <c r="G24" s="73">
        <f>+'3. Önk. Kiadások'!G13</f>
        <v>0</v>
      </c>
      <c r="H24" s="424">
        <f>+' 2. Önk. Bevételek'!H13</f>
        <v>414017409</v>
      </c>
      <c r="I24" s="73">
        <f>+' 2. Önk. Bevételek'!I13</f>
        <v>602895797</v>
      </c>
      <c r="J24" s="459">
        <f>+' 2. Önk. Bevételek'!J13</f>
        <v>0</v>
      </c>
      <c r="K24" s="73"/>
      <c r="L24" s="531">
        <f t="shared" ref="L24:L33" si="14">IF(D24=0,0,H24/D24)</f>
        <v>0.53052884775838938</v>
      </c>
      <c r="M24" s="531">
        <f t="shared" ref="M24:M33" si="15">IF(E24=0,0,I24/E24)</f>
        <v>0.74435882913848694</v>
      </c>
      <c r="N24" s="532">
        <f t="shared" ref="N24:N33" si="16">IF(F24=0,0,J24/F24)</f>
        <v>0</v>
      </c>
      <c r="O24" s="73"/>
      <c r="P24" s="424">
        <f t="shared" ref="P24:P32" si="17">+D24-C24</f>
        <v>186946</v>
      </c>
      <c r="Q24" s="73">
        <f t="shared" ref="Q24:Q32" si="18">+E24-D24</f>
        <v>29566942</v>
      </c>
      <c r="R24" s="73">
        <f t="shared" ref="R24:R32" si="19">+F24-E24</f>
        <v>-809953175</v>
      </c>
      <c r="S24" s="73">
        <f t="shared" ref="S24:S32" si="20">+P$4*P24+Q$4*Q24*R$4*R24</f>
        <v>186946</v>
      </c>
      <c r="T24" s="547">
        <f t="shared" si="6"/>
        <v>2.3961313873900014E-4</v>
      </c>
    </row>
    <row r="25" spans="1:20" x14ac:dyDescent="0.25">
      <c r="A25" s="401" t="s">
        <v>261</v>
      </c>
      <c r="B25" s="22" t="s">
        <v>441</v>
      </c>
      <c r="C25" s="424">
        <f>+' 2. Önk. Bevételek'!C30</f>
        <v>70000000</v>
      </c>
      <c r="D25" s="73">
        <f>+' 2. Önk. Bevételek'!D30</f>
        <v>69813054</v>
      </c>
      <c r="E25" s="73">
        <f>+' 2. Önk. Bevételek'!E30</f>
        <v>69813054</v>
      </c>
      <c r="F25" s="435">
        <f>+' 2. Önk. Bevételek'!F30</f>
        <v>0</v>
      </c>
      <c r="G25" s="74"/>
      <c r="H25" s="424">
        <f>+' 2. Önk. Bevételek'!H30</f>
        <v>335582001</v>
      </c>
      <c r="I25" s="73">
        <f>+' 2. Önk. Bevételek'!I30</f>
        <v>359844539</v>
      </c>
      <c r="J25" s="459">
        <f>+' 2. Önk. Bevételek'!J30</f>
        <v>0</v>
      </c>
      <c r="K25" s="74"/>
      <c r="L25" s="531">
        <f t="shared" si="14"/>
        <v>4.8068660769374167</v>
      </c>
      <c r="M25" s="531">
        <f t="shared" si="15"/>
        <v>5.1544019117112398</v>
      </c>
      <c r="N25" s="532">
        <f t="shared" si="16"/>
        <v>0</v>
      </c>
      <c r="O25" s="74"/>
      <c r="P25" s="424">
        <f t="shared" si="17"/>
        <v>-186946</v>
      </c>
      <c r="Q25" s="73">
        <f t="shared" si="18"/>
        <v>0</v>
      </c>
      <c r="R25" s="73">
        <f t="shared" si="19"/>
        <v>-69813054</v>
      </c>
      <c r="S25" s="73">
        <f t="shared" si="20"/>
        <v>-186946</v>
      </c>
      <c r="T25" s="547">
        <f t="shared" si="6"/>
        <v>-2.6706571428571427E-3</v>
      </c>
    </row>
    <row r="26" spans="1:20" x14ac:dyDescent="0.25">
      <c r="A26" s="401" t="s">
        <v>269</v>
      </c>
      <c r="B26" s="22" t="s">
        <v>270</v>
      </c>
      <c r="C26" s="424">
        <f>+' 2. Önk. Bevételek'!C39</f>
        <v>200000000</v>
      </c>
      <c r="D26" s="73">
        <f>+' 2. Önk. Bevételek'!D39</f>
        <v>200000000</v>
      </c>
      <c r="E26" s="73">
        <f>+' 2. Önk. Bevételek'!E39</f>
        <v>200000000</v>
      </c>
      <c r="F26" s="435">
        <f>+' 2. Önk. Bevételek'!F39</f>
        <v>0</v>
      </c>
      <c r="G26" s="74"/>
      <c r="H26" s="424">
        <f>+' 2. Önk. Bevételek'!H39</f>
        <v>122999106</v>
      </c>
      <c r="I26" s="73">
        <f>+' 2. Önk. Bevételek'!I39</f>
        <v>223760794</v>
      </c>
      <c r="J26" s="459">
        <f>+' 2. Önk. Bevételek'!J39</f>
        <v>0</v>
      </c>
      <c r="K26" s="74"/>
      <c r="L26" s="531">
        <f t="shared" si="14"/>
        <v>0.61499552999999996</v>
      </c>
      <c r="M26" s="531">
        <f t="shared" si="15"/>
        <v>1.1188039700000001</v>
      </c>
      <c r="N26" s="532">
        <f t="shared" si="16"/>
        <v>0</v>
      </c>
      <c r="O26" s="74"/>
      <c r="P26" s="424">
        <f t="shared" si="17"/>
        <v>0</v>
      </c>
      <c r="Q26" s="73">
        <f t="shared" si="18"/>
        <v>0</v>
      </c>
      <c r="R26" s="73">
        <f t="shared" si="19"/>
        <v>-200000000</v>
      </c>
      <c r="S26" s="73">
        <f t="shared" si="20"/>
        <v>0</v>
      </c>
      <c r="T26" s="547">
        <f t="shared" si="6"/>
        <v>0</v>
      </c>
    </row>
    <row r="27" spans="1:20" x14ac:dyDescent="0.25">
      <c r="A27" s="401" t="s">
        <v>282</v>
      </c>
      <c r="B27" s="22" t="s">
        <v>283</v>
      </c>
      <c r="C27" s="424">
        <f>+' 2. Önk. Bevételek'!C50</f>
        <v>54050000</v>
      </c>
      <c r="D27" s="73">
        <f>+' 2. Önk. Bevételek'!D50</f>
        <v>54050000</v>
      </c>
      <c r="E27" s="73">
        <f>+' 2. Önk. Bevételek'!E50</f>
        <v>54050000</v>
      </c>
      <c r="F27" s="435">
        <f>+' 2. Önk. Bevételek'!F50</f>
        <v>0</v>
      </c>
      <c r="G27" s="74"/>
      <c r="H27" s="424">
        <f>+' 2. Önk. Bevételek'!H50</f>
        <v>36982630</v>
      </c>
      <c r="I27" s="73">
        <f>+' 2. Önk. Bevételek'!I50</f>
        <v>62593860</v>
      </c>
      <c r="J27" s="459">
        <f>+' 2. Önk. Bevételek'!J50</f>
        <v>0</v>
      </c>
      <c r="K27" s="74"/>
      <c r="L27" s="531">
        <f t="shared" si="14"/>
        <v>0.68422997224791859</v>
      </c>
      <c r="M27" s="531">
        <f t="shared" si="15"/>
        <v>1.1580732654949122</v>
      </c>
      <c r="N27" s="532">
        <f t="shared" si="16"/>
        <v>0</v>
      </c>
      <c r="O27" s="74"/>
      <c r="P27" s="424">
        <f t="shared" si="17"/>
        <v>0</v>
      </c>
      <c r="Q27" s="73">
        <f t="shared" si="18"/>
        <v>0</v>
      </c>
      <c r="R27" s="73">
        <f t="shared" si="19"/>
        <v>-54050000</v>
      </c>
      <c r="S27" s="73">
        <f t="shared" si="20"/>
        <v>0</v>
      </c>
      <c r="T27" s="547">
        <f t="shared" si="6"/>
        <v>0</v>
      </c>
    </row>
    <row r="28" spans="1:20" x14ac:dyDescent="0.25">
      <c r="A28" s="401" t="s">
        <v>308</v>
      </c>
      <c r="B28" s="22" t="s">
        <v>309</v>
      </c>
      <c r="C28" s="424">
        <f>+' 2. Önk. Bevételek'!C67</f>
        <v>61100000</v>
      </c>
      <c r="D28" s="73">
        <f>+' 2. Önk. Bevételek'!D67</f>
        <v>123228000</v>
      </c>
      <c r="E28" s="73">
        <f>+' 2. Önk. Bevételek'!E67</f>
        <v>125937553</v>
      </c>
      <c r="F28" s="435">
        <f>+' 2. Önk. Bevételek'!F67</f>
        <v>0</v>
      </c>
      <c r="G28" s="74"/>
      <c r="H28" s="424">
        <f>+' 2. Önk. Bevételek'!H67</f>
        <v>143069306</v>
      </c>
      <c r="I28" s="73">
        <f>+' 2. Önk. Bevételek'!I67</f>
        <v>151653949</v>
      </c>
      <c r="J28" s="459">
        <f>+' 2. Önk. Bevételek'!J67</f>
        <v>0</v>
      </c>
      <c r="K28" s="74"/>
      <c r="L28" s="531">
        <f t="shared" si="14"/>
        <v>1.1610129678319863</v>
      </c>
      <c r="M28" s="531">
        <f t="shared" si="15"/>
        <v>1.204199584535361</v>
      </c>
      <c r="N28" s="532">
        <f t="shared" si="16"/>
        <v>0</v>
      </c>
      <c r="O28" s="74"/>
      <c r="P28" s="424">
        <f t="shared" si="17"/>
        <v>62128000</v>
      </c>
      <c r="Q28" s="73">
        <f t="shared" si="18"/>
        <v>2709553</v>
      </c>
      <c r="R28" s="73">
        <f t="shared" si="19"/>
        <v>-125937553</v>
      </c>
      <c r="S28" s="73">
        <f t="shared" si="20"/>
        <v>62128000</v>
      </c>
      <c r="T28" s="547">
        <f t="shared" si="6"/>
        <v>1.0168248772504092</v>
      </c>
    </row>
    <row r="29" spans="1:20" x14ac:dyDescent="0.25">
      <c r="A29" s="401" t="s">
        <v>318</v>
      </c>
      <c r="B29" s="22" t="s">
        <v>319</v>
      </c>
      <c r="C29" s="424">
        <f>+' 2. Önk. Bevételek'!C72</f>
        <v>0</v>
      </c>
      <c r="D29" s="73">
        <f>+' 2. Önk. Bevételek'!D72</f>
        <v>0</v>
      </c>
      <c r="E29" s="73">
        <f>+' 2. Önk. Bevételek'!E72</f>
        <v>0</v>
      </c>
      <c r="F29" s="435">
        <f>+' 2. Önk. Bevételek'!F72</f>
        <v>0</v>
      </c>
      <c r="G29" s="74"/>
      <c r="H29" s="424">
        <f>+' 2. Önk. Bevételek'!H72</f>
        <v>161668810</v>
      </c>
      <c r="I29" s="73">
        <f>+' 2. Önk. Bevételek'!I72</f>
        <v>161668810</v>
      </c>
      <c r="J29" s="459">
        <f>+' 2. Önk. Bevételek'!J72</f>
        <v>0</v>
      </c>
      <c r="K29" s="74"/>
      <c r="L29" s="531">
        <f t="shared" si="14"/>
        <v>0</v>
      </c>
      <c r="M29" s="531">
        <f t="shared" si="15"/>
        <v>0</v>
      </c>
      <c r="N29" s="532">
        <f t="shared" si="16"/>
        <v>0</v>
      </c>
      <c r="O29" s="74"/>
      <c r="P29" s="424">
        <f t="shared" si="17"/>
        <v>0</v>
      </c>
      <c r="Q29" s="73">
        <f t="shared" si="18"/>
        <v>0</v>
      </c>
      <c r="R29" s="73">
        <f t="shared" si="19"/>
        <v>0</v>
      </c>
      <c r="S29" s="73">
        <f t="shared" si="20"/>
        <v>0</v>
      </c>
      <c r="T29" s="547">
        <f t="shared" si="6"/>
        <v>0</v>
      </c>
    </row>
    <row r="30" spans="1:20" x14ac:dyDescent="0.25">
      <c r="A30" s="401" t="s">
        <v>322</v>
      </c>
      <c r="B30" s="22" t="s">
        <v>323</v>
      </c>
      <c r="C30" s="424">
        <f>+' 2. Önk. Bevételek'!C76</f>
        <v>0</v>
      </c>
      <c r="D30" s="73">
        <f>+' 2. Önk. Bevételek'!D76</f>
        <v>0</v>
      </c>
      <c r="E30" s="73">
        <f>+' 2. Önk. Bevételek'!E76</f>
        <v>0</v>
      </c>
      <c r="F30" s="435">
        <f>+' 2. Önk. Bevételek'!F76</f>
        <v>0</v>
      </c>
      <c r="G30" s="74"/>
      <c r="H30" s="424">
        <f>+' 2. Önk. Bevételek'!H76</f>
        <v>1704190</v>
      </c>
      <c r="I30" s="73">
        <f>+' 2. Önk. Bevételek'!I76</f>
        <v>2172463</v>
      </c>
      <c r="J30" s="459">
        <f>+' 2. Önk. Bevételek'!J76</f>
        <v>0</v>
      </c>
      <c r="K30" s="74"/>
      <c r="L30" s="531">
        <f t="shared" si="14"/>
        <v>0</v>
      </c>
      <c r="M30" s="531">
        <f t="shared" si="15"/>
        <v>0</v>
      </c>
      <c r="N30" s="532">
        <f t="shared" si="16"/>
        <v>0</v>
      </c>
      <c r="O30" s="74"/>
      <c r="P30" s="424">
        <f t="shared" si="17"/>
        <v>0</v>
      </c>
      <c r="Q30" s="73">
        <f t="shared" si="18"/>
        <v>0</v>
      </c>
      <c r="R30" s="73">
        <f t="shared" si="19"/>
        <v>0</v>
      </c>
      <c r="S30" s="73">
        <f t="shared" si="20"/>
        <v>0</v>
      </c>
      <c r="T30" s="547">
        <f t="shared" si="6"/>
        <v>0</v>
      </c>
    </row>
    <row r="31" spans="1:20" x14ac:dyDescent="0.25">
      <c r="A31" s="401" t="s">
        <v>450</v>
      </c>
      <c r="B31" s="56"/>
      <c r="C31" s="427">
        <f>+' 2. Önk. Bevételek'!C80-C32</f>
        <v>0</v>
      </c>
      <c r="D31" s="318">
        <f>+' 2. Önk. Bevételek'!D80-D32</f>
        <v>0</v>
      </c>
      <c r="E31" s="318">
        <f>+' 2. Önk. Bevételek'!E80-E32</f>
        <v>0</v>
      </c>
      <c r="F31" s="444">
        <f>+' 2. Önk. Bevételek'!F80-F32</f>
        <v>0</v>
      </c>
      <c r="G31" s="395"/>
      <c r="H31" s="427">
        <f>+' 2. Önk. Bevételek'!H80-H32</f>
        <v>654495</v>
      </c>
      <c r="I31" s="318">
        <f>+' 2. Önk. Bevételek'!I80-I32</f>
        <v>654495</v>
      </c>
      <c r="J31" s="460">
        <f>+' 2. Önk. Bevételek'!J80-J32</f>
        <v>0</v>
      </c>
      <c r="K31" s="74"/>
      <c r="L31" s="531">
        <f t="shared" si="14"/>
        <v>0</v>
      </c>
      <c r="M31" s="531">
        <f t="shared" si="15"/>
        <v>0</v>
      </c>
      <c r="N31" s="532">
        <f t="shared" si="16"/>
        <v>0</v>
      </c>
      <c r="O31" s="395"/>
      <c r="P31" s="424">
        <f t="shared" si="17"/>
        <v>0</v>
      </c>
      <c r="Q31" s="73">
        <f t="shared" si="18"/>
        <v>0</v>
      </c>
      <c r="R31" s="73">
        <f t="shared" si="19"/>
        <v>0</v>
      </c>
      <c r="S31" s="73">
        <f t="shared" si="20"/>
        <v>0</v>
      </c>
      <c r="T31" s="547">
        <f t="shared" si="6"/>
        <v>0</v>
      </c>
    </row>
    <row r="32" spans="1:20" x14ac:dyDescent="0.25">
      <c r="A32" s="400" t="s">
        <v>444</v>
      </c>
      <c r="B32" s="56"/>
      <c r="C32" s="427">
        <f>+' 2. Önk. Bevételek'!C87</f>
        <v>141968012</v>
      </c>
      <c r="D32" s="318">
        <f>+' 2. Önk. Bevételek'!D87</f>
        <v>141968012</v>
      </c>
      <c r="E32" s="318">
        <f>+' 2. Önk. Bevételek'!E87</f>
        <v>141968012</v>
      </c>
      <c r="F32" s="444">
        <f>+' 2. Önk. Bevételek'!F87</f>
        <v>0</v>
      </c>
      <c r="G32" s="395"/>
      <c r="H32" s="427">
        <f>+' 2. Önk. Bevételek'!H87</f>
        <v>141968016</v>
      </c>
      <c r="I32" s="318">
        <f>+' 2. Önk. Bevételek'!I87</f>
        <v>141968012</v>
      </c>
      <c r="J32" s="460">
        <f>+' 2. Önk. Bevételek'!J87</f>
        <v>0</v>
      </c>
      <c r="K32" s="74"/>
      <c r="L32" s="531">
        <f t="shared" si="14"/>
        <v>1.0000000281753612</v>
      </c>
      <c r="M32" s="531">
        <f t="shared" si="15"/>
        <v>1</v>
      </c>
      <c r="N32" s="532">
        <f t="shared" si="16"/>
        <v>0</v>
      </c>
      <c r="O32" s="395"/>
      <c r="P32" s="424">
        <f t="shared" si="17"/>
        <v>0</v>
      </c>
      <c r="Q32" s="73">
        <f t="shared" si="18"/>
        <v>0</v>
      </c>
      <c r="R32" s="73">
        <f t="shared" si="19"/>
        <v>-141968012</v>
      </c>
      <c r="S32" s="73">
        <f t="shared" si="20"/>
        <v>0</v>
      </c>
      <c r="T32" s="547">
        <f t="shared" si="6"/>
        <v>0</v>
      </c>
    </row>
    <row r="33" spans="1:20" x14ac:dyDescent="0.25">
      <c r="A33" s="404"/>
      <c r="B33" s="386" t="s">
        <v>371</v>
      </c>
      <c r="C33" s="426">
        <f>SUM(C24:C32)</f>
        <v>1307317299</v>
      </c>
      <c r="D33" s="387">
        <f t="shared" ref="D33:J33" si="21">SUM(D24:D32)</f>
        <v>1369445299</v>
      </c>
      <c r="E33" s="387">
        <f t="shared" si="21"/>
        <v>1401721794</v>
      </c>
      <c r="F33" s="443">
        <f t="shared" si="21"/>
        <v>0</v>
      </c>
      <c r="G33" s="387"/>
      <c r="H33" s="426">
        <f t="shared" si="21"/>
        <v>1358645963</v>
      </c>
      <c r="I33" s="387">
        <f t="shared" si="21"/>
        <v>1707212719</v>
      </c>
      <c r="J33" s="388">
        <f t="shared" si="21"/>
        <v>0</v>
      </c>
      <c r="K33" s="389"/>
      <c r="L33" s="535">
        <f t="shared" si="14"/>
        <v>0.99211408005278789</v>
      </c>
      <c r="M33" s="535">
        <f t="shared" si="15"/>
        <v>1.2179397697229497</v>
      </c>
      <c r="N33" s="536">
        <f t="shared" si="16"/>
        <v>0</v>
      </c>
      <c r="O33" s="389"/>
      <c r="P33" s="426">
        <f t="shared" ref="P33" si="22">SUM(P24:P32)</f>
        <v>62128000</v>
      </c>
      <c r="Q33" s="387">
        <f t="shared" ref="Q33" si="23">SUM(Q24:Q32)</f>
        <v>32276495</v>
      </c>
      <c r="R33" s="387">
        <f t="shared" ref="R33" si="24">SUM(R24:R32)</f>
        <v>-1401721794</v>
      </c>
      <c r="S33" s="388">
        <f t="shared" ref="S33" si="25">SUM(S24:S32)</f>
        <v>62128000</v>
      </c>
      <c r="T33" s="548">
        <f t="shared" si="6"/>
        <v>4.7523275372798386E-2</v>
      </c>
    </row>
    <row r="34" spans="1:20" x14ac:dyDescent="0.25">
      <c r="A34" s="403"/>
      <c r="B34" s="73"/>
      <c r="C34" s="424"/>
      <c r="D34" s="73"/>
      <c r="E34" s="73"/>
      <c r="F34" s="435"/>
      <c r="G34" s="73"/>
      <c r="H34" s="424"/>
      <c r="I34" s="73"/>
      <c r="J34" s="459"/>
      <c r="K34" s="73"/>
      <c r="L34" s="531"/>
      <c r="M34" s="531"/>
      <c r="N34" s="532"/>
      <c r="O34" s="73"/>
      <c r="P34" s="424"/>
      <c r="Q34" s="73"/>
      <c r="R34" s="73"/>
      <c r="S34" s="73"/>
      <c r="T34" s="549"/>
    </row>
    <row r="35" spans="1:20" ht="13.8" thickBot="1" x14ac:dyDescent="0.3">
      <c r="A35" s="406"/>
      <c r="B35" s="407" t="s">
        <v>451</v>
      </c>
      <c r="C35" s="428">
        <f>+C33-C22</f>
        <v>0</v>
      </c>
      <c r="D35" s="408">
        <f>+D33-D22</f>
        <v>0</v>
      </c>
      <c r="E35" s="408">
        <f>+E33-E22</f>
        <v>0</v>
      </c>
      <c r="F35" s="445">
        <f>+F33-F22</f>
        <v>0</v>
      </c>
      <c r="G35" s="408"/>
      <c r="H35" s="428">
        <f>+H33-H22</f>
        <v>737177150</v>
      </c>
      <c r="I35" s="408">
        <f>+I33-I22</f>
        <v>736631919</v>
      </c>
      <c r="J35" s="410">
        <f>+J33-J22</f>
        <v>0</v>
      </c>
      <c r="K35" s="409"/>
      <c r="L35" s="537">
        <f t="shared" ref="L35" si="26">IF(D35=0,0,H35/D35)</f>
        <v>0</v>
      </c>
      <c r="M35" s="537">
        <f t="shared" ref="M35" si="27">IF(E35=0,0,I35/E35)</f>
        <v>0</v>
      </c>
      <c r="N35" s="538">
        <f t="shared" ref="N35" si="28">IF(F35=0,0,J35/F35)</f>
        <v>0</v>
      </c>
      <c r="O35" s="409"/>
      <c r="P35" s="428">
        <f>+P33-P22</f>
        <v>0</v>
      </c>
      <c r="Q35" s="408">
        <f>+Q33-Q22</f>
        <v>0</v>
      </c>
      <c r="R35" s="408">
        <f>+R33-R22</f>
        <v>-1289451794</v>
      </c>
      <c r="S35" s="410">
        <f>+S33-S22</f>
        <v>0</v>
      </c>
      <c r="T35" s="550"/>
    </row>
    <row r="36" spans="1:20" x14ac:dyDescent="0.25">
      <c r="C36" s="424"/>
      <c r="D36" s="74"/>
      <c r="E36" s="74"/>
      <c r="F36" s="441"/>
      <c r="G36" s="74"/>
      <c r="H36" s="433"/>
      <c r="I36" s="218"/>
      <c r="J36" s="457"/>
      <c r="K36" s="74"/>
      <c r="L36" s="531"/>
      <c r="M36" s="531"/>
      <c r="N36" s="532"/>
      <c r="O36" s="74"/>
      <c r="P36" s="424"/>
      <c r="Q36" s="73"/>
      <c r="R36" s="73"/>
      <c r="S36" s="73"/>
      <c r="T36" s="549"/>
    </row>
    <row r="37" spans="1:20" ht="13.8" thickBot="1" x14ac:dyDescent="0.3">
      <c r="C37" s="424"/>
      <c r="D37" s="74"/>
      <c r="E37" s="74"/>
      <c r="F37" s="441"/>
      <c r="G37" s="74"/>
      <c r="H37" s="433"/>
      <c r="I37" s="218"/>
      <c r="J37" s="457"/>
      <c r="K37" s="74"/>
      <c r="L37" s="531"/>
      <c r="M37" s="531"/>
      <c r="N37" s="532"/>
      <c r="O37" s="74"/>
      <c r="P37" s="424"/>
      <c r="Q37" s="73">
        <f>+P42*P4+Q42*Q4</f>
        <v>0</v>
      </c>
      <c r="R37" s="73"/>
      <c r="S37" s="73"/>
      <c r="T37" s="549"/>
    </row>
    <row r="38" spans="1:20" ht="18" thickBot="1" x14ac:dyDescent="0.35">
      <c r="A38" s="413" t="s">
        <v>468</v>
      </c>
      <c r="B38" s="440"/>
      <c r="D38" s="74"/>
      <c r="E38" s="74"/>
      <c r="F38" s="441"/>
      <c r="G38" s="74"/>
      <c r="H38" s="433"/>
      <c r="I38" s="218"/>
      <c r="J38" s="457"/>
      <c r="K38" s="74"/>
      <c r="L38" s="531"/>
      <c r="M38" s="531"/>
      <c r="N38" s="532"/>
      <c r="O38" s="74"/>
      <c r="P38" s="424"/>
      <c r="Q38" s="73"/>
      <c r="R38" s="73"/>
      <c r="S38" s="73"/>
      <c r="T38" s="549"/>
    </row>
    <row r="39" spans="1:20" x14ac:dyDescent="0.25">
      <c r="A39" s="396"/>
      <c r="B39" s="397"/>
      <c r="C39" s="425"/>
      <c r="D39" s="417"/>
      <c r="E39" s="417"/>
      <c r="F39" s="442"/>
      <c r="G39" s="417"/>
      <c r="H39" s="434"/>
      <c r="I39" s="418"/>
      <c r="J39" s="458"/>
      <c r="K39" s="417"/>
      <c r="L39" s="539"/>
      <c r="M39" s="539"/>
      <c r="N39" s="540"/>
      <c r="O39" s="417"/>
      <c r="P39" s="425"/>
      <c r="Q39" s="416"/>
      <c r="R39" s="416"/>
      <c r="S39" s="416"/>
      <c r="T39" s="551"/>
    </row>
    <row r="40" spans="1:20" x14ac:dyDescent="0.25">
      <c r="A40" s="400" t="s">
        <v>0</v>
      </c>
      <c r="B40" s="56" t="str">
        <f t="shared" ref="B40:B48" si="29">+B13</f>
        <v>Személyi juttatások</v>
      </c>
      <c r="C40" s="424">
        <f>+'8. Dr Gáspár HSZK'!C13</f>
        <v>29825000</v>
      </c>
      <c r="D40" s="73">
        <f>+'8. Dr Gáspár HSZK'!D13</f>
        <v>29825000</v>
      </c>
      <c r="E40" s="73">
        <f>+'8. Dr Gáspár HSZK'!E13</f>
        <v>29825000</v>
      </c>
      <c r="F40" s="435">
        <f>+'8. Dr Gáspár HSZK'!F13</f>
        <v>0</v>
      </c>
      <c r="G40" s="73"/>
      <c r="H40" s="424">
        <f>+'8. Dr Gáspár HSZK'!H13</f>
        <v>14014974</v>
      </c>
      <c r="I40" s="73">
        <f>+'8. Dr Gáspár HSZK'!I13</f>
        <v>22459864</v>
      </c>
      <c r="J40" s="459">
        <f>+'8. Dr Gáspár HSZK'!J13</f>
        <v>0</v>
      </c>
      <c r="K40" s="73"/>
      <c r="L40" s="531">
        <f t="shared" ref="L40:L49" si="30">IF(D40=0,0,H40/D40)</f>
        <v>0.46990692372171</v>
      </c>
      <c r="M40" s="531">
        <f t="shared" ref="M40:M49" si="31">IF(E40=0,0,I40/E40)</f>
        <v>0.7530549538977368</v>
      </c>
      <c r="N40" s="532">
        <f t="shared" ref="N40:N49" si="32">IF(F40=0,0,J40/F40)</f>
        <v>0</v>
      </c>
      <c r="O40" s="73"/>
      <c r="P40" s="424">
        <f t="shared" ref="P40:P48" si="33">+D40-C40</f>
        <v>0</v>
      </c>
      <c r="Q40" s="73">
        <f t="shared" ref="Q40:Q48" si="34">+E40-D40</f>
        <v>0</v>
      </c>
      <c r="R40" s="73">
        <f t="shared" ref="R40:R48" si="35">+F40-E40</f>
        <v>-29825000</v>
      </c>
      <c r="S40" s="73">
        <f t="shared" ref="S40:S48" si="36">+P$4*P40+Q$4*Q40*R$4*R40</f>
        <v>0</v>
      </c>
      <c r="T40" s="547">
        <f>IF(S40=0,0,S40/C40)</f>
        <v>0</v>
      </c>
    </row>
    <row r="41" spans="1:20" x14ac:dyDescent="0.25">
      <c r="A41" s="400" t="s">
        <v>26</v>
      </c>
      <c r="B41" s="56" t="str">
        <f t="shared" si="29"/>
        <v>Munkaadót terhelő járulékok és szociális hozzájárulás</v>
      </c>
      <c r="C41" s="424">
        <f>+'8. Dr Gáspár HSZK'!C29</f>
        <v>3900000</v>
      </c>
      <c r="D41" s="73">
        <f>+'8. Dr Gáspár HSZK'!D29</f>
        <v>3900000</v>
      </c>
      <c r="E41" s="73">
        <f>+'8. Dr Gáspár HSZK'!E29</f>
        <v>3900000</v>
      </c>
      <c r="F41" s="435">
        <f>+'8. Dr Gáspár HSZK'!F29</f>
        <v>0</v>
      </c>
      <c r="G41" s="73"/>
      <c r="H41" s="424">
        <f>+'8. Dr Gáspár HSZK'!H29</f>
        <v>2020593</v>
      </c>
      <c r="I41" s="73">
        <f>+'8. Dr Gáspár HSZK'!I29</f>
        <v>3125665</v>
      </c>
      <c r="J41" s="459">
        <f>+'8. Dr Gáspár HSZK'!J29</f>
        <v>0</v>
      </c>
      <c r="K41" s="73"/>
      <c r="L41" s="531">
        <f t="shared" si="30"/>
        <v>0.5181007692307692</v>
      </c>
      <c r="M41" s="531">
        <f t="shared" si="31"/>
        <v>0.80145256410256416</v>
      </c>
      <c r="N41" s="532">
        <f t="shared" si="32"/>
        <v>0</v>
      </c>
      <c r="O41" s="73"/>
      <c r="P41" s="424">
        <f t="shared" si="33"/>
        <v>0</v>
      </c>
      <c r="Q41" s="73">
        <f t="shared" si="34"/>
        <v>0</v>
      </c>
      <c r="R41" s="73">
        <f t="shared" si="35"/>
        <v>-3900000</v>
      </c>
      <c r="S41" s="73">
        <f t="shared" si="36"/>
        <v>0</v>
      </c>
      <c r="T41" s="547">
        <f t="shared" ref="T41:T60" si="37">IF(S41=0,0,S41/C41)</f>
        <v>0</v>
      </c>
    </row>
    <row r="42" spans="1:20" x14ac:dyDescent="0.25">
      <c r="A42" s="400" t="s">
        <v>29</v>
      </c>
      <c r="B42" s="56" t="str">
        <f t="shared" si="29"/>
        <v>Dologi kiadások</v>
      </c>
      <c r="C42" s="424">
        <f>+'8. Dr Gáspár HSZK'!C32</f>
        <v>12060000</v>
      </c>
      <c r="D42" s="73">
        <f>+'8. Dr Gáspár HSZK'!D32</f>
        <v>12060000</v>
      </c>
      <c r="E42" s="73">
        <f>+'8. Dr Gáspár HSZK'!E32</f>
        <v>12060000</v>
      </c>
      <c r="F42" s="435">
        <f>+'8. Dr Gáspár HSZK'!F32</f>
        <v>0</v>
      </c>
      <c r="G42" s="73"/>
      <c r="H42" s="427">
        <f>+'8. Dr Gáspár HSZK'!H32</f>
        <v>4912145</v>
      </c>
      <c r="I42" s="318">
        <f>+'8. Dr Gáspár HSZK'!I32</f>
        <v>7939130</v>
      </c>
      <c r="J42" s="459">
        <f>+'8. Dr Gáspár HSZK'!J32</f>
        <v>0</v>
      </c>
      <c r="K42" s="73"/>
      <c r="L42" s="531">
        <f t="shared" si="30"/>
        <v>0.40730887230514096</v>
      </c>
      <c r="M42" s="531">
        <f t="shared" si="31"/>
        <v>0.65830265339966831</v>
      </c>
      <c r="N42" s="532">
        <f t="shared" si="32"/>
        <v>0</v>
      </c>
      <c r="O42" s="73"/>
      <c r="P42" s="424">
        <f t="shared" si="33"/>
        <v>0</v>
      </c>
      <c r="Q42" s="73">
        <f t="shared" si="34"/>
        <v>0</v>
      </c>
      <c r="R42" s="73">
        <f t="shared" si="35"/>
        <v>-12060000</v>
      </c>
      <c r="S42" s="73">
        <f t="shared" si="36"/>
        <v>0</v>
      </c>
      <c r="T42" s="547">
        <f t="shared" si="37"/>
        <v>0</v>
      </c>
    </row>
    <row r="43" spans="1:20" x14ac:dyDescent="0.25">
      <c r="A43" s="400" t="s">
        <v>111</v>
      </c>
      <c r="B43" s="56" t="str">
        <f t="shared" si="29"/>
        <v>Elláttotak pénzbeli juttatásai</v>
      </c>
      <c r="C43" s="424"/>
      <c r="D43" s="73"/>
      <c r="E43" s="73"/>
      <c r="F43" s="435"/>
      <c r="G43" s="73"/>
      <c r="H43" s="424"/>
      <c r="I43" s="73"/>
      <c r="J43" s="459"/>
      <c r="K43" s="73"/>
      <c r="L43" s="531">
        <f t="shared" si="30"/>
        <v>0</v>
      </c>
      <c r="M43" s="531">
        <f t="shared" si="31"/>
        <v>0</v>
      </c>
      <c r="N43" s="532">
        <f t="shared" si="32"/>
        <v>0</v>
      </c>
      <c r="O43" s="73"/>
      <c r="P43" s="424">
        <f t="shared" si="33"/>
        <v>0</v>
      </c>
      <c r="Q43" s="73">
        <f t="shared" si="34"/>
        <v>0</v>
      </c>
      <c r="R43" s="73">
        <f t="shared" si="35"/>
        <v>0</v>
      </c>
      <c r="S43" s="73">
        <f t="shared" si="36"/>
        <v>0</v>
      </c>
      <c r="T43" s="547">
        <f t="shared" si="37"/>
        <v>0</v>
      </c>
    </row>
    <row r="44" spans="1:20" x14ac:dyDescent="0.25">
      <c r="A44" s="401" t="s">
        <v>370</v>
      </c>
      <c r="B44" s="56" t="str">
        <f t="shared" si="29"/>
        <v>Egyéb működési célú kiadások</v>
      </c>
      <c r="C44" s="424"/>
      <c r="D44" s="73"/>
      <c r="E44" s="73"/>
      <c r="F44" s="435"/>
      <c r="G44" s="73"/>
      <c r="H44" s="424"/>
      <c r="I44" s="73"/>
      <c r="J44" s="459"/>
      <c r="K44" s="73"/>
      <c r="L44" s="531">
        <f t="shared" si="30"/>
        <v>0</v>
      </c>
      <c r="M44" s="531">
        <f t="shared" si="31"/>
        <v>0</v>
      </c>
      <c r="N44" s="532">
        <f t="shared" si="32"/>
        <v>0</v>
      </c>
      <c r="O44" s="73"/>
      <c r="P44" s="424">
        <f t="shared" si="33"/>
        <v>0</v>
      </c>
      <c r="Q44" s="73">
        <f t="shared" si="34"/>
        <v>0</v>
      </c>
      <c r="R44" s="73">
        <f t="shared" si="35"/>
        <v>0</v>
      </c>
      <c r="S44" s="73">
        <f t="shared" si="36"/>
        <v>0</v>
      </c>
      <c r="T44" s="547">
        <f t="shared" si="37"/>
        <v>0</v>
      </c>
    </row>
    <row r="45" spans="1:20" x14ac:dyDescent="0.25">
      <c r="A45" s="400" t="s">
        <v>158</v>
      </c>
      <c r="B45" s="56" t="str">
        <f t="shared" si="29"/>
        <v>Beruházások</v>
      </c>
      <c r="C45" s="424">
        <f>+'8. Dr Gáspár HSZK'!C83</f>
        <v>4650000</v>
      </c>
      <c r="D45" s="73">
        <f>+'8. Dr Gáspár HSZK'!D83</f>
        <v>4650000</v>
      </c>
      <c r="E45" s="73">
        <f>+'8. Dr Gáspár HSZK'!E83</f>
        <v>4650000</v>
      </c>
      <c r="F45" s="435">
        <f>+'8. Dr Gáspár HSZK'!F83</f>
        <v>0</v>
      </c>
      <c r="G45" s="73"/>
      <c r="H45" s="424">
        <f>+'8. Dr Gáspár HSZK'!H83</f>
        <v>1004214</v>
      </c>
      <c r="I45" s="73">
        <f>+'8. Dr Gáspár HSZK'!I83</f>
        <v>3704214</v>
      </c>
      <c r="J45" s="459">
        <f>+'8. Dr Gáspár HSZK'!J83</f>
        <v>0</v>
      </c>
      <c r="K45" s="73">
        <f>+'8. Dr Gáspár HSZK'!K83</f>
        <v>0</v>
      </c>
      <c r="L45" s="531">
        <f t="shared" si="30"/>
        <v>0.21596000000000001</v>
      </c>
      <c r="M45" s="531">
        <f t="shared" si="31"/>
        <v>0.79660516129032255</v>
      </c>
      <c r="N45" s="532">
        <f t="shared" si="32"/>
        <v>0</v>
      </c>
      <c r="O45" s="73"/>
      <c r="P45" s="424">
        <f t="shared" si="33"/>
        <v>0</v>
      </c>
      <c r="Q45" s="73">
        <f t="shared" si="34"/>
        <v>0</v>
      </c>
      <c r="R45" s="73">
        <f t="shared" si="35"/>
        <v>-4650000</v>
      </c>
      <c r="S45" s="73">
        <f t="shared" si="36"/>
        <v>0</v>
      </c>
      <c r="T45" s="547">
        <f t="shared" si="37"/>
        <v>0</v>
      </c>
    </row>
    <row r="46" spans="1:20" x14ac:dyDescent="0.25">
      <c r="A46" s="400" t="s">
        <v>173</v>
      </c>
      <c r="B46" s="56" t="str">
        <f t="shared" si="29"/>
        <v>Felújítások</v>
      </c>
      <c r="C46" s="424">
        <f>+'8. Dr Gáspár HSZK'!C86</f>
        <v>0</v>
      </c>
      <c r="D46" s="73">
        <f>+'8. Dr Gáspár HSZK'!D86</f>
        <v>0</v>
      </c>
      <c r="E46" s="73">
        <f>+'8. Dr Gáspár HSZK'!E86</f>
        <v>0</v>
      </c>
      <c r="F46" s="435">
        <f>+'8. Dr Gáspár HSZK'!F86</f>
        <v>0</v>
      </c>
      <c r="G46" s="73"/>
      <c r="H46" s="424">
        <f>+'8. Dr Gáspár HSZK'!H86</f>
        <v>0</v>
      </c>
      <c r="I46" s="73">
        <f>+'8. Dr Gáspár HSZK'!I86</f>
        <v>0</v>
      </c>
      <c r="J46" s="459">
        <f>+'8. Dr Gáspár HSZK'!J86</f>
        <v>0</v>
      </c>
      <c r="K46" s="73">
        <f>+'8. Dr Gáspár HSZK'!K86</f>
        <v>0</v>
      </c>
      <c r="L46" s="531">
        <f t="shared" si="30"/>
        <v>0</v>
      </c>
      <c r="M46" s="531">
        <f t="shared" si="31"/>
        <v>0</v>
      </c>
      <c r="N46" s="532">
        <f t="shared" si="32"/>
        <v>0</v>
      </c>
      <c r="O46" s="73"/>
      <c r="P46" s="424">
        <f t="shared" si="33"/>
        <v>0</v>
      </c>
      <c r="Q46" s="73">
        <f t="shared" si="34"/>
        <v>0</v>
      </c>
      <c r="R46" s="73">
        <f t="shared" si="35"/>
        <v>0</v>
      </c>
      <c r="S46" s="73">
        <f t="shared" si="36"/>
        <v>0</v>
      </c>
      <c r="T46" s="547">
        <f t="shared" si="37"/>
        <v>0</v>
      </c>
    </row>
    <row r="47" spans="1:20" x14ac:dyDescent="0.25">
      <c r="A47" s="400" t="s">
        <v>183</v>
      </c>
      <c r="B47" s="56" t="str">
        <f t="shared" si="29"/>
        <v>Szolgáltatások kiadásai</v>
      </c>
      <c r="C47" s="424"/>
      <c r="D47" s="73"/>
      <c r="E47" s="73"/>
      <c r="F47" s="435"/>
      <c r="G47" s="73"/>
      <c r="H47" s="424"/>
      <c r="I47" s="73"/>
      <c r="J47" s="459"/>
      <c r="K47" s="73"/>
      <c r="L47" s="531">
        <f t="shared" si="30"/>
        <v>0</v>
      </c>
      <c r="M47" s="531">
        <f t="shared" si="31"/>
        <v>0</v>
      </c>
      <c r="N47" s="532">
        <f t="shared" si="32"/>
        <v>0</v>
      </c>
      <c r="O47" s="73"/>
      <c r="P47" s="424">
        <f t="shared" si="33"/>
        <v>0</v>
      </c>
      <c r="Q47" s="73">
        <f t="shared" si="34"/>
        <v>0</v>
      </c>
      <c r="R47" s="73">
        <f t="shared" si="35"/>
        <v>0</v>
      </c>
      <c r="S47" s="73">
        <f t="shared" si="36"/>
        <v>0</v>
      </c>
      <c r="T47" s="547">
        <f t="shared" si="37"/>
        <v>0</v>
      </c>
    </row>
    <row r="48" spans="1:20" x14ac:dyDescent="0.25">
      <c r="A48" s="400" t="s">
        <v>200</v>
      </c>
      <c r="B48" s="56" t="str">
        <f t="shared" si="29"/>
        <v>Finanszírozási kiadások</v>
      </c>
      <c r="C48" s="403"/>
      <c r="F48" s="446"/>
      <c r="H48" s="403"/>
      <c r="J48" s="457"/>
      <c r="L48" s="531">
        <f t="shared" si="30"/>
        <v>0</v>
      </c>
      <c r="M48" s="531">
        <f t="shared" si="31"/>
        <v>0</v>
      </c>
      <c r="N48" s="532">
        <f t="shared" si="32"/>
        <v>0</v>
      </c>
      <c r="P48" s="424">
        <f t="shared" si="33"/>
        <v>0</v>
      </c>
      <c r="Q48" s="73">
        <f t="shared" si="34"/>
        <v>0</v>
      </c>
      <c r="R48" s="73">
        <f t="shared" si="35"/>
        <v>0</v>
      </c>
      <c r="S48" s="73">
        <f t="shared" si="36"/>
        <v>0</v>
      </c>
      <c r="T48" s="547">
        <f t="shared" si="37"/>
        <v>0</v>
      </c>
    </row>
    <row r="49" spans="1:20" x14ac:dyDescent="0.25">
      <c r="A49" s="402"/>
      <c r="B49" s="386" t="s">
        <v>372</v>
      </c>
      <c r="C49" s="426">
        <f>SUM(C40:C48)</f>
        <v>50435000</v>
      </c>
      <c r="D49" s="387">
        <f t="shared" ref="D49" si="38">SUM(D40:D48)</f>
        <v>50435000</v>
      </c>
      <c r="E49" s="387">
        <f t="shared" ref="E49" si="39">SUM(E40:E48)</f>
        <v>50435000</v>
      </c>
      <c r="F49" s="443">
        <f t="shared" ref="F49" si="40">SUM(F40:F48)</f>
        <v>0</v>
      </c>
      <c r="G49" s="387"/>
      <c r="H49" s="426">
        <f t="shared" ref="H49" si="41">SUM(H40:H48)</f>
        <v>21951926</v>
      </c>
      <c r="I49" s="387">
        <f t="shared" ref="I49" si="42">SUM(I40:I48)</f>
        <v>37228873</v>
      </c>
      <c r="J49" s="388">
        <f t="shared" ref="J49" si="43">SUM(J40:J48)</f>
        <v>0</v>
      </c>
      <c r="K49" s="204"/>
      <c r="L49" s="533">
        <f t="shared" si="30"/>
        <v>0.4352518290869436</v>
      </c>
      <c r="M49" s="533">
        <f t="shared" si="31"/>
        <v>0.73815550708833155</v>
      </c>
      <c r="N49" s="534">
        <f t="shared" si="32"/>
        <v>0</v>
      </c>
      <c r="O49" s="204"/>
      <c r="P49" s="426">
        <f t="shared" ref="P49" si="44">SUM(P40:P48)</f>
        <v>0</v>
      </c>
      <c r="Q49" s="387">
        <f t="shared" ref="Q49" si="45">SUM(Q40:Q48)</f>
        <v>0</v>
      </c>
      <c r="R49" s="387">
        <f t="shared" ref="R49" si="46">SUM(R40:R48)</f>
        <v>-50435000</v>
      </c>
      <c r="S49" s="388">
        <f t="shared" ref="S49" si="47">SUM(S40:S48)</f>
        <v>0</v>
      </c>
      <c r="T49" s="548">
        <f t="shared" si="37"/>
        <v>0</v>
      </c>
    </row>
    <row r="50" spans="1:20" x14ac:dyDescent="0.25">
      <c r="A50" s="403"/>
      <c r="C50" s="424"/>
      <c r="D50" s="74"/>
      <c r="E50" s="74"/>
      <c r="F50" s="441"/>
      <c r="G50" s="74"/>
      <c r="H50" s="433"/>
      <c r="I50" s="218"/>
      <c r="J50" s="457"/>
      <c r="K50" s="74"/>
      <c r="L50" s="531"/>
      <c r="M50" s="531"/>
      <c r="N50" s="532"/>
      <c r="O50" s="74"/>
      <c r="P50" s="424"/>
      <c r="Q50" s="73"/>
      <c r="R50" s="73"/>
      <c r="S50" s="73"/>
      <c r="T50" s="547"/>
    </row>
    <row r="51" spans="1:20" x14ac:dyDescent="0.25">
      <c r="A51" s="400" t="str">
        <f>+A24</f>
        <v>B1</v>
      </c>
      <c r="B51" s="56" t="s">
        <v>442</v>
      </c>
      <c r="C51" s="424">
        <f>+'8. Dr Gáspár HSZK'!C93</f>
        <v>0</v>
      </c>
      <c r="D51" s="73">
        <f>+'8. Dr Gáspár HSZK'!D93</f>
        <v>0</v>
      </c>
      <c r="E51" s="73">
        <f>+'8. Dr Gáspár HSZK'!E93</f>
        <v>0</v>
      </c>
      <c r="F51" s="435">
        <f>+'8. Dr Gáspár HSZK'!F93</f>
        <v>0</v>
      </c>
      <c r="G51" s="73">
        <f>+'8. Dr Gáspár HSZK'!G93</f>
        <v>0</v>
      </c>
      <c r="H51" s="424">
        <f>+'8. Dr Gáspár HSZK'!H93</f>
        <v>0</v>
      </c>
      <c r="I51" s="73">
        <f>+'8. Dr Gáspár HSZK'!I93</f>
        <v>0</v>
      </c>
      <c r="J51" s="459">
        <f>+'8. Dr Gáspár HSZK'!J93</f>
        <v>0</v>
      </c>
      <c r="K51" s="73"/>
      <c r="L51" s="531">
        <f t="shared" ref="L51:L60" si="48">IF(D51=0,0,H51/D51)</f>
        <v>0</v>
      </c>
      <c r="M51" s="531">
        <f t="shared" ref="M51:M60" si="49">IF(E51=0,0,I51/E51)</f>
        <v>0</v>
      </c>
      <c r="N51" s="532">
        <f t="shared" ref="N51:N60" si="50">IF(F51=0,0,J51/F51)</f>
        <v>0</v>
      </c>
      <c r="O51" s="73"/>
      <c r="P51" s="424">
        <f t="shared" ref="P51:P59" si="51">+D51-C51</f>
        <v>0</v>
      </c>
      <c r="Q51" s="73">
        <f t="shared" ref="Q51:Q59" si="52">+E51-D51</f>
        <v>0</v>
      </c>
      <c r="R51" s="73">
        <f t="shared" ref="R51:R59" si="53">+F51-E51</f>
        <v>0</v>
      </c>
      <c r="S51" s="73">
        <f t="shared" ref="S51:S59" si="54">+P$4*P51+Q$4*Q51*R$4*R51</f>
        <v>0</v>
      </c>
      <c r="T51" s="547">
        <f t="shared" si="37"/>
        <v>0</v>
      </c>
    </row>
    <row r="52" spans="1:20" x14ac:dyDescent="0.25">
      <c r="A52" s="400" t="str">
        <f t="shared" ref="A52" si="55">+A25</f>
        <v>B2</v>
      </c>
      <c r="B52" s="56" t="s">
        <v>441</v>
      </c>
      <c r="C52" s="424"/>
      <c r="D52" s="73"/>
      <c r="E52" s="73"/>
      <c r="F52" s="435"/>
      <c r="G52" s="73"/>
      <c r="H52" s="424"/>
      <c r="I52" s="73"/>
      <c r="J52" s="459"/>
      <c r="K52" s="73"/>
      <c r="L52" s="531">
        <f t="shared" si="48"/>
        <v>0</v>
      </c>
      <c r="M52" s="531">
        <f t="shared" si="49"/>
        <v>0</v>
      </c>
      <c r="N52" s="532">
        <f t="shared" si="50"/>
        <v>0</v>
      </c>
      <c r="O52" s="73"/>
      <c r="P52" s="424">
        <f t="shared" si="51"/>
        <v>0</v>
      </c>
      <c r="Q52" s="73">
        <f t="shared" si="52"/>
        <v>0</v>
      </c>
      <c r="R52" s="73">
        <f t="shared" si="53"/>
        <v>0</v>
      </c>
      <c r="S52" s="73">
        <f t="shared" si="54"/>
        <v>0</v>
      </c>
      <c r="T52" s="547">
        <f t="shared" si="37"/>
        <v>0</v>
      </c>
    </row>
    <row r="53" spans="1:20" x14ac:dyDescent="0.25">
      <c r="A53" s="400" t="str">
        <f t="shared" ref="A53" si="56">+A26</f>
        <v>B3</v>
      </c>
      <c r="B53" s="56" t="s">
        <v>270</v>
      </c>
      <c r="C53" s="424"/>
      <c r="D53" s="73"/>
      <c r="E53" s="73"/>
      <c r="F53" s="435"/>
      <c r="G53" s="73"/>
      <c r="H53" s="424"/>
      <c r="I53" s="73"/>
      <c r="J53" s="459"/>
      <c r="K53" s="73"/>
      <c r="L53" s="531">
        <f t="shared" si="48"/>
        <v>0</v>
      </c>
      <c r="M53" s="531">
        <f t="shared" si="49"/>
        <v>0</v>
      </c>
      <c r="N53" s="532">
        <f t="shared" si="50"/>
        <v>0</v>
      </c>
      <c r="O53" s="73"/>
      <c r="P53" s="424">
        <f t="shared" si="51"/>
        <v>0</v>
      </c>
      <c r="Q53" s="73">
        <f t="shared" si="52"/>
        <v>0</v>
      </c>
      <c r="R53" s="73">
        <f t="shared" si="53"/>
        <v>0</v>
      </c>
      <c r="S53" s="73">
        <f t="shared" si="54"/>
        <v>0</v>
      </c>
      <c r="T53" s="547">
        <f t="shared" si="37"/>
        <v>0</v>
      </c>
    </row>
    <row r="54" spans="1:20" x14ac:dyDescent="0.25">
      <c r="A54" s="400" t="str">
        <f t="shared" ref="A54" si="57">+A27</f>
        <v>B4</v>
      </c>
      <c r="B54" s="56" t="s">
        <v>283</v>
      </c>
      <c r="C54" s="424">
        <f>+'8. Dr Gáspár HSZK'!C95</f>
        <v>7605000</v>
      </c>
      <c r="D54" s="73">
        <f>+'8. Dr Gáspár HSZK'!D95</f>
        <v>7605000</v>
      </c>
      <c r="E54" s="73">
        <f>+'8. Dr Gáspár HSZK'!E95</f>
        <v>7605000</v>
      </c>
      <c r="F54" s="435">
        <f>+'8. Dr Gáspár HSZK'!F95</f>
        <v>0</v>
      </c>
      <c r="G54" s="73"/>
      <c r="H54" s="424">
        <f>+'8. Dr Gáspár HSZK'!H95</f>
        <v>2960245</v>
      </c>
      <c r="I54" s="73">
        <f>+'8. Dr Gáspár HSZK'!I95</f>
        <v>4610080</v>
      </c>
      <c r="J54" s="459">
        <f>+'8. Dr Gáspár HSZK'!J95</f>
        <v>0</v>
      </c>
      <c r="K54" s="73"/>
      <c r="L54" s="531">
        <f t="shared" si="48"/>
        <v>0.38924983563445104</v>
      </c>
      <c r="M54" s="531">
        <f t="shared" si="49"/>
        <v>0.60619066403681787</v>
      </c>
      <c r="N54" s="532">
        <f t="shared" si="50"/>
        <v>0</v>
      </c>
      <c r="O54" s="73"/>
      <c r="P54" s="424">
        <f t="shared" si="51"/>
        <v>0</v>
      </c>
      <c r="Q54" s="73">
        <f t="shared" si="52"/>
        <v>0</v>
      </c>
      <c r="R54" s="73">
        <f t="shared" si="53"/>
        <v>-7605000</v>
      </c>
      <c r="S54" s="73">
        <f t="shared" si="54"/>
        <v>0</v>
      </c>
      <c r="T54" s="547">
        <f t="shared" si="37"/>
        <v>0</v>
      </c>
    </row>
    <row r="55" spans="1:20" x14ac:dyDescent="0.25">
      <c r="A55" s="400" t="str">
        <f t="shared" ref="A55" si="58">+A28</f>
        <v>B5</v>
      </c>
      <c r="B55" s="56" t="s">
        <v>309</v>
      </c>
      <c r="C55" s="424"/>
      <c r="D55" s="73"/>
      <c r="E55" s="73"/>
      <c r="F55" s="435"/>
      <c r="G55" s="73"/>
      <c r="H55" s="424"/>
      <c r="I55" s="73"/>
      <c r="J55" s="459"/>
      <c r="K55" s="73"/>
      <c r="L55" s="531">
        <f t="shared" si="48"/>
        <v>0</v>
      </c>
      <c r="M55" s="531">
        <f t="shared" si="49"/>
        <v>0</v>
      </c>
      <c r="N55" s="532">
        <f t="shared" si="50"/>
        <v>0</v>
      </c>
      <c r="O55" s="73"/>
      <c r="P55" s="424">
        <f t="shared" si="51"/>
        <v>0</v>
      </c>
      <c r="Q55" s="73">
        <f t="shared" si="52"/>
        <v>0</v>
      </c>
      <c r="R55" s="73">
        <f t="shared" si="53"/>
        <v>0</v>
      </c>
      <c r="S55" s="73">
        <f t="shared" si="54"/>
        <v>0</v>
      </c>
      <c r="T55" s="547">
        <f t="shared" si="37"/>
        <v>0</v>
      </c>
    </row>
    <row r="56" spans="1:20" x14ac:dyDescent="0.25">
      <c r="A56" s="400" t="str">
        <f t="shared" ref="A56" si="59">+A29</f>
        <v>B6</v>
      </c>
      <c r="B56" s="56" t="s">
        <v>319</v>
      </c>
      <c r="C56" s="424"/>
      <c r="D56" s="73"/>
      <c r="E56" s="73"/>
      <c r="F56" s="435"/>
      <c r="G56" s="73"/>
      <c r="H56" s="424"/>
      <c r="I56" s="73"/>
      <c r="J56" s="459"/>
      <c r="K56" s="73"/>
      <c r="L56" s="531">
        <f t="shared" si="48"/>
        <v>0</v>
      </c>
      <c r="M56" s="531">
        <f t="shared" si="49"/>
        <v>0</v>
      </c>
      <c r="N56" s="532">
        <f t="shared" si="50"/>
        <v>0</v>
      </c>
      <c r="O56" s="73"/>
      <c r="P56" s="424">
        <f t="shared" si="51"/>
        <v>0</v>
      </c>
      <c r="Q56" s="73">
        <f t="shared" si="52"/>
        <v>0</v>
      </c>
      <c r="R56" s="73">
        <f t="shared" si="53"/>
        <v>0</v>
      </c>
      <c r="S56" s="73">
        <f t="shared" si="54"/>
        <v>0</v>
      </c>
      <c r="T56" s="547">
        <f t="shared" si="37"/>
        <v>0</v>
      </c>
    </row>
    <row r="57" spans="1:20" x14ac:dyDescent="0.25">
      <c r="A57" s="400" t="str">
        <f t="shared" ref="A57" si="60">+A30</f>
        <v>B7</v>
      </c>
      <c r="B57" s="56" t="s">
        <v>323</v>
      </c>
      <c r="C57" s="424"/>
      <c r="D57" s="73"/>
      <c r="E57" s="73"/>
      <c r="F57" s="435"/>
      <c r="G57" s="73"/>
      <c r="H57" s="424"/>
      <c r="I57" s="73"/>
      <c r="J57" s="459"/>
      <c r="K57" s="73"/>
      <c r="L57" s="531">
        <f t="shared" si="48"/>
        <v>0</v>
      </c>
      <c r="M57" s="531">
        <f t="shared" si="49"/>
        <v>0</v>
      </c>
      <c r="N57" s="532">
        <f t="shared" si="50"/>
        <v>0</v>
      </c>
      <c r="O57" s="73"/>
      <c r="P57" s="424">
        <f t="shared" si="51"/>
        <v>0</v>
      </c>
      <c r="Q57" s="73">
        <f t="shared" si="52"/>
        <v>0</v>
      </c>
      <c r="R57" s="73">
        <f t="shared" si="53"/>
        <v>0</v>
      </c>
      <c r="S57" s="73">
        <f t="shared" si="54"/>
        <v>0</v>
      </c>
      <c r="T57" s="547">
        <f t="shared" ref="T57" si="61">IF(S57=0,0,S57/C57)</f>
        <v>0</v>
      </c>
    </row>
    <row r="58" spans="1:20" x14ac:dyDescent="0.25">
      <c r="A58" s="400" t="str">
        <f>+A31</f>
        <v>B8-ból maradványértéken túli finanszírozási bevételek</v>
      </c>
      <c r="B58" s="56"/>
      <c r="C58" s="424">
        <f>+'8. Dr Gáspár HSZK'!C99-C59</f>
        <v>40951920</v>
      </c>
      <c r="D58" s="73">
        <f>+'8. Dr Gáspár HSZK'!D99-D59</f>
        <v>40951920</v>
      </c>
      <c r="E58" s="73">
        <f>+'8. Dr Gáspár HSZK'!E99-E59</f>
        <v>40951920</v>
      </c>
      <c r="F58" s="435">
        <f>+'8. Dr Gáspár HSZK'!F99-F59</f>
        <v>0</v>
      </c>
      <c r="G58" s="73"/>
      <c r="H58" s="424">
        <f>+'8. Dr Gáspár HSZK'!H99-H59</f>
        <v>18876114</v>
      </c>
      <c r="I58" s="73">
        <f>+'8. Dr Gáspár HSZK'!I99-I59</f>
        <v>35174227</v>
      </c>
      <c r="J58" s="459">
        <f>+'8. Dr Gáspár HSZK'!J99-J59</f>
        <v>0</v>
      </c>
      <c r="K58" s="73"/>
      <c r="L58" s="531">
        <f t="shared" si="48"/>
        <v>0.46093355329859992</v>
      </c>
      <c r="M58" s="531">
        <f t="shared" si="49"/>
        <v>0.85891521081307054</v>
      </c>
      <c r="N58" s="532">
        <f t="shared" si="50"/>
        <v>0</v>
      </c>
      <c r="O58" s="73"/>
      <c r="P58" s="424">
        <f t="shared" si="51"/>
        <v>0</v>
      </c>
      <c r="Q58" s="73">
        <f t="shared" si="52"/>
        <v>0</v>
      </c>
      <c r="R58" s="73">
        <f t="shared" si="53"/>
        <v>-40951920</v>
      </c>
      <c r="S58" s="73">
        <f t="shared" si="54"/>
        <v>0</v>
      </c>
      <c r="T58" s="547">
        <f t="shared" si="37"/>
        <v>0</v>
      </c>
    </row>
    <row r="59" spans="1:20" x14ac:dyDescent="0.25">
      <c r="A59" s="400" t="str">
        <f>+A32</f>
        <v>B8-ból előző évi mardvány igénybevétele</v>
      </c>
      <c r="B59" s="56"/>
      <c r="C59" s="424">
        <f>+'8. Dr Gáspár HSZK'!C101</f>
        <v>1878080</v>
      </c>
      <c r="D59" s="73">
        <f>+'8. Dr Gáspár HSZK'!D101</f>
        <v>1878080</v>
      </c>
      <c r="E59" s="73">
        <f>+'8. Dr Gáspár HSZK'!E101</f>
        <v>1878080</v>
      </c>
      <c r="F59" s="435">
        <f>+'8. Dr Gáspár HSZK'!F101</f>
        <v>0</v>
      </c>
      <c r="G59" s="73"/>
      <c r="H59" s="424">
        <f>+'8. Dr Gáspár HSZK'!H101</f>
        <v>1878080</v>
      </c>
      <c r="I59" s="73">
        <f>+'8. Dr Gáspár HSZK'!I101</f>
        <v>1878080</v>
      </c>
      <c r="J59" s="459">
        <f>+'8. Dr Gáspár HSZK'!J101</f>
        <v>0</v>
      </c>
      <c r="K59" s="73"/>
      <c r="L59" s="531">
        <f t="shared" si="48"/>
        <v>1</v>
      </c>
      <c r="M59" s="531">
        <f t="shared" si="49"/>
        <v>1</v>
      </c>
      <c r="N59" s="532">
        <f t="shared" si="50"/>
        <v>0</v>
      </c>
      <c r="O59" s="73"/>
      <c r="P59" s="424">
        <f t="shared" si="51"/>
        <v>0</v>
      </c>
      <c r="Q59" s="73">
        <f t="shared" si="52"/>
        <v>0</v>
      </c>
      <c r="R59" s="73">
        <f t="shared" si="53"/>
        <v>-1878080</v>
      </c>
      <c r="S59" s="73">
        <f t="shared" si="54"/>
        <v>0</v>
      </c>
      <c r="T59" s="547">
        <f t="shared" si="37"/>
        <v>0</v>
      </c>
    </row>
    <row r="60" spans="1:20" x14ac:dyDescent="0.25">
      <c r="A60" s="404"/>
      <c r="B60" s="386" t="s">
        <v>371</v>
      </c>
      <c r="C60" s="426">
        <f>SUM(C51:C59)</f>
        <v>50435000</v>
      </c>
      <c r="D60" s="387">
        <f t="shared" ref="D60" si="62">SUM(D51:D59)</f>
        <v>50435000</v>
      </c>
      <c r="E60" s="387">
        <f t="shared" ref="E60" si="63">SUM(E51:E59)</f>
        <v>50435000</v>
      </c>
      <c r="F60" s="443">
        <f t="shared" ref="F60" si="64">SUM(F51:F59)</f>
        <v>0</v>
      </c>
      <c r="G60" s="387"/>
      <c r="H60" s="426">
        <f t="shared" ref="H60" si="65">SUM(H51:H59)</f>
        <v>23714439</v>
      </c>
      <c r="I60" s="387">
        <f t="shared" ref="I60" si="66">SUM(I51:I59)</f>
        <v>41662387</v>
      </c>
      <c r="J60" s="388">
        <f t="shared" ref="J60" si="67">SUM(J51:J59)</f>
        <v>0</v>
      </c>
      <c r="K60" s="389"/>
      <c r="L60" s="535">
        <f t="shared" si="48"/>
        <v>0.47019805690492711</v>
      </c>
      <c r="M60" s="535">
        <f t="shared" si="49"/>
        <v>0.82606100921978787</v>
      </c>
      <c r="N60" s="536">
        <f t="shared" si="50"/>
        <v>0</v>
      </c>
      <c r="O60" s="389"/>
      <c r="P60" s="426">
        <f t="shared" ref="P60" si="68">SUM(P51:P59)</f>
        <v>0</v>
      </c>
      <c r="Q60" s="387">
        <f t="shared" ref="Q60" si="69">SUM(Q51:Q59)</f>
        <v>0</v>
      </c>
      <c r="R60" s="387">
        <f t="shared" ref="R60" si="70">SUM(R51:R59)</f>
        <v>-50435000</v>
      </c>
      <c r="S60" s="388">
        <f t="shared" ref="S60" si="71">SUM(S51:S59)</f>
        <v>0</v>
      </c>
      <c r="T60" s="548">
        <f t="shared" si="37"/>
        <v>0</v>
      </c>
    </row>
    <row r="61" spans="1:20" x14ac:dyDescent="0.25">
      <c r="A61" s="403"/>
      <c r="B61" s="73"/>
      <c r="C61" s="424"/>
      <c r="D61" s="73"/>
      <c r="E61" s="73"/>
      <c r="F61" s="435"/>
      <c r="G61" s="73"/>
      <c r="H61" s="424"/>
      <c r="I61" s="73"/>
      <c r="J61" s="459"/>
      <c r="K61" s="73"/>
      <c r="L61" s="531"/>
      <c r="M61" s="531"/>
      <c r="N61" s="532"/>
      <c r="O61" s="73"/>
      <c r="P61" s="424"/>
      <c r="Q61" s="73"/>
      <c r="R61" s="73"/>
      <c r="S61" s="73"/>
      <c r="T61" s="549"/>
    </row>
    <row r="62" spans="1:20" ht="13.8" thickBot="1" x14ac:dyDescent="0.3">
      <c r="A62" s="406"/>
      <c r="B62" s="407" t="s">
        <v>451</v>
      </c>
      <c r="C62" s="428">
        <f>+C60-C49</f>
        <v>0</v>
      </c>
      <c r="D62" s="408">
        <f>+D60-D49</f>
        <v>0</v>
      </c>
      <c r="E62" s="408">
        <f>+E60-E49</f>
        <v>0</v>
      </c>
      <c r="F62" s="445">
        <f>+F60-F49</f>
        <v>0</v>
      </c>
      <c r="G62" s="408"/>
      <c r="H62" s="428">
        <f>+H60-H49</f>
        <v>1762513</v>
      </c>
      <c r="I62" s="408">
        <f>+I60-I49</f>
        <v>4433514</v>
      </c>
      <c r="J62" s="410">
        <f>+J60-J49</f>
        <v>0</v>
      </c>
      <c r="K62" s="409"/>
      <c r="L62" s="537">
        <f t="shared" ref="L62" si="72">IF(D62=0,0,H62/D62)</f>
        <v>0</v>
      </c>
      <c r="M62" s="537">
        <f t="shared" ref="M62" si="73">IF(E62=0,0,I62/E62)</f>
        <v>0</v>
      </c>
      <c r="N62" s="538">
        <f t="shared" ref="N62" si="74">IF(F62=0,0,J62/F62)</f>
        <v>0</v>
      </c>
      <c r="O62" s="409"/>
      <c r="P62" s="428">
        <f>+P60-P49</f>
        <v>0</v>
      </c>
      <c r="Q62" s="408">
        <f>+Q60-Q49</f>
        <v>0</v>
      </c>
      <c r="R62" s="408">
        <f>+R60-R49</f>
        <v>0</v>
      </c>
      <c r="S62" s="410">
        <f>+S60-S49</f>
        <v>0</v>
      </c>
      <c r="T62" s="550"/>
    </row>
    <row r="63" spans="1:20" ht="13.8" thickBot="1" x14ac:dyDescent="0.3">
      <c r="C63" s="424"/>
      <c r="D63" s="74"/>
      <c r="E63" s="74"/>
      <c r="F63" s="441"/>
      <c r="G63" s="74"/>
      <c r="H63" s="433"/>
      <c r="I63" s="218"/>
      <c r="J63" s="457"/>
      <c r="K63" s="74"/>
      <c r="L63" s="531"/>
      <c r="M63" s="531"/>
      <c r="N63" s="532"/>
      <c r="O63" s="74"/>
      <c r="P63" s="424"/>
      <c r="Q63" s="73"/>
      <c r="R63" s="73"/>
      <c r="S63" s="73"/>
      <c r="T63" s="549"/>
    </row>
    <row r="64" spans="1:20" ht="13.8" hidden="1" thickBot="1" x14ac:dyDescent="0.3">
      <c r="C64" s="424"/>
      <c r="D64" s="74"/>
      <c r="E64" s="74"/>
      <c r="F64" s="441"/>
      <c r="G64" s="74"/>
      <c r="H64" s="433"/>
      <c r="I64" s="218"/>
      <c r="J64" s="457"/>
      <c r="K64" s="74"/>
      <c r="L64" s="531"/>
      <c r="M64" s="531"/>
      <c r="N64" s="532"/>
      <c r="O64" s="74"/>
      <c r="P64" s="424"/>
      <c r="Q64" s="73"/>
      <c r="R64" s="73"/>
      <c r="S64" s="73"/>
      <c r="T64" s="549"/>
    </row>
    <row r="65" spans="1:20" ht="18" thickBot="1" x14ac:dyDescent="0.35">
      <c r="A65" s="413" t="s">
        <v>469</v>
      </c>
      <c r="B65" s="440"/>
      <c r="D65" s="74"/>
      <c r="E65" s="74"/>
      <c r="F65" s="441"/>
      <c r="G65" s="74"/>
      <c r="H65" s="433"/>
      <c r="I65" s="218"/>
      <c r="J65" s="457"/>
      <c r="K65" s="74"/>
      <c r="L65" s="531"/>
      <c r="M65" s="531"/>
      <c r="N65" s="532"/>
      <c r="O65" s="74"/>
      <c r="P65" s="424"/>
      <c r="Q65" s="73"/>
      <c r="R65" s="73"/>
      <c r="S65" s="73"/>
      <c r="T65" s="549"/>
    </row>
    <row r="66" spans="1:20" x14ac:dyDescent="0.25">
      <c r="A66" s="396"/>
      <c r="B66" s="397"/>
      <c r="C66" s="425"/>
      <c r="D66" s="417"/>
      <c r="E66" s="417"/>
      <c r="F66" s="442"/>
      <c r="G66" s="417"/>
      <c r="H66" s="434"/>
      <c r="I66" s="418"/>
      <c r="J66" s="458"/>
      <c r="K66" s="417"/>
      <c r="L66" s="539"/>
      <c r="M66" s="539"/>
      <c r="N66" s="540"/>
      <c r="O66" s="417"/>
      <c r="P66" s="425"/>
      <c r="Q66" s="416"/>
      <c r="R66" s="416"/>
      <c r="S66" s="416"/>
      <c r="T66" s="551"/>
    </row>
    <row r="67" spans="1:20" x14ac:dyDescent="0.25">
      <c r="A67" s="400" t="s">
        <v>0</v>
      </c>
      <c r="B67" s="56" t="str">
        <f t="shared" ref="B67:B75" si="75">+B40</f>
        <v>Személyi juttatások</v>
      </c>
      <c r="C67" s="424">
        <f>+'6. Csicsergő'!C13</f>
        <v>193790000</v>
      </c>
      <c r="D67" s="73">
        <f>+'6. Csicsergő'!D13</f>
        <v>193790000</v>
      </c>
      <c r="E67" s="73">
        <f>+'6. Csicsergő'!E13</f>
        <v>193790000</v>
      </c>
      <c r="F67" s="435">
        <f>+'6. Csicsergő'!F13</f>
        <v>0</v>
      </c>
      <c r="G67" s="73"/>
      <c r="H67" s="424">
        <f>+'6. Csicsergő'!H13</f>
        <v>90223993</v>
      </c>
      <c r="I67" s="73">
        <f>+'6. Csicsergő'!I13</f>
        <v>137245051</v>
      </c>
      <c r="J67" s="459">
        <f>+'6. Csicsergő'!J13</f>
        <v>0</v>
      </c>
      <c r="K67" s="73"/>
      <c r="L67" s="531">
        <f t="shared" ref="L67:L76" si="76">IF(D67=0,0,H67/D67)</f>
        <v>0.46557610299809071</v>
      </c>
      <c r="M67" s="531">
        <f t="shared" ref="M67:M76" si="77">IF(E67=0,0,I67/E67)</f>
        <v>0.70821534134888287</v>
      </c>
      <c r="N67" s="532">
        <f t="shared" ref="N67:N76" si="78">IF(F67=0,0,J67/F67)</f>
        <v>0</v>
      </c>
      <c r="O67" s="73"/>
      <c r="P67" s="424">
        <f>+'6. Csicsergő'!P13</f>
        <v>0</v>
      </c>
      <c r="Q67" s="73">
        <f>+'6. Csicsergő'!Q13</f>
        <v>0</v>
      </c>
      <c r="R67" s="73">
        <f>+'6. Csicsergő'!R13</f>
        <v>0</v>
      </c>
      <c r="S67" s="73">
        <f>+'6. Csicsergő'!S13</f>
        <v>0</v>
      </c>
      <c r="T67" s="547">
        <f>IF(S67=0,0,S67/C67)</f>
        <v>0</v>
      </c>
    </row>
    <row r="68" spans="1:20" x14ac:dyDescent="0.25">
      <c r="A68" s="400" t="s">
        <v>26</v>
      </c>
      <c r="B68" s="56" t="str">
        <f t="shared" si="75"/>
        <v>Munkaadót terhelő járulékok és szociális hozzájárulás</v>
      </c>
      <c r="C68" s="424">
        <f>+'6. Csicsergő'!C30</f>
        <v>25000000</v>
      </c>
      <c r="D68" s="73">
        <f>+'6. Csicsergő'!D30</f>
        <v>25000000</v>
      </c>
      <c r="E68" s="73">
        <f>+'6. Csicsergő'!E30</f>
        <v>25000000</v>
      </c>
      <c r="F68" s="435">
        <f>+'6. Csicsergő'!F30</f>
        <v>0</v>
      </c>
      <c r="G68" s="73"/>
      <c r="H68" s="424">
        <f>+'6. Csicsergő'!H30</f>
        <v>13078152</v>
      </c>
      <c r="I68" s="73">
        <f>+'6. Csicsergő'!I30</f>
        <v>19369353</v>
      </c>
      <c r="J68" s="459">
        <f>+'6. Csicsergő'!J30</f>
        <v>0</v>
      </c>
      <c r="K68" s="73"/>
      <c r="L68" s="531">
        <f t="shared" si="76"/>
        <v>0.52312608000000005</v>
      </c>
      <c r="M68" s="531">
        <f t="shared" si="77"/>
        <v>0.77477412000000001</v>
      </c>
      <c r="N68" s="532">
        <f t="shared" si="78"/>
        <v>0</v>
      </c>
      <c r="O68" s="73"/>
      <c r="P68" s="424">
        <f>+'6. Csicsergő'!P30</f>
        <v>0</v>
      </c>
      <c r="Q68" s="73">
        <f>+'6. Csicsergő'!Q30</f>
        <v>0</v>
      </c>
      <c r="R68" s="73">
        <f>+'6. Csicsergő'!R30</f>
        <v>0</v>
      </c>
      <c r="S68" s="73">
        <f>+'6. Csicsergő'!S30</f>
        <v>0</v>
      </c>
      <c r="T68" s="547">
        <f t="shared" ref="T68:T87" si="79">IF(S68=0,0,S68/C68)</f>
        <v>0</v>
      </c>
    </row>
    <row r="69" spans="1:20" x14ac:dyDescent="0.25">
      <c r="A69" s="400" t="s">
        <v>29</v>
      </c>
      <c r="B69" s="56" t="str">
        <f t="shared" si="75"/>
        <v>Dologi kiadások</v>
      </c>
      <c r="C69" s="424">
        <f>+'6. Csicsergő'!C33</f>
        <v>11646000</v>
      </c>
      <c r="D69" s="73">
        <f>+'6. Csicsergő'!D33</f>
        <v>11646000</v>
      </c>
      <c r="E69" s="73">
        <f>+'6. Csicsergő'!E33</f>
        <v>11646000</v>
      </c>
      <c r="F69" s="435">
        <f>+'6. Csicsergő'!F33</f>
        <v>0</v>
      </c>
      <c r="G69" s="73"/>
      <c r="H69" s="424">
        <f>+'6. Csicsergő'!H33</f>
        <v>7163057</v>
      </c>
      <c r="I69" s="73">
        <f>+'6. Csicsergő'!I33</f>
        <v>9537641</v>
      </c>
      <c r="J69" s="459">
        <f>+'6. Csicsergő'!J33</f>
        <v>0</v>
      </c>
      <c r="K69" s="73"/>
      <c r="L69" s="531">
        <f t="shared" si="76"/>
        <v>0.61506585952258286</v>
      </c>
      <c r="M69" s="531">
        <f t="shared" si="77"/>
        <v>0.81896281985230979</v>
      </c>
      <c r="N69" s="532">
        <f t="shared" si="78"/>
        <v>0</v>
      </c>
      <c r="O69" s="73"/>
      <c r="P69" s="424">
        <f>+'6. Csicsergő'!P33</f>
        <v>0</v>
      </c>
      <c r="Q69" s="73">
        <f>+'6. Csicsergő'!Q33</f>
        <v>0</v>
      </c>
      <c r="R69" s="73">
        <f>+'6. Csicsergő'!R33</f>
        <v>0</v>
      </c>
      <c r="S69" s="73">
        <f>+'6. Csicsergő'!S33</f>
        <v>0</v>
      </c>
      <c r="T69" s="547">
        <f t="shared" si="79"/>
        <v>0</v>
      </c>
    </row>
    <row r="70" spans="1:20" x14ac:dyDescent="0.25">
      <c r="A70" s="400" t="s">
        <v>111</v>
      </c>
      <c r="B70" s="56" t="str">
        <f t="shared" si="75"/>
        <v>Elláttotak pénzbeli juttatásai</v>
      </c>
      <c r="C70" s="424"/>
      <c r="D70" s="73"/>
      <c r="E70" s="73"/>
      <c r="F70" s="435"/>
      <c r="G70" s="73"/>
      <c r="H70" s="424"/>
      <c r="I70" s="73"/>
      <c r="J70" s="459"/>
      <c r="K70" s="73"/>
      <c r="L70" s="531">
        <f t="shared" si="76"/>
        <v>0</v>
      </c>
      <c r="M70" s="531">
        <f t="shared" si="77"/>
        <v>0</v>
      </c>
      <c r="N70" s="532">
        <f t="shared" si="78"/>
        <v>0</v>
      </c>
      <c r="O70" s="73"/>
      <c r="P70" s="424"/>
      <c r="Q70" s="73"/>
      <c r="R70" s="73"/>
      <c r="S70" s="73"/>
      <c r="T70" s="547">
        <f t="shared" si="79"/>
        <v>0</v>
      </c>
    </row>
    <row r="71" spans="1:20" x14ac:dyDescent="0.25">
      <c r="A71" s="401" t="s">
        <v>370</v>
      </c>
      <c r="B71" s="56" t="str">
        <f t="shared" si="75"/>
        <v>Egyéb működési célú kiadások</v>
      </c>
      <c r="C71" s="424"/>
      <c r="D71" s="73"/>
      <c r="E71" s="73"/>
      <c r="F71" s="435"/>
      <c r="G71" s="73"/>
      <c r="H71" s="424"/>
      <c r="I71" s="73"/>
      <c r="J71" s="459"/>
      <c r="K71" s="73"/>
      <c r="L71" s="531">
        <f t="shared" si="76"/>
        <v>0</v>
      </c>
      <c r="M71" s="531">
        <f t="shared" si="77"/>
        <v>0</v>
      </c>
      <c r="N71" s="532">
        <f t="shared" si="78"/>
        <v>0</v>
      </c>
      <c r="O71" s="73"/>
      <c r="P71" s="424"/>
      <c r="Q71" s="73"/>
      <c r="R71" s="73"/>
      <c r="S71" s="73"/>
      <c r="T71" s="547">
        <f t="shared" si="79"/>
        <v>0</v>
      </c>
    </row>
    <row r="72" spans="1:20" x14ac:dyDescent="0.25">
      <c r="A72" s="400" t="s">
        <v>158</v>
      </c>
      <c r="B72" s="56" t="str">
        <f t="shared" si="75"/>
        <v>Beruházások</v>
      </c>
      <c r="C72" s="424">
        <f>+'6. Csicsergő'!C84</f>
        <v>3150000</v>
      </c>
      <c r="D72" s="73">
        <f>+'6. Csicsergő'!D84</f>
        <v>3150000</v>
      </c>
      <c r="E72" s="73">
        <f>+'6. Csicsergő'!E84</f>
        <v>3150000</v>
      </c>
      <c r="F72" s="435">
        <f>+'6. Csicsergő'!F84</f>
        <v>0</v>
      </c>
      <c r="G72" s="73"/>
      <c r="H72" s="424">
        <f>+'6. Csicsergő'!H84</f>
        <v>2648999</v>
      </c>
      <c r="I72" s="73">
        <f>+'6. Csicsergő'!I84</f>
        <v>2648999</v>
      </c>
      <c r="J72" s="459">
        <f>+'6. Csicsergő'!J84</f>
        <v>0</v>
      </c>
      <c r="K72" s="73"/>
      <c r="L72" s="531">
        <f t="shared" si="76"/>
        <v>0.84095206349206353</v>
      </c>
      <c r="M72" s="531">
        <f t="shared" si="77"/>
        <v>0.84095206349206353</v>
      </c>
      <c r="N72" s="532">
        <f t="shared" si="78"/>
        <v>0</v>
      </c>
      <c r="O72" s="73"/>
      <c r="P72" s="424">
        <f>+'6. Csicsergő'!P84</f>
        <v>0</v>
      </c>
      <c r="Q72" s="73">
        <f>+'6. Csicsergő'!Q84</f>
        <v>0</v>
      </c>
      <c r="R72" s="73">
        <f>+'6. Csicsergő'!R84</f>
        <v>0</v>
      </c>
      <c r="S72" s="73">
        <f>+'6. Csicsergő'!S84</f>
        <v>0</v>
      </c>
      <c r="T72" s="547">
        <f t="shared" si="79"/>
        <v>0</v>
      </c>
    </row>
    <row r="73" spans="1:20" x14ac:dyDescent="0.25">
      <c r="A73" s="400" t="s">
        <v>173</v>
      </c>
      <c r="B73" s="56" t="str">
        <f t="shared" si="75"/>
        <v>Felújítások</v>
      </c>
      <c r="C73" s="424">
        <f>+'6. Csicsergő'!C87</f>
        <v>0</v>
      </c>
      <c r="D73" s="73">
        <f>+'6. Csicsergő'!D87</f>
        <v>0</v>
      </c>
      <c r="E73" s="73">
        <f>+'6. Csicsergő'!E87</f>
        <v>0</v>
      </c>
      <c r="F73" s="435">
        <f>+'6. Csicsergő'!F87</f>
        <v>0</v>
      </c>
      <c r="G73" s="73"/>
      <c r="H73" s="424">
        <f>+'6. Csicsergő'!H87</f>
        <v>0</v>
      </c>
      <c r="I73" s="73">
        <f>+'6. Csicsergő'!I87</f>
        <v>0</v>
      </c>
      <c r="J73" s="459">
        <f>+'6. Csicsergő'!J87</f>
        <v>0</v>
      </c>
      <c r="K73" s="73"/>
      <c r="L73" s="531">
        <f t="shared" si="76"/>
        <v>0</v>
      </c>
      <c r="M73" s="531">
        <f t="shared" si="77"/>
        <v>0</v>
      </c>
      <c r="N73" s="532">
        <f t="shared" si="78"/>
        <v>0</v>
      </c>
      <c r="O73" s="73"/>
      <c r="P73" s="424">
        <f>+'6. Csicsergő'!P87</f>
        <v>0</v>
      </c>
      <c r="Q73" s="73">
        <f>+'6. Csicsergő'!Q87</f>
        <v>0</v>
      </c>
      <c r="R73" s="73">
        <f>+'6. Csicsergő'!R87</f>
        <v>0</v>
      </c>
      <c r="S73" s="73">
        <f>+'6. Csicsergő'!S87</f>
        <v>0</v>
      </c>
      <c r="T73" s="547">
        <f t="shared" si="79"/>
        <v>0</v>
      </c>
    </row>
    <row r="74" spans="1:20" x14ac:dyDescent="0.25">
      <c r="A74" s="400" t="s">
        <v>183</v>
      </c>
      <c r="B74" s="56" t="str">
        <f t="shared" si="75"/>
        <v>Szolgáltatások kiadásai</v>
      </c>
      <c r="C74" s="424"/>
      <c r="D74" s="73"/>
      <c r="E74" s="73"/>
      <c r="F74" s="435"/>
      <c r="G74" s="73"/>
      <c r="H74" s="424"/>
      <c r="I74" s="73"/>
      <c r="J74" s="459"/>
      <c r="K74" s="73"/>
      <c r="L74" s="531">
        <f t="shared" si="76"/>
        <v>0</v>
      </c>
      <c r="M74" s="531">
        <f t="shared" si="77"/>
        <v>0</v>
      </c>
      <c r="N74" s="532">
        <f t="shared" si="78"/>
        <v>0</v>
      </c>
      <c r="O74" s="73"/>
      <c r="P74" s="424"/>
      <c r="Q74" s="73"/>
      <c r="R74" s="73"/>
      <c r="S74" s="73"/>
      <c r="T74" s="547">
        <f t="shared" si="79"/>
        <v>0</v>
      </c>
    </row>
    <row r="75" spans="1:20" x14ac:dyDescent="0.25">
      <c r="A75" s="400" t="s">
        <v>200</v>
      </c>
      <c r="B75" s="56" t="str">
        <f t="shared" si="75"/>
        <v>Finanszírozási kiadások</v>
      </c>
      <c r="C75" s="403"/>
      <c r="F75" s="446"/>
      <c r="H75" s="403"/>
      <c r="J75" s="457"/>
      <c r="L75" s="531">
        <f t="shared" si="76"/>
        <v>0</v>
      </c>
      <c r="M75" s="531">
        <f t="shared" si="77"/>
        <v>0</v>
      </c>
      <c r="N75" s="532">
        <f t="shared" si="78"/>
        <v>0</v>
      </c>
      <c r="P75" s="403"/>
      <c r="T75" s="547">
        <f t="shared" si="79"/>
        <v>0</v>
      </c>
    </row>
    <row r="76" spans="1:20" x14ac:dyDescent="0.25">
      <c r="A76" s="402"/>
      <c r="B76" s="386" t="s">
        <v>372</v>
      </c>
      <c r="C76" s="426">
        <f>SUM(C67:C75)</f>
        <v>233586000</v>
      </c>
      <c r="D76" s="387">
        <f t="shared" ref="D76" si="80">SUM(D67:D75)</f>
        <v>233586000</v>
      </c>
      <c r="E76" s="387">
        <f t="shared" ref="E76" si="81">SUM(E67:E75)</f>
        <v>233586000</v>
      </c>
      <c r="F76" s="443">
        <f t="shared" ref="F76" si="82">SUM(F67:F75)</f>
        <v>0</v>
      </c>
      <c r="G76" s="387"/>
      <c r="H76" s="426">
        <f t="shared" ref="H76" si="83">SUM(H67:H75)</f>
        <v>113114201</v>
      </c>
      <c r="I76" s="387">
        <f t="shared" ref="I76" si="84">SUM(I67:I75)</f>
        <v>168801044</v>
      </c>
      <c r="J76" s="388">
        <f t="shared" ref="J76" si="85">SUM(J67:J75)</f>
        <v>0</v>
      </c>
      <c r="K76" s="204"/>
      <c r="L76" s="533">
        <f t="shared" si="76"/>
        <v>0.48425077273466732</v>
      </c>
      <c r="M76" s="533">
        <f t="shared" si="77"/>
        <v>0.72265051843860506</v>
      </c>
      <c r="N76" s="534">
        <f t="shared" si="78"/>
        <v>0</v>
      </c>
      <c r="O76" s="204"/>
      <c r="P76" s="426">
        <f t="shared" ref="P76" si="86">SUM(P67:P75)</f>
        <v>0</v>
      </c>
      <c r="Q76" s="387">
        <f t="shared" ref="Q76" si="87">SUM(Q67:Q75)</f>
        <v>0</v>
      </c>
      <c r="R76" s="387">
        <f t="shared" ref="R76" si="88">SUM(R67:R75)</f>
        <v>0</v>
      </c>
      <c r="S76" s="388">
        <f t="shared" ref="S76" si="89">SUM(S67:S75)</f>
        <v>0</v>
      </c>
      <c r="T76" s="548">
        <f t="shared" si="79"/>
        <v>0</v>
      </c>
    </row>
    <row r="77" spans="1:20" x14ac:dyDescent="0.25">
      <c r="A77" s="403"/>
      <c r="C77" s="403"/>
      <c r="F77" s="446"/>
      <c r="H77" s="403"/>
      <c r="J77" s="457"/>
      <c r="L77" s="531"/>
      <c r="M77" s="531"/>
      <c r="N77" s="532"/>
      <c r="P77" s="403"/>
      <c r="T77" s="547"/>
    </row>
    <row r="78" spans="1:20" x14ac:dyDescent="0.25">
      <c r="A78" s="400" t="str">
        <f t="shared" ref="A78:B84" si="90">+A51</f>
        <v>B1</v>
      </c>
      <c r="B78" s="56" t="str">
        <f t="shared" si="90"/>
        <v>Működési célú tám-ok államháztartáson belülről</v>
      </c>
      <c r="C78" s="424">
        <f>+'6. Csicsergő'!C93</f>
        <v>0</v>
      </c>
      <c r="D78" s="73">
        <f>+'6. Csicsergő'!D93</f>
        <v>0</v>
      </c>
      <c r="E78" s="73">
        <f>+'6. Csicsergő'!E93</f>
        <v>0</v>
      </c>
      <c r="F78" s="435">
        <f>+'6. Csicsergő'!F93</f>
        <v>0</v>
      </c>
      <c r="G78" s="73"/>
      <c r="H78" s="424">
        <f>+'6. Csicsergő'!H93</f>
        <v>0</v>
      </c>
      <c r="I78" s="73">
        <f>+'6. Csicsergő'!I93</f>
        <v>0</v>
      </c>
      <c r="J78" s="459">
        <f>+'6. Csicsergő'!J93</f>
        <v>0</v>
      </c>
      <c r="K78" s="73"/>
      <c r="L78" s="531">
        <f t="shared" ref="L78:L87" si="91">IF(D78=0,0,H78/D78)</f>
        <v>0</v>
      </c>
      <c r="M78" s="531">
        <f t="shared" ref="M78:M87" si="92">IF(E78=0,0,I78/E78)</f>
        <v>0</v>
      </c>
      <c r="N78" s="532">
        <f t="shared" ref="N78:N87" si="93">IF(F78=0,0,J78/F78)</f>
        <v>0</v>
      </c>
      <c r="O78" s="73"/>
      <c r="P78" s="424">
        <f>+'6. Csicsergő'!P93</f>
        <v>0</v>
      </c>
      <c r="Q78" s="73">
        <f>+'6. Csicsergő'!Q93</f>
        <v>0</v>
      </c>
      <c r="R78" s="73">
        <f>+'6. Csicsergő'!R93</f>
        <v>0</v>
      </c>
      <c r="S78" s="73">
        <f>+'6. Csicsergő'!S93</f>
        <v>0</v>
      </c>
      <c r="T78" s="547">
        <f t="shared" si="79"/>
        <v>0</v>
      </c>
    </row>
    <row r="79" spans="1:20" x14ac:dyDescent="0.25">
      <c r="A79" s="400" t="str">
        <f t="shared" si="90"/>
        <v>B2</v>
      </c>
      <c r="B79" s="56" t="str">
        <f t="shared" si="90"/>
        <v>Felhalmozási célú tám-ok államházt-on belülről</v>
      </c>
      <c r="C79" s="424"/>
      <c r="D79" s="73"/>
      <c r="E79" s="73"/>
      <c r="F79" s="435"/>
      <c r="G79" s="73"/>
      <c r="H79" s="424"/>
      <c r="I79" s="73"/>
      <c r="J79" s="459"/>
      <c r="K79" s="73"/>
      <c r="L79" s="531">
        <f t="shared" si="91"/>
        <v>0</v>
      </c>
      <c r="M79" s="531">
        <f t="shared" si="92"/>
        <v>0</v>
      </c>
      <c r="N79" s="532">
        <f t="shared" si="93"/>
        <v>0</v>
      </c>
      <c r="O79" s="73"/>
      <c r="P79" s="424"/>
      <c r="Q79" s="73"/>
      <c r="R79" s="73"/>
      <c r="S79" s="73"/>
      <c r="T79" s="547">
        <f t="shared" si="79"/>
        <v>0</v>
      </c>
    </row>
    <row r="80" spans="1:20" x14ac:dyDescent="0.25">
      <c r="A80" s="400" t="str">
        <f t="shared" si="90"/>
        <v>B3</v>
      </c>
      <c r="B80" s="56" t="str">
        <f t="shared" si="90"/>
        <v>Közhatalmi bevételek</v>
      </c>
      <c r="C80" s="424"/>
      <c r="D80" s="73"/>
      <c r="E80" s="73"/>
      <c r="F80" s="435"/>
      <c r="G80" s="73"/>
      <c r="H80" s="424"/>
      <c r="I80" s="73"/>
      <c r="J80" s="459"/>
      <c r="K80" s="73"/>
      <c r="L80" s="531">
        <f t="shared" si="91"/>
        <v>0</v>
      </c>
      <c r="M80" s="531">
        <f t="shared" si="92"/>
        <v>0</v>
      </c>
      <c r="N80" s="532">
        <f t="shared" si="93"/>
        <v>0</v>
      </c>
      <c r="O80" s="73"/>
      <c r="P80" s="424"/>
      <c r="Q80" s="73"/>
      <c r="R80" s="73"/>
      <c r="S80" s="73"/>
      <c r="T80" s="547">
        <f t="shared" si="79"/>
        <v>0</v>
      </c>
    </row>
    <row r="81" spans="1:20" x14ac:dyDescent="0.25">
      <c r="A81" s="400" t="str">
        <f t="shared" si="90"/>
        <v>B4</v>
      </c>
      <c r="B81" s="56" t="str">
        <f t="shared" si="90"/>
        <v>Működési bevételek</v>
      </c>
      <c r="C81" s="424">
        <f>+'6. Csicsergő'!C95</f>
        <v>5000</v>
      </c>
      <c r="D81" s="73">
        <f>+'6. Csicsergő'!D95</f>
        <v>5000</v>
      </c>
      <c r="E81" s="73">
        <f>+'6. Csicsergő'!E95</f>
        <v>5000</v>
      </c>
      <c r="F81" s="435">
        <f>+'6. Csicsergő'!F95</f>
        <v>0</v>
      </c>
      <c r="G81" s="73"/>
      <c r="H81" s="424">
        <f>+'6. Csicsergő'!H95</f>
        <v>1920</v>
      </c>
      <c r="I81" s="73">
        <f>+'6. Csicsergő'!I95</f>
        <v>2397</v>
      </c>
      <c r="J81" s="459">
        <f>+'6. Csicsergő'!J95</f>
        <v>0</v>
      </c>
      <c r="K81" s="73"/>
      <c r="L81" s="531">
        <f t="shared" si="91"/>
        <v>0.38400000000000001</v>
      </c>
      <c r="M81" s="531">
        <f t="shared" si="92"/>
        <v>0.47939999999999999</v>
      </c>
      <c r="N81" s="532">
        <f t="shared" si="93"/>
        <v>0</v>
      </c>
      <c r="O81" s="73"/>
      <c r="P81" s="424">
        <f>+'6. Csicsergő'!P95</f>
        <v>0</v>
      </c>
      <c r="Q81" s="73">
        <f>+'6. Csicsergő'!Q95</f>
        <v>0</v>
      </c>
      <c r="R81" s="73">
        <f>+'6. Csicsergő'!R95</f>
        <v>0</v>
      </c>
      <c r="S81" s="73">
        <f>+'6. Csicsergő'!S95</f>
        <v>0</v>
      </c>
      <c r="T81" s="547">
        <f t="shared" si="79"/>
        <v>0</v>
      </c>
    </row>
    <row r="82" spans="1:20" x14ac:dyDescent="0.25">
      <c r="A82" s="400" t="str">
        <f t="shared" si="90"/>
        <v>B5</v>
      </c>
      <c r="B82" s="56" t="str">
        <f t="shared" si="90"/>
        <v>Felhalmozási bevételek</v>
      </c>
      <c r="C82" s="424"/>
      <c r="D82" s="73"/>
      <c r="E82" s="73"/>
      <c r="F82" s="435"/>
      <c r="G82" s="73"/>
      <c r="H82" s="424"/>
      <c r="I82" s="73"/>
      <c r="J82" s="459"/>
      <c r="K82" s="73"/>
      <c r="L82" s="531">
        <f t="shared" si="91"/>
        <v>0</v>
      </c>
      <c r="M82" s="531">
        <f t="shared" si="92"/>
        <v>0</v>
      </c>
      <c r="N82" s="532">
        <f t="shared" si="93"/>
        <v>0</v>
      </c>
      <c r="O82" s="73"/>
      <c r="P82" s="424"/>
      <c r="Q82" s="73"/>
      <c r="R82" s="73"/>
      <c r="S82" s="73"/>
      <c r="T82" s="547">
        <f t="shared" si="79"/>
        <v>0</v>
      </c>
    </row>
    <row r="83" spans="1:20" x14ac:dyDescent="0.25">
      <c r="A83" s="400" t="str">
        <f t="shared" si="90"/>
        <v>B6</v>
      </c>
      <c r="B83" s="56" t="str">
        <f t="shared" si="90"/>
        <v>Működési célú átvett pénzeszközök</v>
      </c>
      <c r="C83" s="424"/>
      <c r="D83" s="73"/>
      <c r="E83" s="73"/>
      <c r="F83" s="435"/>
      <c r="G83" s="73"/>
      <c r="H83" s="424"/>
      <c r="I83" s="73"/>
      <c r="J83" s="459"/>
      <c r="K83" s="73"/>
      <c r="L83" s="531">
        <f t="shared" si="91"/>
        <v>0</v>
      </c>
      <c r="M83" s="531">
        <f t="shared" si="92"/>
        <v>0</v>
      </c>
      <c r="N83" s="532">
        <f t="shared" si="93"/>
        <v>0</v>
      </c>
      <c r="O83" s="73"/>
      <c r="P83" s="424"/>
      <c r="Q83" s="73"/>
      <c r="R83" s="73"/>
      <c r="S83" s="73"/>
      <c r="T83" s="547">
        <f t="shared" si="79"/>
        <v>0</v>
      </c>
    </row>
    <row r="84" spans="1:20" x14ac:dyDescent="0.25">
      <c r="A84" s="400" t="str">
        <f t="shared" si="90"/>
        <v>B7</v>
      </c>
      <c r="B84" s="56" t="str">
        <f t="shared" si="90"/>
        <v>Felhalmozási célú átvett pénzeszközök</v>
      </c>
      <c r="C84" s="424"/>
      <c r="D84" s="73"/>
      <c r="E84" s="73"/>
      <c r="F84" s="435"/>
      <c r="G84" s="73"/>
      <c r="H84" s="424"/>
      <c r="I84" s="73"/>
      <c r="J84" s="459"/>
      <c r="K84" s="73"/>
      <c r="L84" s="531">
        <f t="shared" si="91"/>
        <v>0</v>
      </c>
      <c r="M84" s="531">
        <f t="shared" si="92"/>
        <v>0</v>
      </c>
      <c r="N84" s="532">
        <f t="shared" si="93"/>
        <v>0</v>
      </c>
      <c r="O84" s="73"/>
      <c r="P84" s="424"/>
      <c r="Q84" s="73"/>
      <c r="R84" s="73"/>
      <c r="S84" s="73"/>
      <c r="T84" s="547">
        <f t="shared" si="79"/>
        <v>0</v>
      </c>
    </row>
    <row r="85" spans="1:20" x14ac:dyDescent="0.25">
      <c r="A85" s="400" t="str">
        <f>+A58</f>
        <v>B8-ból maradványértéken túli finanszírozási bevételek</v>
      </c>
      <c r="B85" s="56"/>
      <c r="C85" s="424">
        <f>+'6. Csicsergő'!C99-C86</f>
        <v>233250594</v>
      </c>
      <c r="D85" s="73">
        <f>+'6. Csicsergő'!D99-D86</f>
        <v>233250594</v>
      </c>
      <c r="E85" s="73">
        <f>+'6. Csicsergő'!E99-E86</f>
        <v>233250594</v>
      </c>
      <c r="F85" s="435">
        <f>+'6. Csicsergő'!F99-F86</f>
        <v>0</v>
      </c>
      <c r="G85" s="73"/>
      <c r="H85" s="424">
        <f>+'6. Csicsergő'!H99-H86</f>
        <v>116504525</v>
      </c>
      <c r="I85" s="73">
        <f>+'6. Csicsergő'!I99-I86</f>
        <v>173204799</v>
      </c>
      <c r="J85" s="459">
        <f>+'6. Csicsergő'!J99-J86</f>
        <v>0</v>
      </c>
      <c r="K85" s="73"/>
      <c r="L85" s="531">
        <f t="shared" si="91"/>
        <v>0.49948222211172588</v>
      </c>
      <c r="M85" s="531">
        <f t="shared" si="92"/>
        <v>0.74256959448514848</v>
      </c>
      <c r="N85" s="532">
        <f t="shared" si="93"/>
        <v>0</v>
      </c>
      <c r="O85" s="73"/>
      <c r="P85" s="424">
        <f>+'6. Csicsergő'!P99-P86</f>
        <v>0</v>
      </c>
      <c r="Q85" s="73">
        <f>+'6. Csicsergő'!Q99-Q86</f>
        <v>0</v>
      </c>
      <c r="R85" s="73">
        <f>+'6. Csicsergő'!R99-R86</f>
        <v>0</v>
      </c>
      <c r="S85" s="73">
        <f>+'6. Csicsergő'!S99-S86</f>
        <v>0</v>
      </c>
      <c r="T85" s="547">
        <f t="shared" si="79"/>
        <v>0</v>
      </c>
    </row>
    <row r="86" spans="1:20" x14ac:dyDescent="0.25">
      <c r="A86" s="400" t="str">
        <f>+A59</f>
        <v>B8-ból előző évi mardvány igénybevétele</v>
      </c>
      <c r="B86" s="56"/>
      <c r="C86" s="424">
        <f>+'6. Csicsergő'!C101</f>
        <v>330406</v>
      </c>
      <c r="D86" s="73">
        <f>+'6. Csicsergő'!D101</f>
        <v>330406</v>
      </c>
      <c r="E86" s="73">
        <f>+'6. Csicsergő'!E101</f>
        <v>330406</v>
      </c>
      <c r="F86" s="435">
        <f>+'6. Csicsergő'!F101</f>
        <v>0</v>
      </c>
      <c r="G86" s="73"/>
      <c r="H86" s="424">
        <f>+'6. Csicsergő'!H101</f>
        <v>330406</v>
      </c>
      <c r="I86" s="73">
        <f>+'6. Csicsergő'!I101</f>
        <v>330406</v>
      </c>
      <c r="J86" s="459">
        <f>+'6. Csicsergő'!J101</f>
        <v>0</v>
      </c>
      <c r="K86" s="73"/>
      <c r="L86" s="531">
        <f t="shared" si="91"/>
        <v>1</v>
      </c>
      <c r="M86" s="531">
        <f t="shared" si="92"/>
        <v>1</v>
      </c>
      <c r="N86" s="532">
        <f t="shared" si="93"/>
        <v>0</v>
      </c>
      <c r="O86" s="73"/>
      <c r="P86" s="424">
        <f>+'6. Csicsergő'!P101</f>
        <v>0</v>
      </c>
      <c r="Q86" s="73">
        <f>+'6. Csicsergő'!Q101</f>
        <v>0</v>
      </c>
      <c r="R86" s="73">
        <f>+'6. Csicsergő'!R101</f>
        <v>0</v>
      </c>
      <c r="S86" s="73">
        <f>+'6. Csicsergő'!S101</f>
        <v>0</v>
      </c>
      <c r="T86" s="547">
        <f t="shared" si="79"/>
        <v>0</v>
      </c>
    </row>
    <row r="87" spans="1:20" x14ac:dyDescent="0.25">
      <c r="A87" s="404"/>
      <c r="B87" s="386" t="s">
        <v>371</v>
      </c>
      <c r="C87" s="426">
        <f>SUM(C78:C86)</f>
        <v>233586000</v>
      </c>
      <c r="D87" s="387">
        <f t="shared" ref="D87" si="94">SUM(D78:D86)</f>
        <v>233586000</v>
      </c>
      <c r="E87" s="387">
        <f t="shared" ref="E87" si="95">SUM(E78:E86)</f>
        <v>233586000</v>
      </c>
      <c r="F87" s="443">
        <f t="shared" ref="F87" si="96">SUM(F78:F86)</f>
        <v>0</v>
      </c>
      <c r="G87" s="387"/>
      <c r="H87" s="426">
        <f t="shared" ref="H87" si="97">SUM(H78:H86)</f>
        <v>116836851</v>
      </c>
      <c r="I87" s="387">
        <f t="shared" ref="I87" si="98">SUM(I78:I86)</f>
        <v>173537602</v>
      </c>
      <c r="J87" s="388">
        <f t="shared" ref="J87" si="99">SUM(J78:J86)</f>
        <v>0</v>
      </c>
      <c r="K87" s="389"/>
      <c r="L87" s="535">
        <f t="shared" si="91"/>
        <v>0.50018772957283397</v>
      </c>
      <c r="M87" s="535">
        <f t="shared" si="92"/>
        <v>0.74292809500569379</v>
      </c>
      <c r="N87" s="536">
        <f t="shared" si="93"/>
        <v>0</v>
      </c>
      <c r="O87" s="389"/>
      <c r="P87" s="426">
        <f t="shared" ref="P87" si="100">SUM(P78:P86)</f>
        <v>0</v>
      </c>
      <c r="Q87" s="387">
        <f t="shared" ref="Q87" si="101">SUM(Q78:Q86)</f>
        <v>0</v>
      </c>
      <c r="R87" s="387">
        <f t="shared" ref="R87" si="102">SUM(R78:R86)</f>
        <v>0</v>
      </c>
      <c r="S87" s="388">
        <f t="shared" ref="S87" si="103">SUM(S78:S86)</f>
        <v>0</v>
      </c>
      <c r="T87" s="548">
        <f t="shared" si="79"/>
        <v>0</v>
      </c>
    </row>
    <row r="88" spans="1:20" x14ac:dyDescent="0.25">
      <c r="A88" s="403"/>
      <c r="B88" s="73"/>
      <c r="C88" s="424"/>
      <c r="D88" s="73"/>
      <c r="E88" s="73"/>
      <c r="F88" s="435"/>
      <c r="G88" s="73"/>
      <c r="H88" s="424"/>
      <c r="I88" s="73"/>
      <c r="J88" s="459"/>
      <c r="K88" s="73"/>
      <c r="L88" s="531"/>
      <c r="M88" s="531"/>
      <c r="N88" s="532"/>
      <c r="O88" s="73"/>
      <c r="P88" s="424"/>
      <c r="Q88" s="73"/>
      <c r="R88" s="73"/>
      <c r="S88" s="73"/>
      <c r="T88" s="549"/>
    </row>
    <row r="89" spans="1:20" ht="13.8" thickBot="1" x14ac:dyDescent="0.3">
      <c r="A89" s="406"/>
      <c r="B89" s="407" t="s">
        <v>451</v>
      </c>
      <c r="C89" s="428">
        <f>+C87-C76</f>
        <v>0</v>
      </c>
      <c r="D89" s="408">
        <f>+D87-D76</f>
        <v>0</v>
      </c>
      <c r="E89" s="408">
        <f>+E87-E76</f>
        <v>0</v>
      </c>
      <c r="F89" s="445">
        <f>+F87-F76</f>
        <v>0</v>
      </c>
      <c r="G89" s="408"/>
      <c r="H89" s="428">
        <f>+H87-H76</f>
        <v>3722650</v>
      </c>
      <c r="I89" s="408">
        <f>+I87-I76</f>
        <v>4736558</v>
      </c>
      <c r="J89" s="410">
        <f>+J87-J76</f>
        <v>0</v>
      </c>
      <c r="K89" s="409"/>
      <c r="L89" s="537">
        <f t="shared" ref="L89" si="104">IF(D89=0,0,H89/D89)</f>
        <v>0</v>
      </c>
      <c r="M89" s="537">
        <f t="shared" ref="M89" si="105">IF(E89=0,0,I89/E89)</f>
        <v>0</v>
      </c>
      <c r="N89" s="538">
        <f t="shared" ref="N89" si="106">IF(F89=0,0,J89/F89)</f>
        <v>0</v>
      </c>
      <c r="O89" s="409"/>
      <c r="P89" s="428">
        <f>+P87-P76</f>
        <v>0</v>
      </c>
      <c r="Q89" s="408">
        <f>+Q87-Q76</f>
        <v>0</v>
      </c>
      <c r="R89" s="408">
        <f>+R87-R76</f>
        <v>0</v>
      </c>
      <c r="S89" s="410">
        <f>+S87-S76</f>
        <v>0</v>
      </c>
      <c r="T89" s="550"/>
    </row>
    <row r="90" spans="1:20" x14ac:dyDescent="0.25">
      <c r="A90" s="56"/>
      <c r="B90" s="56"/>
      <c r="C90" s="424"/>
      <c r="D90" s="73"/>
      <c r="E90" s="73"/>
      <c r="F90" s="435"/>
      <c r="G90" s="73"/>
      <c r="H90" s="424"/>
      <c r="I90" s="73"/>
      <c r="J90" s="459"/>
      <c r="K90" s="73"/>
      <c r="L90" s="531"/>
      <c r="M90" s="531"/>
      <c r="N90" s="532"/>
      <c r="O90" s="73"/>
      <c r="P90" s="424"/>
      <c r="Q90" s="73"/>
      <c r="R90" s="73"/>
      <c r="S90" s="73"/>
      <c r="T90" s="549"/>
    </row>
    <row r="91" spans="1:20" ht="13.8" thickBot="1" x14ac:dyDescent="0.3">
      <c r="A91" s="56"/>
      <c r="B91" s="56"/>
      <c r="C91" s="424"/>
      <c r="D91" s="73"/>
      <c r="E91" s="73"/>
      <c r="F91" s="435"/>
      <c r="G91" s="73"/>
      <c r="H91" s="424"/>
      <c r="I91" s="73"/>
      <c r="J91" s="459"/>
      <c r="K91" s="73"/>
      <c r="L91" s="531"/>
      <c r="M91" s="531"/>
      <c r="N91" s="532"/>
      <c r="O91" s="73"/>
      <c r="P91" s="424"/>
      <c r="Q91" s="73"/>
      <c r="R91" s="73"/>
      <c r="S91" s="73"/>
      <c r="T91" s="549"/>
    </row>
    <row r="92" spans="1:20" ht="18" thickBot="1" x14ac:dyDescent="0.35">
      <c r="A92" s="413" t="s">
        <v>449</v>
      </c>
      <c r="B92" s="440"/>
      <c r="D92" s="73"/>
      <c r="E92" s="73"/>
      <c r="F92" s="435"/>
      <c r="G92" s="73"/>
      <c r="H92" s="424"/>
      <c r="I92" s="73"/>
      <c r="J92" s="459"/>
      <c r="K92" s="73"/>
      <c r="L92" s="531"/>
      <c r="M92" s="531"/>
      <c r="N92" s="532"/>
      <c r="O92" s="73"/>
      <c r="P92" s="424"/>
      <c r="Q92" s="73"/>
      <c r="R92" s="73"/>
      <c r="S92" s="73"/>
      <c r="T92" s="549"/>
    </row>
    <row r="93" spans="1:20" x14ac:dyDescent="0.25">
      <c r="A93" s="396"/>
      <c r="B93" s="414"/>
      <c r="C93" s="425"/>
      <c r="D93" s="416"/>
      <c r="E93" s="416"/>
      <c r="F93" s="415"/>
      <c r="G93" s="416"/>
      <c r="H93" s="425"/>
      <c r="I93" s="416"/>
      <c r="J93" s="461"/>
      <c r="K93" s="416"/>
      <c r="L93" s="539"/>
      <c r="M93" s="539"/>
      <c r="N93" s="540"/>
      <c r="O93" s="416"/>
      <c r="P93" s="425"/>
      <c r="Q93" s="416"/>
      <c r="R93" s="416"/>
      <c r="S93" s="416"/>
      <c r="T93" s="551"/>
    </row>
    <row r="94" spans="1:20" x14ac:dyDescent="0.25">
      <c r="A94" s="400" t="s">
        <v>0</v>
      </c>
      <c r="B94" s="56" t="str">
        <f t="shared" ref="B94:B102" si="107">+B67</f>
        <v>Személyi juttatások</v>
      </c>
      <c r="C94" s="424">
        <f>+'5. Gólyahír'!C13</f>
        <v>70787000</v>
      </c>
      <c r="D94" s="73">
        <f>+'5. Gólyahír'!D13</f>
        <v>70787000</v>
      </c>
      <c r="E94" s="73">
        <f>+'5. Gólyahír'!E13</f>
        <v>70787000</v>
      </c>
      <c r="F94" s="435">
        <f>+'5. Gólyahír'!F13</f>
        <v>0</v>
      </c>
      <c r="G94" s="73"/>
      <c r="H94" s="424">
        <f>+'5. Gólyahír'!H13</f>
        <v>33440240</v>
      </c>
      <c r="I94" s="73">
        <f>+'5. Gólyahír'!I13</f>
        <v>52226930</v>
      </c>
      <c r="J94" s="459">
        <f>+'5. Gólyahír'!J13</f>
        <v>0</v>
      </c>
      <c r="K94" s="73"/>
      <c r="L94" s="531">
        <f t="shared" ref="L94:L103" si="108">IF(D94=0,0,H94/D94)</f>
        <v>0.47240651532060973</v>
      </c>
      <c r="M94" s="531">
        <f t="shared" ref="M94:M103" si="109">IF(E94=0,0,I94/E94)</f>
        <v>0.73780397530620034</v>
      </c>
      <c r="N94" s="532">
        <f t="shared" ref="N94:N103" si="110">IF(F94=0,0,J94/F94)</f>
        <v>0</v>
      </c>
      <c r="O94" s="73"/>
      <c r="P94" s="424">
        <f>+'5. Gólyahír'!P13</f>
        <v>0</v>
      </c>
      <c r="Q94" s="73">
        <f>+'5. Gólyahír'!Q13</f>
        <v>0</v>
      </c>
      <c r="R94" s="73">
        <f>+'5. Gólyahír'!R13</f>
        <v>0</v>
      </c>
      <c r="S94" s="73">
        <f>+'5. Gólyahír'!S13</f>
        <v>0</v>
      </c>
      <c r="T94" s="547">
        <f>IF(S94=0,0,S94/C94)</f>
        <v>0</v>
      </c>
    </row>
    <row r="95" spans="1:20" x14ac:dyDescent="0.25">
      <c r="A95" s="400" t="s">
        <v>26</v>
      </c>
      <c r="B95" s="56" t="str">
        <f t="shared" si="107"/>
        <v>Munkaadót terhelő járulékok és szociális hozzájárulás</v>
      </c>
      <c r="C95" s="424">
        <f>+'5. Gólyahír'!C29</f>
        <v>9100000</v>
      </c>
      <c r="D95" s="73">
        <f>+'5. Gólyahír'!D29</f>
        <v>9100000</v>
      </c>
      <c r="E95" s="73">
        <f>+'5. Gólyahír'!E29</f>
        <v>9100000</v>
      </c>
      <c r="F95" s="435">
        <f>+'5. Gólyahír'!F29</f>
        <v>0</v>
      </c>
      <c r="G95" s="73"/>
      <c r="H95" s="424">
        <f>+'5. Gólyahír'!H29</f>
        <v>4723238</v>
      </c>
      <c r="I95" s="73">
        <f>+'5. Gólyahír'!I29</f>
        <v>7206667</v>
      </c>
      <c r="J95" s="459">
        <f>+'5. Gólyahír'!J29</f>
        <v>0</v>
      </c>
      <c r="K95" s="73"/>
      <c r="L95" s="531">
        <f t="shared" si="108"/>
        <v>0.51903714285714286</v>
      </c>
      <c r="M95" s="531">
        <f t="shared" si="109"/>
        <v>0.79194142857142857</v>
      </c>
      <c r="N95" s="532">
        <f t="shared" si="110"/>
        <v>0</v>
      </c>
      <c r="O95" s="73"/>
      <c r="P95" s="424">
        <f>+'5. Gólyahír'!P29</f>
        <v>0</v>
      </c>
      <c r="Q95" s="73">
        <f>+'5. Gólyahír'!Q29</f>
        <v>0</v>
      </c>
      <c r="R95" s="73">
        <f>+'5. Gólyahír'!R29</f>
        <v>0</v>
      </c>
      <c r="S95" s="73">
        <f>+'5. Gólyahír'!S29</f>
        <v>0</v>
      </c>
      <c r="T95" s="547">
        <f t="shared" ref="T95:T114" si="111">IF(S95=0,0,S95/C95)</f>
        <v>0</v>
      </c>
    </row>
    <row r="96" spans="1:20" x14ac:dyDescent="0.25">
      <c r="A96" s="400" t="s">
        <v>29</v>
      </c>
      <c r="B96" s="56" t="str">
        <f t="shared" si="107"/>
        <v>Dologi kiadások</v>
      </c>
      <c r="C96" s="424">
        <f>+'5. Gólyahír'!C32</f>
        <v>13420000</v>
      </c>
      <c r="D96" s="73">
        <f>+'5. Gólyahír'!D32</f>
        <v>13008000</v>
      </c>
      <c r="E96" s="73">
        <f>+'5. Gólyahír'!E32</f>
        <v>15008000</v>
      </c>
      <c r="F96" s="435">
        <f>+'5. Gólyahír'!F32</f>
        <v>0</v>
      </c>
      <c r="G96" s="73"/>
      <c r="H96" s="424">
        <f>+'5. Gólyahír'!H32</f>
        <v>6261679</v>
      </c>
      <c r="I96" s="73">
        <f>+'5. Gólyahír'!I32</f>
        <v>9741549</v>
      </c>
      <c r="J96" s="459">
        <f>+'5. Gólyahír'!J32</f>
        <v>0</v>
      </c>
      <c r="K96" s="73"/>
      <c r="L96" s="531">
        <f t="shared" si="108"/>
        <v>0.48137138683886838</v>
      </c>
      <c r="M96" s="531">
        <f t="shared" si="109"/>
        <v>0.6490904184434968</v>
      </c>
      <c r="N96" s="532">
        <f t="shared" si="110"/>
        <v>0</v>
      </c>
      <c r="O96" s="73"/>
      <c r="P96" s="424">
        <f>+'5. Gólyahír'!P32</f>
        <v>-412000</v>
      </c>
      <c r="Q96" s="73">
        <f>+'5. Gólyahír'!Q32</f>
        <v>2000000</v>
      </c>
      <c r="R96" s="73">
        <f>+'5. Gólyahír'!R32</f>
        <v>0</v>
      </c>
      <c r="S96" s="73">
        <f>+'5. Gólyahír'!S32</f>
        <v>1588000</v>
      </c>
      <c r="T96" s="547">
        <f t="shared" si="111"/>
        <v>0.11833084947839047</v>
      </c>
    </row>
    <row r="97" spans="1:20" x14ac:dyDescent="0.25">
      <c r="A97" s="400" t="s">
        <v>111</v>
      </c>
      <c r="B97" s="56" t="str">
        <f t="shared" si="107"/>
        <v>Elláttotak pénzbeli juttatásai</v>
      </c>
      <c r="C97" s="424"/>
      <c r="D97" s="73"/>
      <c r="E97" s="73"/>
      <c r="F97" s="435"/>
      <c r="G97" s="73"/>
      <c r="H97" s="424"/>
      <c r="I97" s="73"/>
      <c r="J97" s="459"/>
      <c r="K97" s="73"/>
      <c r="L97" s="531">
        <f t="shared" si="108"/>
        <v>0</v>
      </c>
      <c r="M97" s="531">
        <f t="shared" si="109"/>
        <v>0</v>
      </c>
      <c r="N97" s="532">
        <f t="shared" si="110"/>
        <v>0</v>
      </c>
      <c r="O97" s="73"/>
      <c r="P97" s="424"/>
      <c r="Q97" s="73"/>
      <c r="R97" s="73"/>
      <c r="S97" s="73"/>
      <c r="T97" s="547">
        <f t="shared" si="111"/>
        <v>0</v>
      </c>
    </row>
    <row r="98" spans="1:20" x14ac:dyDescent="0.25">
      <c r="A98" s="401" t="s">
        <v>370</v>
      </c>
      <c r="B98" s="56" t="str">
        <f t="shared" si="107"/>
        <v>Egyéb működési célú kiadások</v>
      </c>
      <c r="C98" s="424"/>
      <c r="D98" s="73"/>
      <c r="E98" s="73"/>
      <c r="F98" s="435"/>
      <c r="G98" s="73"/>
      <c r="H98" s="424"/>
      <c r="I98" s="73"/>
      <c r="J98" s="459"/>
      <c r="K98" s="73"/>
      <c r="L98" s="531">
        <f t="shared" si="108"/>
        <v>0</v>
      </c>
      <c r="M98" s="531">
        <f t="shared" si="109"/>
        <v>0</v>
      </c>
      <c r="N98" s="532">
        <f t="shared" si="110"/>
        <v>0</v>
      </c>
      <c r="O98" s="73"/>
      <c r="P98" s="424"/>
      <c r="Q98" s="73"/>
      <c r="R98" s="73"/>
      <c r="S98" s="73"/>
      <c r="T98" s="547">
        <f t="shared" si="111"/>
        <v>0</v>
      </c>
    </row>
    <row r="99" spans="1:20" x14ac:dyDescent="0.25">
      <c r="A99" s="400" t="s">
        <v>158</v>
      </c>
      <c r="B99" s="56" t="str">
        <f t="shared" si="107"/>
        <v>Beruházások</v>
      </c>
      <c r="C99" s="424">
        <f>+'5. Gólyahír'!C83</f>
        <v>650000</v>
      </c>
      <c r="D99" s="73">
        <f>+'5. Gólyahír'!D83</f>
        <v>1062000</v>
      </c>
      <c r="E99" s="73">
        <f>+'5. Gólyahír'!E83</f>
        <v>1062000</v>
      </c>
      <c r="F99" s="435">
        <f>+'5. Gólyahír'!F83</f>
        <v>0</v>
      </c>
      <c r="G99" s="73"/>
      <c r="H99" s="424">
        <f>+'5. Gólyahír'!H83</f>
        <v>664685</v>
      </c>
      <c r="I99" s="73">
        <f>+'5. Gólyahír'!I83</f>
        <v>1060925</v>
      </c>
      <c r="J99" s="459">
        <f>+'5. Gólyahír'!J83</f>
        <v>0</v>
      </c>
      <c r="K99" s="73"/>
      <c r="L99" s="531">
        <f t="shared" si="108"/>
        <v>0.62588041431261765</v>
      </c>
      <c r="M99" s="531">
        <f t="shared" si="109"/>
        <v>0.99898775894538605</v>
      </c>
      <c r="N99" s="532">
        <f t="shared" si="110"/>
        <v>0</v>
      </c>
      <c r="O99" s="73"/>
      <c r="P99" s="424">
        <f>+'5. Gólyahír'!P83</f>
        <v>412000</v>
      </c>
      <c r="Q99" s="73">
        <f>+'5. Gólyahír'!Q83</f>
        <v>0</v>
      </c>
      <c r="R99" s="73">
        <f>+'5. Gólyahír'!R83</f>
        <v>0</v>
      </c>
      <c r="S99" s="73">
        <f>+'5. Gólyahír'!S83</f>
        <v>412000</v>
      </c>
      <c r="T99" s="547">
        <f t="shared" si="111"/>
        <v>0.63384615384615384</v>
      </c>
    </row>
    <row r="100" spans="1:20" x14ac:dyDescent="0.25">
      <c r="A100" s="400" t="s">
        <v>173</v>
      </c>
      <c r="B100" s="56" t="str">
        <f t="shared" si="107"/>
        <v>Felújítások</v>
      </c>
      <c r="C100" s="424">
        <f>+'5. Gólyahír'!C86</f>
        <v>0</v>
      </c>
      <c r="D100" s="73">
        <f>+'5. Gólyahír'!D86</f>
        <v>0</v>
      </c>
      <c r="E100" s="73">
        <f>+'5. Gólyahír'!E86</f>
        <v>0</v>
      </c>
      <c r="F100" s="435">
        <f>+'5. Gólyahír'!F86</f>
        <v>0</v>
      </c>
      <c r="G100" s="73"/>
      <c r="H100" s="424">
        <f>+'5. Gólyahír'!H86</f>
        <v>0</v>
      </c>
      <c r="I100" s="73">
        <f>+'5. Gólyahír'!I86</f>
        <v>0</v>
      </c>
      <c r="J100" s="459">
        <f>+'5. Gólyahír'!J86</f>
        <v>0</v>
      </c>
      <c r="K100" s="73"/>
      <c r="L100" s="531">
        <f t="shared" si="108"/>
        <v>0</v>
      </c>
      <c r="M100" s="531">
        <f t="shared" si="109"/>
        <v>0</v>
      </c>
      <c r="N100" s="532">
        <f t="shared" si="110"/>
        <v>0</v>
      </c>
      <c r="O100" s="73"/>
      <c r="P100" s="424">
        <f>+'5. Gólyahír'!P86</f>
        <v>0</v>
      </c>
      <c r="Q100" s="73">
        <f>+'5. Gólyahír'!Q86</f>
        <v>0</v>
      </c>
      <c r="R100" s="73">
        <f>+'5. Gólyahír'!R86</f>
        <v>0</v>
      </c>
      <c r="S100" s="73">
        <f>+'5. Gólyahír'!S86</f>
        <v>0</v>
      </c>
      <c r="T100" s="547">
        <f t="shared" si="111"/>
        <v>0</v>
      </c>
    </row>
    <row r="101" spans="1:20" x14ac:dyDescent="0.25">
      <c r="A101" s="400" t="s">
        <v>183</v>
      </c>
      <c r="B101" s="56" t="str">
        <f t="shared" si="107"/>
        <v>Szolgáltatások kiadásai</v>
      </c>
      <c r="C101" s="424"/>
      <c r="D101" s="73"/>
      <c r="E101" s="73"/>
      <c r="F101" s="435"/>
      <c r="G101" s="73"/>
      <c r="H101" s="424"/>
      <c r="I101" s="73"/>
      <c r="J101" s="459"/>
      <c r="K101" s="73"/>
      <c r="L101" s="531">
        <f t="shared" si="108"/>
        <v>0</v>
      </c>
      <c r="M101" s="531">
        <f t="shared" si="109"/>
        <v>0</v>
      </c>
      <c r="N101" s="532">
        <f t="shared" si="110"/>
        <v>0</v>
      </c>
      <c r="O101" s="73"/>
      <c r="P101" s="424"/>
      <c r="Q101" s="73"/>
      <c r="R101" s="73"/>
      <c r="S101" s="73"/>
      <c r="T101" s="547">
        <f t="shared" si="111"/>
        <v>0</v>
      </c>
    </row>
    <row r="102" spans="1:20" x14ac:dyDescent="0.25">
      <c r="A102" s="400" t="s">
        <v>200</v>
      </c>
      <c r="B102" s="56" t="str">
        <f t="shared" si="107"/>
        <v>Finanszírozási kiadások</v>
      </c>
      <c r="C102" s="403"/>
      <c r="F102" s="446"/>
      <c r="H102" s="403"/>
      <c r="J102" s="457"/>
      <c r="L102" s="531">
        <f t="shared" si="108"/>
        <v>0</v>
      </c>
      <c r="M102" s="531">
        <f t="shared" si="109"/>
        <v>0</v>
      </c>
      <c r="N102" s="532">
        <f t="shared" si="110"/>
        <v>0</v>
      </c>
      <c r="P102" s="403"/>
      <c r="T102" s="547">
        <f t="shared" si="111"/>
        <v>0</v>
      </c>
    </row>
    <row r="103" spans="1:20" x14ac:dyDescent="0.25">
      <c r="A103" s="402"/>
      <c r="B103" s="386" t="s">
        <v>372</v>
      </c>
      <c r="C103" s="426">
        <f>SUM(C94:C102)</f>
        <v>93957000</v>
      </c>
      <c r="D103" s="387">
        <f t="shared" ref="D103" si="112">SUM(D94:D102)</f>
        <v>93957000</v>
      </c>
      <c r="E103" s="387">
        <f t="shared" ref="E103" si="113">SUM(E94:E102)</f>
        <v>95957000</v>
      </c>
      <c r="F103" s="443">
        <f t="shared" ref="F103" si="114">SUM(F94:F102)</f>
        <v>0</v>
      </c>
      <c r="G103" s="387"/>
      <c r="H103" s="426">
        <f t="shared" ref="H103" si="115">SUM(H94:H102)</f>
        <v>45089842</v>
      </c>
      <c r="I103" s="387">
        <f t="shared" ref="I103" si="116">SUM(I94:I102)</f>
        <v>70236071</v>
      </c>
      <c r="J103" s="388">
        <f t="shared" ref="J103" si="117">SUM(J94:J102)</f>
        <v>0</v>
      </c>
      <c r="K103" s="204"/>
      <c r="L103" s="533">
        <f t="shared" si="108"/>
        <v>0.47989869834073035</v>
      </c>
      <c r="M103" s="533">
        <f t="shared" si="109"/>
        <v>0.73195359379722169</v>
      </c>
      <c r="N103" s="534">
        <f t="shared" si="110"/>
        <v>0</v>
      </c>
      <c r="O103" s="204"/>
      <c r="P103" s="426">
        <f t="shared" ref="P103" si="118">SUM(P94:P102)</f>
        <v>0</v>
      </c>
      <c r="Q103" s="387">
        <f t="shared" ref="Q103" si="119">SUM(Q94:Q102)</f>
        <v>2000000</v>
      </c>
      <c r="R103" s="387">
        <f t="shared" ref="R103" si="120">SUM(R94:R102)</f>
        <v>0</v>
      </c>
      <c r="S103" s="388">
        <f t="shared" ref="S103" si="121">SUM(S94:S102)</f>
        <v>2000000</v>
      </c>
      <c r="T103" s="548">
        <f t="shared" si="111"/>
        <v>2.1286333109826836E-2</v>
      </c>
    </row>
    <row r="104" spans="1:20" x14ac:dyDescent="0.25">
      <c r="A104" s="400"/>
      <c r="B104" s="56"/>
      <c r="C104" s="424"/>
      <c r="D104" s="73"/>
      <c r="E104" s="73"/>
      <c r="F104" s="435"/>
      <c r="G104" s="73"/>
      <c r="H104" s="424"/>
      <c r="I104" s="73"/>
      <c r="J104" s="459"/>
      <c r="K104" s="73"/>
      <c r="L104" s="531"/>
      <c r="M104" s="531"/>
      <c r="N104" s="532"/>
      <c r="O104" s="73"/>
      <c r="P104" s="424"/>
      <c r="Q104" s="73"/>
      <c r="R104" s="73"/>
      <c r="S104" s="73"/>
      <c r="T104" s="547"/>
    </row>
    <row r="105" spans="1:20" x14ac:dyDescent="0.25">
      <c r="A105" s="400" t="str">
        <f>+A78</f>
        <v>B1</v>
      </c>
      <c r="B105" s="22" t="str">
        <f>+B78</f>
        <v>Működési célú tám-ok államháztartáson belülről</v>
      </c>
      <c r="C105" s="424">
        <f>+'5. Gólyahír'!C93</f>
        <v>0</v>
      </c>
      <c r="D105" s="73">
        <f>+'5. Gólyahír'!D93</f>
        <v>0</v>
      </c>
      <c r="E105" s="73">
        <f>+'5. Gólyahír'!E93</f>
        <v>0</v>
      </c>
      <c r="F105" s="435">
        <f>+'5. Gólyahír'!F93</f>
        <v>0</v>
      </c>
      <c r="G105" s="73"/>
      <c r="H105" s="424">
        <f>+'5. Gólyahír'!H93</f>
        <v>0</v>
      </c>
      <c r="I105" s="73">
        <f>+'5. Gólyahír'!I93</f>
        <v>0</v>
      </c>
      <c r="J105" s="459">
        <f>+'5. Gólyahír'!J93</f>
        <v>0</v>
      </c>
      <c r="K105" s="73"/>
      <c r="L105" s="531">
        <f t="shared" ref="L105:L114" si="122">IF(D105=0,0,H105/D105)</f>
        <v>0</v>
      </c>
      <c r="M105" s="531">
        <f t="shared" ref="M105:M114" si="123">IF(E105=0,0,I105/E105)</f>
        <v>0</v>
      </c>
      <c r="N105" s="532">
        <f t="shared" ref="N105:N114" si="124">IF(F105=0,0,J105/F105)</f>
        <v>0</v>
      </c>
      <c r="O105" s="73"/>
      <c r="P105" s="424">
        <f>+'5. Gólyahír'!P93</f>
        <v>0</v>
      </c>
      <c r="Q105" s="73">
        <f>+'5. Gólyahír'!Q93</f>
        <v>0</v>
      </c>
      <c r="R105" s="73">
        <f>+'5. Gólyahír'!R93</f>
        <v>0</v>
      </c>
      <c r="S105" s="73">
        <f>+'5. Gólyahír'!S93</f>
        <v>0</v>
      </c>
      <c r="T105" s="547">
        <f t="shared" si="111"/>
        <v>0</v>
      </c>
    </row>
    <row r="106" spans="1:20" x14ac:dyDescent="0.25">
      <c r="A106" s="400" t="str">
        <f t="shared" ref="A106:B106" si="125">+A79</f>
        <v>B2</v>
      </c>
      <c r="B106" s="22" t="str">
        <f t="shared" si="125"/>
        <v>Felhalmozási célú tám-ok államházt-on belülről</v>
      </c>
      <c r="C106" s="424"/>
      <c r="D106" s="73"/>
      <c r="E106" s="73"/>
      <c r="F106" s="435"/>
      <c r="G106" s="73"/>
      <c r="H106" s="424"/>
      <c r="I106" s="73"/>
      <c r="J106" s="459"/>
      <c r="K106" s="73"/>
      <c r="L106" s="531">
        <f t="shared" si="122"/>
        <v>0</v>
      </c>
      <c r="M106" s="531">
        <f t="shared" si="123"/>
        <v>0</v>
      </c>
      <c r="N106" s="532">
        <f t="shared" si="124"/>
        <v>0</v>
      </c>
      <c r="O106" s="73"/>
      <c r="P106" s="424"/>
      <c r="Q106" s="73"/>
      <c r="R106" s="73"/>
      <c r="S106" s="73"/>
      <c r="T106" s="547">
        <f t="shared" si="111"/>
        <v>0</v>
      </c>
    </row>
    <row r="107" spans="1:20" x14ac:dyDescent="0.25">
      <c r="A107" s="400" t="str">
        <f t="shared" ref="A107:B107" si="126">+A80</f>
        <v>B3</v>
      </c>
      <c r="B107" s="22" t="str">
        <f t="shared" si="126"/>
        <v>Közhatalmi bevételek</v>
      </c>
      <c r="C107" s="424"/>
      <c r="D107" s="73"/>
      <c r="E107" s="73"/>
      <c r="F107" s="435"/>
      <c r="G107" s="73"/>
      <c r="H107" s="424"/>
      <c r="I107" s="73"/>
      <c r="J107" s="459"/>
      <c r="K107" s="73"/>
      <c r="L107" s="531">
        <f t="shared" si="122"/>
        <v>0</v>
      </c>
      <c r="M107" s="531">
        <f t="shared" si="123"/>
        <v>0</v>
      </c>
      <c r="N107" s="532">
        <f t="shared" si="124"/>
        <v>0</v>
      </c>
      <c r="O107" s="73"/>
      <c r="P107" s="424"/>
      <c r="Q107" s="73"/>
      <c r="R107" s="73"/>
      <c r="S107" s="73"/>
      <c r="T107" s="547">
        <f t="shared" si="111"/>
        <v>0</v>
      </c>
    </row>
    <row r="108" spans="1:20" x14ac:dyDescent="0.25">
      <c r="A108" s="400" t="str">
        <f t="shared" ref="A108:B108" si="127">+A81</f>
        <v>B4</v>
      </c>
      <c r="B108" s="22" t="str">
        <f t="shared" si="127"/>
        <v>Működési bevételek</v>
      </c>
      <c r="C108" s="424">
        <f>+'5. Gólyahír'!C95</f>
        <v>4710530</v>
      </c>
      <c r="D108" s="73">
        <f>+'5. Gólyahír'!D95</f>
        <v>4710530</v>
      </c>
      <c r="E108" s="73">
        <f>+'5. Gólyahír'!E95</f>
        <v>4710530</v>
      </c>
      <c r="F108" s="435">
        <f>+'5. Gólyahír'!F95</f>
        <v>0</v>
      </c>
      <c r="G108" s="73"/>
      <c r="H108" s="424">
        <f>+'5. Gólyahír'!H95</f>
        <v>2751764</v>
      </c>
      <c r="I108" s="73">
        <f>+'5. Gólyahír'!I95</f>
        <v>4313029</v>
      </c>
      <c r="J108" s="459">
        <f>+'5. Gólyahír'!J95</f>
        <v>0</v>
      </c>
      <c r="K108" s="73"/>
      <c r="L108" s="531">
        <f t="shared" si="122"/>
        <v>0.58417290623348117</v>
      </c>
      <c r="M108" s="531">
        <f t="shared" si="123"/>
        <v>0.91561437884908914</v>
      </c>
      <c r="N108" s="532">
        <f t="shared" si="124"/>
        <v>0</v>
      </c>
      <c r="O108" s="73"/>
      <c r="P108" s="424">
        <f>+'5. Gólyahír'!P95</f>
        <v>0</v>
      </c>
      <c r="Q108" s="73">
        <f>+'5. Gólyahír'!Q95</f>
        <v>0</v>
      </c>
      <c r="R108" s="73">
        <f>+'5. Gólyahír'!R95</f>
        <v>0</v>
      </c>
      <c r="S108" s="73">
        <f>+'5. Gólyahír'!S95</f>
        <v>0</v>
      </c>
      <c r="T108" s="547">
        <f t="shared" si="111"/>
        <v>0</v>
      </c>
    </row>
    <row r="109" spans="1:20" x14ac:dyDescent="0.25">
      <c r="A109" s="400" t="str">
        <f t="shared" ref="A109:B109" si="128">+A82</f>
        <v>B5</v>
      </c>
      <c r="B109" s="22" t="str">
        <f t="shared" si="128"/>
        <v>Felhalmozási bevételek</v>
      </c>
      <c r="C109" s="424"/>
      <c r="D109" s="73"/>
      <c r="E109" s="73"/>
      <c r="F109" s="435"/>
      <c r="G109" s="73"/>
      <c r="H109" s="424"/>
      <c r="I109" s="73"/>
      <c r="J109" s="459"/>
      <c r="K109" s="73"/>
      <c r="L109" s="531">
        <f t="shared" si="122"/>
        <v>0</v>
      </c>
      <c r="M109" s="531">
        <f t="shared" si="123"/>
        <v>0</v>
      </c>
      <c r="N109" s="532">
        <f t="shared" si="124"/>
        <v>0</v>
      </c>
      <c r="O109" s="73"/>
      <c r="P109" s="424"/>
      <c r="Q109" s="73"/>
      <c r="R109" s="73"/>
      <c r="S109" s="73"/>
      <c r="T109" s="547">
        <f t="shared" si="111"/>
        <v>0</v>
      </c>
    </row>
    <row r="110" spans="1:20" x14ac:dyDescent="0.25">
      <c r="A110" s="400" t="str">
        <f t="shared" ref="A110:B110" si="129">+A83</f>
        <v>B6</v>
      </c>
      <c r="B110" s="22" t="str">
        <f t="shared" si="129"/>
        <v>Működési célú átvett pénzeszközök</v>
      </c>
      <c r="C110" s="424"/>
      <c r="D110" s="73"/>
      <c r="E110" s="73"/>
      <c r="F110" s="435"/>
      <c r="G110" s="73"/>
      <c r="H110" s="424"/>
      <c r="I110" s="73"/>
      <c r="J110" s="459"/>
      <c r="K110" s="73"/>
      <c r="L110" s="531">
        <f t="shared" si="122"/>
        <v>0</v>
      </c>
      <c r="M110" s="531">
        <f t="shared" si="123"/>
        <v>0</v>
      </c>
      <c r="N110" s="532">
        <f t="shared" si="124"/>
        <v>0</v>
      </c>
      <c r="O110" s="73"/>
      <c r="P110" s="424"/>
      <c r="Q110" s="73"/>
      <c r="R110" s="73"/>
      <c r="S110" s="73"/>
      <c r="T110" s="547">
        <f t="shared" si="111"/>
        <v>0</v>
      </c>
    </row>
    <row r="111" spans="1:20" x14ac:dyDescent="0.25">
      <c r="A111" s="400" t="str">
        <f t="shared" ref="A111:B111" si="130">+A84</f>
        <v>B7</v>
      </c>
      <c r="B111" s="22" t="str">
        <f t="shared" si="130"/>
        <v>Felhalmozási célú átvett pénzeszközök</v>
      </c>
      <c r="C111" s="424"/>
      <c r="D111" s="73"/>
      <c r="E111" s="73"/>
      <c r="F111" s="435"/>
      <c r="G111" s="73"/>
      <c r="H111" s="424"/>
      <c r="I111" s="73"/>
      <c r="J111" s="459"/>
      <c r="K111" s="73"/>
      <c r="L111" s="531">
        <f t="shared" si="122"/>
        <v>0</v>
      </c>
      <c r="M111" s="531">
        <f t="shared" si="123"/>
        <v>0</v>
      </c>
      <c r="N111" s="532">
        <f t="shared" si="124"/>
        <v>0</v>
      </c>
      <c r="O111" s="73"/>
      <c r="P111" s="424"/>
      <c r="Q111" s="73"/>
      <c r="R111" s="73"/>
      <c r="S111" s="73"/>
      <c r="T111" s="547">
        <f t="shared" si="111"/>
        <v>0</v>
      </c>
    </row>
    <row r="112" spans="1:20" x14ac:dyDescent="0.25">
      <c r="A112" s="400" t="str">
        <f t="shared" ref="A112" si="131">+A85</f>
        <v>B8-ból maradványértéken túli finanszírozási bevételek</v>
      </c>
      <c r="C112" s="424">
        <f>+'5. Gólyahír'!C99-C113</f>
        <v>88239262</v>
      </c>
      <c r="D112" s="73">
        <f>+'5. Gólyahír'!D99-D113</f>
        <v>88239262</v>
      </c>
      <c r="E112" s="73">
        <f>+'5. Gólyahír'!E99-E113</f>
        <v>90239262</v>
      </c>
      <c r="F112" s="435">
        <f>+'5. Gólyahír'!F99-F113</f>
        <v>0</v>
      </c>
      <c r="G112" s="73"/>
      <c r="H112" s="424">
        <f>+'5. Gólyahír'!H99-H113</f>
        <v>44690436</v>
      </c>
      <c r="I112" s="73">
        <f>+'5. Gólyahír'!I99-I113</f>
        <v>68559031</v>
      </c>
      <c r="J112" s="459">
        <f>+'5. Gólyahír'!J99-J113</f>
        <v>0</v>
      </c>
      <c r="K112" s="73"/>
      <c r="L112" s="531">
        <f t="shared" si="122"/>
        <v>0.50646883243425134</v>
      </c>
      <c r="M112" s="531">
        <f t="shared" si="123"/>
        <v>0.75974724837621121</v>
      </c>
      <c r="N112" s="532">
        <f t="shared" si="124"/>
        <v>0</v>
      </c>
      <c r="O112" s="73"/>
      <c r="P112" s="424">
        <f>+'5. Gólyahír'!P99-P113</f>
        <v>0</v>
      </c>
      <c r="Q112" s="73">
        <f>+'5. Gólyahír'!Q99-Q113</f>
        <v>2000000</v>
      </c>
      <c r="R112" s="73">
        <f>+'5. Gólyahír'!R99-R113</f>
        <v>0</v>
      </c>
      <c r="S112" s="73">
        <f>+'5. Gólyahír'!S99-S113</f>
        <v>2000000</v>
      </c>
      <c r="T112" s="547">
        <f t="shared" si="111"/>
        <v>2.2665647407613176E-2</v>
      </c>
    </row>
    <row r="113" spans="1:20" x14ac:dyDescent="0.25">
      <c r="A113" s="400" t="str">
        <f t="shared" ref="A113" si="132">+A86</f>
        <v>B8-ból előző évi mardvány igénybevétele</v>
      </c>
      <c r="C113" s="424">
        <f>+'5. Gólyahír'!C101</f>
        <v>1007208</v>
      </c>
      <c r="D113" s="73">
        <f>+'5. Gólyahír'!D101</f>
        <v>1007208</v>
      </c>
      <c r="E113" s="73">
        <f>+'5. Gólyahír'!E101</f>
        <v>1007208</v>
      </c>
      <c r="F113" s="435">
        <f>+'5. Gólyahír'!F101</f>
        <v>0</v>
      </c>
      <c r="G113" s="73"/>
      <c r="H113" s="424">
        <f>+'5. Gólyahír'!H101</f>
        <v>1007208</v>
      </c>
      <c r="I113" s="73">
        <f>+'5. Gólyahír'!I101</f>
        <v>1007208</v>
      </c>
      <c r="J113" s="459">
        <f>+'5. Gólyahír'!J101</f>
        <v>0</v>
      </c>
      <c r="K113" s="73"/>
      <c r="L113" s="531">
        <f t="shared" si="122"/>
        <v>1</v>
      </c>
      <c r="M113" s="531">
        <f t="shared" si="123"/>
        <v>1</v>
      </c>
      <c r="N113" s="532">
        <f t="shared" si="124"/>
        <v>0</v>
      </c>
      <c r="O113" s="73"/>
      <c r="P113" s="424">
        <f>+'5. Gólyahír'!P101</f>
        <v>0</v>
      </c>
      <c r="Q113" s="73">
        <f>+'5. Gólyahír'!Q101</f>
        <v>0</v>
      </c>
      <c r="R113" s="73">
        <f>+'5. Gólyahír'!R101</f>
        <v>0</v>
      </c>
      <c r="S113" s="73">
        <f>+'5. Gólyahír'!S101</f>
        <v>0</v>
      </c>
      <c r="T113" s="547">
        <f t="shared" si="111"/>
        <v>0</v>
      </c>
    </row>
    <row r="114" spans="1:20" x14ac:dyDescent="0.25">
      <c r="A114" s="404"/>
      <c r="B114" s="386" t="s">
        <v>371</v>
      </c>
      <c r="C114" s="426">
        <f>SUM(C105:C113)</f>
        <v>93957000</v>
      </c>
      <c r="D114" s="387">
        <f t="shared" ref="D114" si="133">SUM(D105:D113)</f>
        <v>93957000</v>
      </c>
      <c r="E114" s="387">
        <f t="shared" ref="E114" si="134">SUM(E105:E113)</f>
        <v>95957000</v>
      </c>
      <c r="F114" s="443">
        <f t="shared" ref="F114" si="135">SUM(F105:F113)</f>
        <v>0</v>
      </c>
      <c r="G114" s="387"/>
      <c r="H114" s="426">
        <f t="shared" ref="H114" si="136">SUM(H105:H113)</f>
        <v>48449408</v>
      </c>
      <c r="I114" s="387">
        <f t="shared" ref="I114" si="137">SUM(I105:I113)</f>
        <v>73879268</v>
      </c>
      <c r="J114" s="388">
        <f t="shared" ref="J114" si="138">SUM(J105:J113)</f>
        <v>0</v>
      </c>
      <c r="K114" s="389"/>
      <c r="L114" s="535">
        <f t="shared" si="122"/>
        <v>0.51565511883095461</v>
      </c>
      <c r="M114" s="535">
        <f t="shared" si="123"/>
        <v>0.76992056858801339</v>
      </c>
      <c r="N114" s="536">
        <f t="shared" si="124"/>
        <v>0</v>
      </c>
      <c r="O114" s="389"/>
      <c r="P114" s="426">
        <f t="shared" ref="P114" si="139">SUM(P105:P113)</f>
        <v>0</v>
      </c>
      <c r="Q114" s="387">
        <f t="shared" ref="Q114" si="140">SUM(Q105:Q113)</f>
        <v>2000000</v>
      </c>
      <c r="R114" s="387">
        <f t="shared" ref="R114" si="141">SUM(R105:R113)</f>
        <v>0</v>
      </c>
      <c r="S114" s="388">
        <f t="shared" ref="S114" si="142">SUM(S105:S113)</f>
        <v>2000000</v>
      </c>
      <c r="T114" s="548">
        <f t="shared" si="111"/>
        <v>2.1286333109826836E-2</v>
      </c>
    </row>
    <row r="115" spans="1:20" x14ac:dyDescent="0.25">
      <c r="A115" s="403"/>
      <c r="B115" s="73"/>
      <c r="C115" s="424"/>
      <c r="D115" s="73"/>
      <c r="E115" s="73"/>
      <c r="F115" s="435"/>
      <c r="G115" s="73"/>
      <c r="H115" s="424"/>
      <c r="I115" s="73"/>
      <c r="J115" s="459"/>
      <c r="K115" s="73"/>
      <c r="L115" s="531"/>
      <c r="M115" s="531"/>
      <c r="N115" s="532"/>
      <c r="O115" s="73"/>
      <c r="P115" s="424"/>
      <c r="Q115" s="73"/>
      <c r="R115" s="73"/>
      <c r="S115" s="73"/>
      <c r="T115" s="549"/>
    </row>
    <row r="116" spans="1:20" ht="13.8" thickBot="1" x14ac:dyDescent="0.3">
      <c r="A116" s="406"/>
      <c r="B116" s="407" t="s">
        <v>451</v>
      </c>
      <c r="C116" s="428">
        <f>+C114-C103</f>
        <v>0</v>
      </c>
      <c r="D116" s="408">
        <f>+D114-D103</f>
        <v>0</v>
      </c>
      <c r="E116" s="408">
        <f>+E114-E103</f>
        <v>0</v>
      </c>
      <c r="F116" s="445">
        <f>+F114-F103</f>
        <v>0</v>
      </c>
      <c r="G116" s="408"/>
      <c r="H116" s="428">
        <f>+H114-H103</f>
        <v>3359566</v>
      </c>
      <c r="I116" s="408">
        <f>+I114-I103</f>
        <v>3643197</v>
      </c>
      <c r="J116" s="410">
        <f>+J114-J103</f>
        <v>0</v>
      </c>
      <c r="K116" s="409"/>
      <c r="L116" s="537">
        <f t="shared" ref="L116" si="143">IF(D116=0,0,H116/D116)</f>
        <v>0</v>
      </c>
      <c r="M116" s="537">
        <f t="shared" ref="M116" si="144">IF(E116=0,0,I116/E116)</f>
        <v>0</v>
      </c>
      <c r="N116" s="538">
        <f t="shared" ref="N116" si="145">IF(F116=0,0,J116/F116)</f>
        <v>0</v>
      </c>
      <c r="O116" s="409"/>
      <c r="P116" s="428">
        <f>+P114-P103</f>
        <v>0</v>
      </c>
      <c r="Q116" s="408">
        <f>+Q114-Q103</f>
        <v>0</v>
      </c>
      <c r="R116" s="408">
        <f>+R114-R103</f>
        <v>0</v>
      </c>
      <c r="S116" s="410">
        <f>+S114-S103</f>
        <v>0</v>
      </c>
      <c r="T116" s="550"/>
    </row>
    <row r="117" spans="1:20" x14ac:dyDescent="0.25">
      <c r="C117" s="403"/>
      <c r="F117" s="446"/>
      <c r="H117" s="403"/>
      <c r="J117" s="457"/>
      <c r="L117" s="531"/>
      <c r="M117" s="531"/>
      <c r="N117" s="532"/>
      <c r="P117" s="403"/>
      <c r="T117" s="549"/>
    </row>
    <row r="118" spans="1:20" ht="13.8" thickBot="1" x14ac:dyDescent="0.3">
      <c r="C118" s="403"/>
      <c r="F118" s="446"/>
      <c r="H118" s="403"/>
      <c r="J118" s="457"/>
      <c r="L118" s="531"/>
      <c r="M118" s="531"/>
      <c r="N118" s="532"/>
      <c r="P118" s="403"/>
      <c r="T118" s="549"/>
    </row>
    <row r="119" spans="1:20" ht="18" thickBot="1" x14ac:dyDescent="0.35">
      <c r="A119" s="411" t="s">
        <v>448</v>
      </c>
      <c r="B119" s="528"/>
      <c r="C119" s="403"/>
      <c r="F119" s="446"/>
      <c r="H119" s="403"/>
      <c r="J119" s="457"/>
      <c r="L119" s="531"/>
      <c r="M119" s="531"/>
      <c r="N119" s="532"/>
      <c r="P119" s="403"/>
      <c r="T119" s="549"/>
    </row>
    <row r="120" spans="1:20" x14ac:dyDescent="0.25">
      <c r="A120" s="396"/>
      <c r="B120" s="397"/>
      <c r="C120" s="396"/>
      <c r="D120" s="398"/>
      <c r="E120" s="398"/>
      <c r="F120" s="447"/>
      <c r="G120" s="398"/>
      <c r="H120" s="396"/>
      <c r="I120" s="398"/>
      <c r="J120" s="458"/>
      <c r="K120" s="398"/>
      <c r="L120" s="539"/>
      <c r="M120" s="539"/>
      <c r="N120" s="540"/>
      <c r="O120" s="398"/>
      <c r="P120" s="396"/>
      <c r="Q120" s="397"/>
      <c r="R120" s="397"/>
      <c r="S120" s="397"/>
      <c r="T120" s="551"/>
    </row>
    <row r="121" spans="1:20" x14ac:dyDescent="0.25">
      <c r="A121" s="400" t="s">
        <v>0</v>
      </c>
      <c r="B121" s="56" t="str">
        <f t="shared" ref="B121:B129" si="146">+B94</f>
        <v>Személyi juttatások</v>
      </c>
      <c r="C121" s="424">
        <f>+'4. Polg.Hiv.'!C13</f>
        <v>136770000</v>
      </c>
      <c r="D121" s="73">
        <f>+'4. Polg.Hiv.'!D13</f>
        <v>138910000</v>
      </c>
      <c r="E121" s="73">
        <f>+'4. Polg.Hiv.'!E13</f>
        <v>138910000</v>
      </c>
      <c r="F121" s="435">
        <f>+'4. Polg.Hiv.'!F13</f>
        <v>0</v>
      </c>
      <c r="G121" s="73"/>
      <c r="H121" s="424">
        <f>+'4. Polg.Hiv.'!H13</f>
        <v>73242121</v>
      </c>
      <c r="I121" s="73">
        <f>+'4. Polg.Hiv.'!I13</f>
        <v>105852857</v>
      </c>
      <c r="J121" s="459">
        <f>+'4. Polg.Hiv.'!J13</f>
        <v>0</v>
      </c>
      <c r="K121" s="73"/>
      <c r="L121" s="531">
        <f t="shared" ref="L121:L130" si="147">IF(D121=0,0,H121/D121)</f>
        <v>0.52726312720466484</v>
      </c>
      <c r="M121" s="531">
        <f t="shared" ref="M121:M130" si="148">IF(E121=0,0,I121/E121)</f>
        <v>0.7620247426391189</v>
      </c>
      <c r="N121" s="532">
        <f t="shared" ref="N121:N130" si="149">IF(F121=0,0,J121/F121)</f>
        <v>0</v>
      </c>
      <c r="O121" s="73"/>
      <c r="P121" s="424">
        <f>D121-C121</f>
        <v>2140000</v>
      </c>
      <c r="Q121" s="73">
        <f>+E121-D121</f>
        <v>0</v>
      </c>
      <c r="R121" s="73">
        <f>+'4. Polg.Hiv.'!R13</f>
        <v>0</v>
      </c>
      <c r="S121" s="73">
        <f>+'4. Polg.Hiv.'!S13</f>
        <v>2140000</v>
      </c>
      <c r="T121" s="547">
        <f>IF(S121=0,0,S121/C121)</f>
        <v>1.5646706149009287E-2</v>
      </c>
    </row>
    <row r="122" spans="1:20" x14ac:dyDescent="0.25">
      <c r="A122" s="400" t="s">
        <v>26</v>
      </c>
      <c r="B122" s="56" t="str">
        <f t="shared" si="146"/>
        <v>Munkaadót terhelő járulékok és szociális hozzájárulás</v>
      </c>
      <c r="C122" s="424">
        <f>+'4. Polg.Hiv.'!C29</f>
        <v>17900000</v>
      </c>
      <c r="D122" s="73">
        <f>+'4. Polg.Hiv.'!D29</f>
        <v>18200308</v>
      </c>
      <c r="E122" s="73">
        <f>+'4. Polg.Hiv.'!E29</f>
        <v>18200308</v>
      </c>
      <c r="F122" s="435">
        <f>+'4. Polg.Hiv.'!F29</f>
        <v>0</v>
      </c>
      <c r="G122" s="73"/>
      <c r="H122" s="424">
        <f>+'4. Polg.Hiv.'!H29</f>
        <v>11393724</v>
      </c>
      <c r="I122" s="73">
        <f>+'4. Polg.Hiv.'!I29</f>
        <v>15628466</v>
      </c>
      <c r="J122" s="459">
        <f>+'4. Polg.Hiv.'!J29</f>
        <v>0</v>
      </c>
      <c r="K122" s="73"/>
      <c r="L122" s="531">
        <f t="shared" si="147"/>
        <v>0.6260181970546872</v>
      </c>
      <c r="M122" s="531">
        <f t="shared" si="148"/>
        <v>0.85869239135953079</v>
      </c>
      <c r="N122" s="532">
        <f t="shared" si="149"/>
        <v>0</v>
      </c>
      <c r="O122" s="73"/>
      <c r="P122" s="424">
        <f>+'4. Polg.Hiv.'!P29</f>
        <v>300308</v>
      </c>
      <c r="Q122" s="73">
        <f>+'4. Polg.Hiv.'!Q29</f>
        <v>0</v>
      </c>
      <c r="R122" s="73">
        <f>+'4. Polg.Hiv.'!R29</f>
        <v>0</v>
      </c>
      <c r="S122" s="73">
        <f>+'4. Polg.Hiv.'!S29</f>
        <v>300308</v>
      </c>
      <c r="T122" s="547">
        <f t="shared" ref="T122:T141" si="150">IF(S122=0,0,S122/C122)</f>
        <v>1.6776983240223465E-2</v>
      </c>
    </row>
    <row r="123" spans="1:20" x14ac:dyDescent="0.25">
      <c r="A123" s="400" t="s">
        <v>29</v>
      </c>
      <c r="B123" s="56" t="str">
        <f t="shared" si="146"/>
        <v>Dologi kiadások</v>
      </c>
      <c r="C123" s="424">
        <f>+'4. Polg.Hiv.'!C32</f>
        <v>10760000</v>
      </c>
      <c r="D123" s="73">
        <f>+'4. Polg.Hiv.'!D32</f>
        <v>11303965</v>
      </c>
      <c r="E123" s="73">
        <f>+'4. Polg.Hiv.'!E32</f>
        <v>11303965</v>
      </c>
      <c r="F123" s="435">
        <f>+'4. Polg.Hiv.'!F32</f>
        <v>0</v>
      </c>
      <c r="G123" s="73"/>
      <c r="H123" s="424">
        <f>+'4. Polg.Hiv.'!H32</f>
        <v>6649553</v>
      </c>
      <c r="I123" s="73">
        <f>+'4. Polg.Hiv.'!I32</f>
        <v>9705924</v>
      </c>
      <c r="J123" s="459">
        <f>+'4. Polg.Hiv.'!J32</f>
        <v>0</v>
      </c>
      <c r="K123" s="73"/>
      <c r="L123" s="531">
        <f t="shared" si="147"/>
        <v>0.58824960976082286</v>
      </c>
      <c r="M123" s="531">
        <f t="shared" si="148"/>
        <v>0.85863004706755552</v>
      </c>
      <c r="N123" s="532">
        <f t="shared" si="149"/>
        <v>0</v>
      </c>
      <c r="O123" s="73"/>
      <c r="P123" s="424">
        <f>+'4. Polg.Hiv.'!P32</f>
        <v>543965</v>
      </c>
      <c r="Q123" s="73">
        <f>+'4. Polg.Hiv.'!Q32</f>
        <v>0</v>
      </c>
      <c r="R123" s="73">
        <f>+'4. Polg.Hiv.'!R32</f>
        <v>0</v>
      </c>
      <c r="S123" s="73">
        <f>+'4. Polg.Hiv.'!S32</f>
        <v>543965</v>
      </c>
      <c r="T123" s="547">
        <f t="shared" si="150"/>
        <v>5.0554368029739775E-2</v>
      </c>
    </row>
    <row r="124" spans="1:20" x14ac:dyDescent="0.25">
      <c r="A124" s="400" t="s">
        <v>111</v>
      </c>
      <c r="B124" s="56" t="str">
        <f t="shared" si="146"/>
        <v>Elláttotak pénzbeli juttatásai</v>
      </c>
      <c r="C124" s="424"/>
      <c r="D124" s="73"/>
      <c r="E124" s="73"/>
      <c r="F124" s="435"/>
      <c r="G124" s="73"/>
      <c r="H124" s="424"/>
      <c r="I124" s="73"/>
      <c r="J124" s="459"/>
      <c r="K124" s="73"/>
      <c r="L124" s="531">
        <f t="shared" si="147"/>
        <v>0</v>
      </c>
      <c r="M124" s="531">
        <f t="shared" si="148"/>
        <v>0</v>
      </c>
      <c r="N124" s="532">
        <f t="shared" si="149"/>
        <v>0</v>
      </c>
      <c r="O124" s="73"/>
      <c r="P124" s="424"/>
      <c r="Q124" s="73"/>
      <c r="R124" s="73"/>
      <c r="S124" s="73"/>
      <c r="T124" s="547">
        <f t="shared" si="150"/>
        <v>0</v>
      </c>
    </row>
    <row r="125" spans="1:20" x14ac:dyDescent="0.25">
      <c r="A125" s="401" t="s">
        <v>370</v>
      </c>
      <c r="B125" s="56" t="str">
        <f t="shared" si="146"/>
        <v>Egyéb működési célú kiadások</v>
      </c>
      <c r="C125" s="424"/>
      <c r="D125" s="73"/>
      <c r="E125" s="73"/>
      <c r="F125" s="435"/>
      <c r="G125" s="73"/>
      <c r="H125" s="424"/>
      <c r="I125" s="73"/>
      <c r="J125" s="459"/>
      <c r="K125" s="73"/>
      <c r="L125" s="531">
        <f t="shared" si="147"/>
        <v>0</v>
      </c>
      <c r="M125" s="531">
        <f t="shared" si="148"/>
        <v>0</v>
      </c>
      <c r="N125" s="532">
        <f t="shared" si="149"/>
        <v>0</v>
      </c>
      <c r="O125" s="73"/>
      <c r="P125" s="424"/>
      <c r="Q125" s="73"/>
      <c r="R125" s="73"/>
      <c r="S125" s="73"/>
      <c r="T125" s="547">
        <f t="shared" si="150"/>
        <v>0</v>
      </c>
    </row>
    <row r="126" spans="1:20" x14ac:dyDescent="0.25">
      <c r="A126" s="400" t="s">
        <v>158</v>
      </c>
      <c r="B126" s="326" t="str">
        <f t="shared" si="146"/>
        <v>Beruházások</v>
      </c>
      <c r="C126" s="424">
        <f>+'4. Polg.Hiv.'!C83</f>
        <v>2000000</v>
      </c>
      <c r="D126" s="73">
        <f>+'4. Polg.Hiv.'!D83</f>
        <v>2000000</v>
      </c>
      <c r="E126" s="73">
        <f>+'4. Polg.Hiv.'!E83</f>
        <v>2000000</v>
      </c>
      <c r="F126" s="435">
        <f>+'4. Polg.Hiv.'!F83</f>
        <v>0</v>
      </c>
      <c r="G126" s="73"/>
      <c r="H126" s="424">
        <f>+'4. Polg.Hiv.'!H83</f>
        <v>1611855</v>
      </c>
      <c r="I126" s="73">
        <f>+'4. Polg.Hiv.'!I83</f>
        <v>1611855</v>
      </c>
      <c r="J126" s="459">
        <f>+'4. Polg.Hiv.'!J83</f>
        <v>0</v>
      </c>
      <c r="K126" s="73"/>
      <c r="L126" s="531">
        <f t="shared" si="147"/>
        <v>0.80592750000000002</v>
      </c>
      <c r="M126" s="531">
        <f t="shared" si="148"/>
        <v>0.80592750000000002</v>
      </c>
      <c r="N126" s="532">
        <f t="shared" si="149"/>
        <v>0</v>
      </c>
      <c r="O126" s="73"/>
      <c r="P126" s="424">
        <f>+'4. Polg.Hiv.'!P83</f>
        <v>0</v>
      </c>
      <c r="Q126" s="73">
        <f>+'4. Polg.Hiv.'!Q83</f>
        <v>0</v>
      </c>
      <c r="R126" s="73">
        <f>+'4. Polg.Hiv.'!R83</f>
        <v>0</v>
      </c>
      <c r="S126" s="73">
        <f>+'4. Polg.Hiv.'!S83</f>
        <v>0</v>
      </c>
      <c r="T126" s="547">
        <f t="shared" si="150"/>
        <v>0</v>
      </c>
    </row>
    <row r="127" spans="1:20" x14ac:dyDescent="0.25">
      <c r="A127" s="400" t="s">
        <v>173</v>
      </c>
      <c r="B127" s="56" t="str">
        <f t="shared" si="146"/>
        <v>Felújítások</v>
      </c>
      <c r="C127" s="424">
        <f>+'4. Polg.Hiv.'!C86</f>
        <v>0</v>
      </c>
      <c r="D127" s="73">
        <f>+'4. Polg.Hiv.'!D86</f>
        <v>0</v>
      </c>
      <c r="E127" s="73">
        <f>+'4. Polg.Hiv.'!E86</f>
        <v>0</v>
      </c>
      <c r="F127" s="435">
        <f>+'4. Polg.Hiv.'!F86</f>
        <v>0</v>
      </c>
      <c r="G127" s="73"/>
      <c r="H127" s="424">
        <f>+'4. Polg.Hiv.'!H86</f>
        <v>0</v>
      </c>
      <c r="I127" s="73">
        <f>+'4. Polg.Hiv.'!I86</f>
        <v>0</v>
      </c>
      <c r="J127" s="459">
        <f>+'4. Polg.Hiv.'!J86</f>
        <v>0</v>
      </c>
      <c r="K127" s="73"/>
      <c r="L127" s="531">
        <f t="shared" si="147"/>
        <v>0</v>
      </c>
      <c r="M127" s="531">
        <f t="shared" si="148"/>
        <v>0</v>
      </c>
      <c r="N127" s="532">
        <f t="shared" si="149"/>
        <v>0</v>
      </c>
      <c r="O127" s="73"/>
      <c r="P127" s="424">
        <f>+'4. Polg.Hiv.'!P86</f>
        <v>0</v>
      </c>
      <c r="Q127" s="73">
        <f>+'4. Polg.Hiv.'!Q86</f>
        <v>0</v>
      </c>
      <c r="R127" s="73">
        <f>+'4. Polg.Hiv.'!R86</f>
        <v>0</v>
      </c>
      <c r="S127" s="73">
        <f>+'4. Polg.Hiv.'!S86</f>
        <v>0</v>
      </c>
      <c r="T127" s="547">
        <f t="shared" si="150"/>
        <v>0</v>
      </c>
    </row>
    <row r="128" spans="1:20" x14ac:dyDescent="0.25">
      <c r="A128" s="400" t="s">
        <v>183</v>
      </c>
      <c r="B128" s="56" t="str">
        <f t="shared" si="146"/>
        <v>Szolgáltatások kiadásai</v>
      </c>
      <c r="C128" s="424"/>
      <c r="D128" s="73"/>
      <c r="E128" s="73"/>
      <c r="F128" s="435"/>
      <c r="G128" s="73"/>
      <c r="H128" s="424"/>
      <c r="I128" s="73"/>
      <c r="J128" s="459"/>
      <c r="K128" s="73"/>
      <c r="L128" s="531">
        <f t="shared" si="147"/>
        <v>0</v>
      </c>
      <c r="M128" s="531">
        <f t="shared" si="148"/>
        <v>0</v>
      </c>
      <c r="N128" s="532">
        <f t="shared" si="149"/>
        <v>0</v>
      </c>
      <c r="O128" s="73"/>
      <c r="P128" s="424"/>
      <c r="Q128" s="73"/>
      <c r="R128" s="73"/>
      <c r="S128" s="73"/>
      <c r="T128" s="547">
        <f t="shared" si="150"/>
        <v>0</v>
      </c>
    </row>
    <row r="129" spans="1:20" x14ac:dyDescent="0.25">
      <c r="A129" s="400" t="s">
        <v>200</v>
      </c>
      <c r="B129" s="56" t="str">
        <f t="shared" si="146"/>
        <v>Finanszírozási kiadások</v>
      </c>
      <c r="C129" s="403"/>
      <c r="F129" s="446"/>
      <c r="H129" s="403"/>
      <c r="J129" s="457"/>
      <c r="L129" s="531">
        <f t="shared" si="147"/>
        <v>0</v>
      </c>
      <c r="M129" s="531">
        <f t="shared" si="148"/>
        <v>0</v>
      </c>
      <c r="N129" s="532">
        <f t="shared" si="149"/>
        <v>0</v>
      </c>
      <c r="P129" s="403"/>
      <c r="T129" s="547">
        <f t="shared" si="150"/>
        <v>0</v>
      </c>
    </row>
    <row r="130" spans="1:20" x14ac:dyDescent="0.25">
      <c r="A130" s="402"/>
      <c r="B130" s="386" t="s">
        <v>372</v>
      </c>
      <c r="C130" s="426">
        <f>SUM(C121:C129)</f>
        <v>167430000</v>
      </c>
      <c r="D130" s="387">
        <f t="shared" ref="D130" si="151">SUM(D121:D129)</f>
        <v>170414273</v>
      </c>
      <c r="E130" s="387">
        <f t="shared" ref="E130" si="152">SUM(E121:E129)</f>
        <v>170414273</v>
      </c>
      <c r="F130" s="443">
        <f t="shared" ref="F130" si="153">SUM(F121:F129)</f>
        <v>0</v>
      </c>
      <c r="G130" s="387"/>
      <c r="H130" s="426">
        <f t="shared" ref="H130" si="154">SUM(H121:H129)</f>
        <v>92897253</v>
      </c>
      <c r="I130" s="387">
        <f t="shared" ref="I130" si="155">SUM(I121:I129)</f>
        <v>132799102</v>
      </c>
      <c r="J130" s="388">
        <f t="shared" ref="J130" si="156">SUM(J121:J129)</f>
        <v>0</v>
      </c>
      <c r="K130" s="204"/>
      <c r="L130" s="533">
        <f t="shared" si="147"/>
        <v>0.5451260118335276</v>
      </c>
      <c r="M130" s="533">
        <f t="shared" si="148"/>
        <v>0.77927217986019282</v>
      </c>
      <c r="N130" s="534">
        <f t="shared" si="149"/>
        <v>0</v>
      </c>
      <c r="O130" s="204"/>
      <c r="P130" s="426">
        <f t="shared" ref="P130" si="157">SUM(P121:P129)</f>
        <v>2984273</v>
      </c>
      <c r="Q130" s="387">
        <f t="shared" ref="Q130" si="158">SUM(Q121:Q129)</f>
        <v>0</v>
      </c>
      <c r="R130" s="387">
        <f t="shared" ref="R130" si="159">SUM(R121:R129)</f>
        <v>0</v>
      </c>
      <c r="S130" s="388">
        <f t="shared" ref="S130" si="160">SUM(S121:S129)</f>
        <v>2984273</v>
      </c>
      <c r="T130" s="548">
        <f t="shared" si="150"/>
        <v>1.7824004061398793E-2</v>
      </c>
    </row>
    <row r="131" spans="1:20" x14ac:dyDescent="0.25">
      <c r="A131" s="403"/>
      <c r="C131" s="403"/>
      <c r="F131" s="446"/>
      <c r="H131" s="403"/>
      <c r="J131" s="457"/>
      <c r="L131" s="531"/>
      <c r="M131" s="531"/>
      <c r="N131" s="532"/>
      <c r="P131" s="403"/>
      <c r="T131" s="547"/>
    </row>
    <row r="132" spans="1:20" x14ac:dyDescent="0.25">
      <c r="A132" s="400" t="str">
        <f t="shared" ref="A132:B138" si="161">+A105</f>
        <v>B1</v>
      </c>
      <c r="B132" s="56" t="str">
        <f t="shared" si="161"/>
        <v>Működési célú tám-ok államháztartáson belülről</v>
      </c>
      <c r="C132" s="424">
        <f>+'4. Polg.Hiv.'!C93</f>
        <v>0</v>
      </c>
      <c r="D132" s="73">
        <f>+'4. Polg.Hiv.'!D93</f>
        <v>2984273</v>
      </c>
      <c r="E132" s="73">
        <f>+'4. Polg.Hiv.'!E93</f>
        <v>2984273</v>
      </c>
      <c r="F132" s="435">
        <f>+'4. Polg.Hiv.'!F93</f>
        <v>0</v>
      </c>
      <c r="G132" s="73"/>
      <c r="H132" s="424">
        <f>+'4. Polg.Hiv.'!H93</f>
        <v>9331645</v>
      </c>
      <c r="I132" s="73">
        <f>+'4. Polg.Hiv.'!I93</f>
        <v>9331645</v>
      </c>
      <c r="J132" s="459">
        <f>+'4. Polg.Hiv.'!J93</f>
        <v>0</v>
      </c>
      <c r="K132" s="73"/>
      <c r="L132" s="531">
        <f t="shared" ref="L132:L141" si="162">IF(D132=0,0,H132/D132)</f>
        <v>3.1269407993169525</v>
      </c>
      <c r="M132" s="531">
        <f t="shared" ref="M132:M141" si="163">IF(E132=0,0,I132/E132)</f>
        <v>3.1269407993169525</v>
      </c>
      <c r="N132" s="532">
        <f t="shared" ref="N132:N141" si="164">IF(F132=0,0,J132/F132)</f>
        <v>0</v>
      </c>
      <c r="O132" s="73"/>
      <c r="P132" s="424">
        <f>+'4. Polg.Hiv.'!P93</f>
        <v>2984273</v>
      </c>
      <c r="Q132" s="73">
        <f>+'4. Polg.Hiv.'!Q93</f>
        <v>0</v>
      </c>
      <c r="R132" s="73">
        <f>+'4. Polg.Hiv.'!R93</f>
        <v>0</v>
      </c>
      <c r="S132" s="73">
        <f>+'4. Polg.Hiv.'!S93</f>
        <v>2984273</v>
      </c>
      <c r="T132" s="547" t="e">
        <f t="shared" si="150"/>
        <v>#DIV/0!</v>
      </c>
    </row>
    <row r="133" spans="1:20" x14ac:dyDescent="0.25">
      <c r="A133" s="400" t="str">
        <f t="shared" si="161"/>
        <v>B2</v>
      </c>
      <c r="B133" s="56" t="str">
        <f t="shared" si="161"/>
        <v>Felhalmozási célú tám-ok államházt-on belülről</v>
      </c>
      <c r="C133" s="424"/>
      <c r="D133" s="73"/>
      <c r="E133" s="73"/>
      <c r="F133" s="435"/>
      <c r="G133" s="73"/>
      <c r="H133" s="424"/>
      <c r="I133" s="73"/>
      <c r="J133" s="459"/>
      <c r="K133" s="73"/>
      <c r="L133" s="531">
        <f t="shared" si="162"/>
        <v>0</v>
      </c>
      <c r="M133" s="531">
        <f t="shared" si="163"/>
        <v>0</v>
      </c>
      <c r="N133" s="532">
        <f t="shared" si="164"/>
        <v>0</v>
      </c>
      <c r="O133" s="73"/>
      <c r="P133" s="424"/>
      <c r="Q133" s="73"/>
      <c r="R133" s="73"/>
      <c r="S133" s="73"/>
      <c r="T133" s="547">
        <f t="shared" si="150"/>
        <v>0</v>
      </c>
    </row>
    <row r="134" spans="1:20" x14ac:dyDescent="0.25">
      <c r="A134" s="400" t="str">
        <f t="shared" si="161"/>
        <v>B3</v>
      </c>
      <c r="B134" s="56" t="str">
        <f t="shared" si="161"/>
        <v>Közhatalmi bevételek</v>
      </c>
      <c r="C134" s="424"/>
      <c r="D134" s="73"/>
      <c r="E134" s="73"/>
      <c r="F134" s="435"/>
      <c r="G134" s="73"/>
      <c r="H134" s="424"/>
      <c r="I134" s="73"/>
      <c r="J134" s="459"/>
      <c r="K134" s="73"/>
      <c r="L134" s="531">
        <f t="shared" si="162"/>
        <v>0</v>
      </c>
      <c r="M134" s="531">
        <f t="shared" si="163"/>
        <v>0</v>
      </c>
      <c r="N134" s="532">
        <f t="shared" si="164"/>
        <v>0</v>
      </c>
      <c r="O134" s="73"/>
      <c r="P134" s="424"/>
      <c r="Q134" s="73"/>
      <c r="R134" s="73"/>
      <c r="S134" s="73"/>
      <c r="T134" s="547">
        <f t="shared" si="150"/>
        <v>0</v>
      </c>
    </row>
    <row r="135" spans="1:20" x14ac:dyDescent="0.25">
      <c r="A135" s="400" t="str">
        <f t="shared" si="161"/>
        <v>B4</v>
      </c>
      <c r="B135" s="56" t="str">
        <f t="shared" si="161"/>
        <v>Működési bevételek</v>
      </c>
      <c r="C135" s="424">
        <f>+'4. Polg.Hiv.'!C95</f>
        <v>10000</v>
      </c>
      <c r="D135" s="73">
        <f>+'4. Polg.Hiv.'!D95</f>
        <v>10000</v>
      </c>
      <c r="E135" s="73">
        <f>+'4. Polg.Hiv.'!E95</f>
        <v>10000</v>
      </c>
      <c r="F135" s="435">
        <f>+'4. Polg.Hiv.'!F95</f>
        <v>0</v>
      </c>
      <c r="G135" s="73"/>
      <c r="H135" s="424">
        <f>+'4. Polg.Hiv.'!H95</f>
        <v>1548</v>
      </c>
      <c r="I135" s="73">
        <f>+'4. Polg.Hiv.'!I95</f>
        <v>3626</v>
      </c>
      <c r="J135" s="459">
        <f>+'4. Polg.Hiv.'!J95</f>
        <v>0</v>
      </c>
      <c r="K135" s="73"/>
      <c r="L135" s="531">
        <f t="shared" si="162"/>
        <v>0.15479999999999999</v>
      </c>
      <c r="M135" s="531">
        <f t="shared" si="163"/>
        <v>0.36259999999999998</v>
      </c>
      <c r="N135" s="532">
        <f t="shared" si="164"/>
        <v>0</v>
      </c>
      <c r="O135" s="73"/>
      <c r="P135" s="424">
        <f>+'4. Polg.Hiv.'!P95</f>
        <v>0</v>
      </c>
      <c r="Q135" s="73">
        <f>+'4. Polg.Hiv.'!Q95</f>
        <v>0</v>
      </c>
      <c r="R135" s="73">
        <f>+'4. Polg.Hiv.'!R95</f>
        <v>0</v>
      </c>
      <c r="S135" s="73">
        <f>+'4. Polg.Hiv.'!S95</f>
        <v>0</v>
      </c>
      <c r="T135" s="547">
        <f t="shared" si="150"/>
        <v>0</v>
      </c>
    </row>
    <row r="136" spans="1:20" x14ac:dyDescent="0.25">
      <c r="A136" s="400" t="str">
        <f t="shared" si="161"/>
        <v>B5</v>
      </c>
      <c r="B136" s="56" t="str">
        <f t="shared" si="161"/>
        <v>Felhalmozási bevételek</v>
      </c>
      <c r="C136" s="424"/>
      <c r="D136" s="73"/>
      <c r="E136" s="73"/>
      <c r="F136" s="435"/>
      <c r="G136" s="73"/>
      <c r="H136" s="424"/>
      <c r="I136" s="73"/>
      <c r="J136" s="459"/>
      <c r="K136" s="73"/>
      <c r="L136" s="531">
        <f t="shared" si="162"/>
        <v>0</v>
      </c>
      <c r="M136" s="531">
        <f t="shared" si="163"/>
        <v>0</v>
      </c>
      <c r="N136" s="532">
        <f t="shared" si="164"/>
        <v>0</v>
      </c>
      <c r="O136" s="73"/>
      <c r="P136" s="424"/>
      <c r="Q136" s="73"/>
      <c r="R136" s="73"/>
      <c r="S136" s="73"/>
      <c r="T136" s="547">
        <f t="shared" si="150"/>
        <v>0</v>
      </c>
    </row>
    <row r="137" spans="1:20" x14ac:dyDescent="0.25">
      <c r="A137" s="400" t="str">
        <f t="shared" si="161"/>
        <v>B6</v>
      </c>
      <c r="B137" s="56" t="str">
        <f t="shared" si="161"/>
        <v>Működési célú átvett pénzeszközök</v>
      </c>
      <c r="C137" s="424"/>
      <c r="D137" s="73"/>
      <c r="E137" s="73"/>
      <c r="F137" s="435"/>
      <c r="G137" s="73"/>
      <c r="H137" s="424"/>
      <c r="I137" s="73"/>
      <c r="J137" s="459"/>
      <c r="K137" s="73"/>
      <c r="L137" s="531">
        <f t="shared" si="162"/>
        <v>0</v>
      </c>
      <c r="M137" s="531">
        <f t="shared" si="163"/>
        <v>0</v>
      </c>
      <c r="N137" s="532">
        <f t="shared" si="164"/>
        <v>0</v>
      </c>
      <c r="O137" s="73"/>
      <c r="P137" s="424"/>
      <c r="Q137" s="73"/>
      <c r="R137" s="73"/>
      <c r="S137" s="73"/>
      <c r="T137" s="547">
        <f t="shared" si="150"/>
        <v>0</v>
      </c>
    </row>
    <row r="138" spans="1:20" x14ac:dyDescent="0.25">
      <c r="A138" s="400" t="str">
        <f t="shared" si="161"/>
        <v>B7</v>
      </c>
      <c r="B138" s="56" t="str">
        <f t="shared" si="161"/>
        <v>Felhalmozási célú átvett pénzeszközök</v>
      </c>
      <c r="C138" s="424"/>
      <c r="D138" s="73"/>
      <c r="E138" s="73"/>
      <c r="F138" s="435"/>
      <c r="G138" s="73"/>
      <c r="H138" s="424"/>
      <c r="I138" s="73"/>
      <c r="J138" s="459"/>
      <c r="K138" s="73"/>
      <c r="L138" s="531">
        <f t="shared" si="162"/>
        <v>0</v>
      </c>
      <c r="M138" s="531">
        <f t="shared" si="163"/>
        <v>0</v>
      </c>
      <c r="N138" s="532">
        <f t="shared" si="164"/>
        <v>0</v>
      </c>
      <c r="O138" s="73"/>
      <c r="P138" s="424"/>
      <c r="Q138" s="73"/>
      <c r="R138" s="73"/>
      <c r="S138" s="73"/>
      <c r="T138" s="547">
        <f t="shared" si="150"/>
        <v>0</v>
      </c>
    </row>
    <row r="139" spans="1:20" x14ac:dyDescent="0.25">
      <c r="A139" s="400" t="str">
        <f>+A112</f>
        <v>B8-ból maradványértéken túli finanszírozási bevételek</v>
      </c>
      <c r="B139" s="56"/>
      <c r="C139" s="424">
        <f>+'4. Polg.Hiv.'!C99-C140</f>
        <v>165973266</v>
      </c>
      <c r="D139" s="73">
        <f>+'4. Polg.Hiv.'!D99-D140</f>
        <v>165973266</v>
      </c>
      <c r="E139" s="73">
        <f>+'4. Polg.Hiv.'!E99-E140</f>
        <v>165973266</v>
      </c>
      <c r="F139" s="435">
        <f>+'4. Polg.Hiv.'!F99-F140</f>
        <v>0</v>
      </c>
      <c r="G139" s="73"/>
      <c r="H139" s="424">
        <f>+'4. Polg.Hiv.'!H99-H140</f>
        <v>90307938</v>
      </c>
      <c r="I139" s="73">
        <f>+'4. Polg.Hiv.'!I99-I140</f>
        <v>126879380</v>
      </c>
      <c r="J139" s="459">
        <f>+'4. Polg.Hiv.'!J99-J140</f>
        <v>0</v>
      </c>
      <c r="K139" s="73"/>
      <c r="L139" s="531">
        <f t="shared" si="162"/>
        <v>0.54411135104131769</v>
      </c>
      <c r="M139" s="531">
        <f t="shared" si="163"/>
        <v>0.76445672883246152</v>
      </c>
      <c r="N139" s="532">
        <f t="shared" si="164"/>
        <v>0</v>
      </c>
      <c r="O139" s="73"/>
      <c r="P139" s="424">
        <f>+'4. Polg.Hiv.'!P99-P140</f>
        <v>0</v>
      </c>
      <c r="Q139" s="73">
        <f>+'4. Polg.Hiv.'!Q99-Q140</f>
        <v>0</v>
      </c>
      <c r="R139" s="73">
        <f>+'4. Polg.Hiv.'!R99-R140</f>
        <v>0</v>
      </c>
      <c r="S139" s="73">
        <f>+'4. Polg.Hiv.'!S99-S140</f>
        <v>0</v>
      </c>
      <c r="T139" s="547">
        <f t="shared" si="150"/>
        <v>0</v>
      </c>
    </row>
    <row r="140" spans="1:20" x14ac:dyDescent="0.25">
      <c r="A140" s="400" t="str">
        <f>+A113</f>
        <v>B8-ból előző évi mardvány igénybevétele</v>
      </c>
      <c r="B140" s="56"/>
      <c r="C140" s="424">
        <f>+'4. Polg.Hiv.'!C101</f>
        <v>1446734</v>
      </c>
      <c r="D140" s="73">
        <f>+'4. Polg.Hiv.'!D101</f>
        <v>1446734</v>
      </c>
      <c r="E140" s="73">
        <f>+'4. Polg.Hiv.'!E101</f>
        <v>1446734</v>
      </c>
      <c r="F140" s="435">
        <f>+'4. Polg.Hiv.'!F101</f>
        <v>0</v>
      </c>
      <c r="G140" s="73"/>
      <c r="H140" s="424">
        <f>+'4. Polg.Hiv.'!H101</f>
        <v>1446734</v>
      </c>
      <c r="I140" s="73">
        <f>+'4. Polg.Hiv.'!I101</f>
        <v>1446734</v>
      </c>
      <c r="J140" s="459">
        <f>+'4. Polg.Hiv.'!J101</f>
        <v>0</v>
      </c>
      <c r="K140" s="73"/>
      <c r="L140" s="531">
        <f t="shared" si="162"/>
        <v>1</v>
      </c>
      <c r="M140" s="531">
        <f t="shared" si="163"/>
        <v>1</v>
      </c>
      <c r="N140" s="532">
        <f t="shared" si="164"/>
        <v>0</v>
      </c>
      <c r="O140" s="73"/>
      <c r="P140" s="424">
        <f>+'4. Polg.Hiv.'!P101</f>
        <v>0</v>
      </c>
      <c r="Q140" s="73">
        <f>+'4. Polg.Hiv.'!Q101</f>
        <v>0</v>
      </c>
      <c r="R140" s="73">
        <f>+'4. Polg.Hiv.'!R101</f>
        <v>0</v>
      </c>
      <c r="S140" s="73">
        <f>+'4. Polg.Hiv.'!S101</f>
        <v>0</v>
      </c>
      <c r="T140" s="547">
        <f t="shared" si="150"/>
        <v>0</v>
      </c>
    </row>
    <row r="141" spans="1:20" x14ac:dyDescent="0.25">
      <c r="A141" s="404"/>
      <c r="B141" s="386" t="s">
        <v>371</v>
      </c>
      <c r="C141" s="426">
        <f>SUM(C132:C140)</f>
        <v>167430000</v>
      </c>
      <c r="D141" s="387">
        <f t="shared" ref="D141" si="165">SUM(D132:D140)</f>
        <v>170414273</v>
      </c>
      <c r="E141" s="387">
        <f t="shared" ref="E141" si="166">SUM(E132:E140)</f>
        <v>170414273</v>
      </c>
      <c r="F141" s="443">
        <f t="shared" ref="F141" si="167">SUM(F132:F140)</f>
        <v>0</v>
      </c>
      <c r="G141" s="387"/>
      <c r="H141" s="426">
        <f t="shared" ref="H141" si="168">SUM(H132:H140)</f>
        <v>101087865</v>
      </c>
      <c r="I141" s="387">
        <f t="shared" ref="I141" si="169">SUM(I132:I140)</f>
        <v>137661385</v>
      </c>
      <c r="J141" s="388">
        <f t="shared" ref="J141" si="170">SUM(J132:J140)</f>
        <v>0</v>
      </c>
      <c r="K141" s="389"/>
      <c r="L141" s="535">
        <f t="shared" si="162"/>
        <v>0.59318895782866732</v>
      </c>
      <c r="M141" s="535">
        <f t="shared" si="163"/>
        <v>0.80780431460691093</v>
      </c>
      <c r="N141" s="536">
        <f t="shared" si="164"/>
        <v>0</v>
      </c>
      <c r="O141" s="389"/>
      <c r="P141" s="426">
        <f t="shared" ref="P141" si="171">SUM(P132:P140)</f>
        <v>2984273</v>
      </c>
      <c r="Q141" s="387">
        <f t="shared" ref="Q141" si="172">SUM(Q132:Q140)</f>
        <v>0</v>
      </c>
      <c r="R141" s="387">
        <f t="shared" ref="R141" si="173">SUM(R132:R140)</f>
        <v>0</v>
      </c>
      <c r="S141" s="388">
        <f t="shared" ref="S141" si="174">SUM(S132:S140)</f>
        <v>2984273</v>
      </c>
      <c r="T141" s="548">
        <f t="shared" si="150"/>
        <v>1.7824004061398793E-2</v>
      </c>
    </row>
    <row r="142" spans="1:20" x14ac:dyDescent="0.25">
      <c r="A142" s="403"/>
      <c r="B142" s="73"/>
      <c r="C142" s="424"/>
      <c r="D142" s="73"/>
      <c r="E142" s="73"/>
      <c r="F142" s="435"/>
      <c r="G142" s="73"/>
      <c r="H142" s="424"/>
      <c r="I142" s="73"/>
      <c r="J142" s="459"/>
      <c r="K142" s="73"/>
      <c r="L142" s="531"/>
      <c r="M142" s="531"/>
      <c r="N142" s="532"/>
      <c r="O142" s="73"/>
      <c r="P142" s="424"/>
      <c r="Q142" s="73"/>
      <c r="R142" s="73"/>
      <c r="S142" s="73"/>
      <c r="T142" s="549"/>
    </row>
    <row r="143" spans="1:20" ht="13.8" thickBot="1" x14ac:dyDescent="0.3">
      <c r="A143" s="406"/>
      <c r="B143" s="407" t="s">
        <v>451</v>
      </c>
      <c r="C143" s="428">
        <f>+C141-C130</f>
        <v>0</v>
      </c>
      <c r="D143" s="408">
        <f>+D141-D130</f>
        <v>0</v>
      </c>
      <c r="E143" s="408">
        <f>+E141-E130</f>
        <v>0</v>
      </c>
      <c r="F143" s="445">
        <f>+F141-F130</f>
        <v>0</v>
      </c>
      <c r="G143" s="408"/>
      <c r="H143" s="428">
        <f>+H141-H130</f>
        <v>8190612</v>
      </c>
      <c r="I143" s="408">
        <f>+I141-I130</f>
        <v>4862283</v>
      </c>
      <c r="J143" s="410">
        <f>+J141-J130</f>
        <v>0</v>
      </c>
      <c r="K143" s="409"/>
      <c r="L143" s="537">
        <f t="shared" ref="L143" si="175">IF(D143=0,0,H143/D143)</f>
        <v>0</v>
      </c>
      <c r="M143" s="537">
        <f t="shared" ref="M143" si="176">IF(E143=0,0,I143/E143)</f>
        <v>0</v>
      </c>
      <c r="N143" s="538">
        <f t="shared" ref="N143" si="177">IF(F143=0,0,J143/F143)</f>
        <v>0</v>
      </c>
      <c r="O143" s="409"/>
      <c r="P143" s="428">
        <f>+P141-P130</f>
        <v>0</v>
      </c>
      <c r="Q143" s="408">
        <f>+Q141-Q130</f>
        <v>0</v>
      </c>
      <c r="R143" s="408">
        <f>+R141-R130</f>
        <v>0</v>
      </c>
      <c r="S143" s="410">
        <f>+S141-S130</f>
        <v>0</v>
      </c>
      <c r="T143" s="550"/>
    </row>
    <row r="144" spans="1:20" x14ac:dyDescent="0.25">
      <c r="A144" s="56"/>
      <c r="B144" s="56"/>
      <c r="C144" s="424"/>
      <c r="D144" s="73"/>
      <c r="E144" s="73"/>
      <c r="F144" s="435"/>
      <c r="G144" s="73"/>
      <c r="H144" s="424"/>
      <c r="I144" s="73"/>
      <c r="J144" s="459"/>
      <c r="K144" s="73"/>
      <c r="L144" s="531"/>
      <c r="M144" s="531"/>
      <c r="N144" s="532"/>
      <c r="O144" s="73"/>
      <c r="P144" s="424"/>
      <c r="Q144" s="73"/>
      <c r="R144" s="73"/>
      <c r="S144" s="73"/>
      <c r="T144" s="549"/>
    </row>
    <row r="145" spans="1:20" ht="13.8" thickBot="1" x14ac:dyDescent="0.3">
      <c r="A145" s="56"/>
      <c r="B145" s="56"/>
      <c r="C145" s="424"/>
      <c r="D145" s="73"/>
      <c r="E145" s="73"/>
      <c r="F145" s="435"/>
      <c r="G145" s="73"/>
      <c r="H145" s="424"/>
      <c r="I145" s="73"/>
      <c r="J145" s="459"/>
      <c r="K145" s="73"/>
      <c r="L145" s="531"/>
      <c r="M145" s="531"/>
      <c r="N145" s="532"/>
      <c r="O145" s="73"/>
      <c r="P145" s="424"/>
      <c r="Q145" s="73"/>
      <c r="R145" s="73"/>
      <c r="S145" s="73"/>
      <c r="T145" s="549"/>
    </row>
    <row r="146" spans="1:20" ht="18" thickBot="1" x14ac:dyDescent="0.35">
      <c r="A146" s="413" t="s">
        <v>447</v>
      </c>
      <c r="B146" s="450"/>
      <c r="C146" s="424"/>
      <c r="D146" s="73"/>
      <c r="E146" s="73"/>
      <c r="F146" s="435"/>
      <c r="G146" s="73"/>
      <c r="H146" s="424"/>
      <c r="I146" s="73"/>
      <c r="J146" s="459"/>
      <c r="K146" s="73"/>
      <c r="L146" s="531"/>
      <c r="M146" s="531"/>
      <c r="N146" s="532"/>
      <c r="O146" s="73"/>
      <c r="P146" s="424"/>
      <c r="Q146" s="73"/>
      <c r="R146" s="73"/>
      <c r="S146" s="73"/>
      <c r="T146" s="549"/>
    </row>
    <row r="147" spans="1:20" x14ac:dyDescent="0.25">
      <c r="A147" s="451"/>
      <c r="B147" s="414"/>
      <c r="C147" s="425"/>
      <c r="D147" s="416"/>
      <c r="E147" s="416"/>
      <c r="F147" s="415"/>
      <c r="G147" s="416"/>
      <c r="H147" s="425"/>
      <c r="I147" s="416"/>
      <c r="J147" s="461"/>
      <c r="K147" s="416"/>
      <c r="L147" s="539"/>
      <c r="M147" s="539"/>
      <c r="N147" s="540"/>
      <c r="O147" s="416"/>
      <c r="P147" s="425"/>
      <c r="Q147" s="416"/>
      <c r="R147" s="416"/>
      <c r="S147" s="416"/>
      <c r="T147" s="551"/>
    </row>
    <row r="148" spans="1:20" x14ac:dyDescent="0.25">
      <c r="A148" s="452" t="s">
        <v>0</v>
      </c>
      <c r="B148" s="56" t="str">
        <f t="shared" ref="B148:B156" si="178">+B121</f>
        <v>Személyi juttatások</v>
      </c>
      <c r="C148" s="424">
        <f>+'7. WAMKK'!C13</f>
        <v>20982000</v>
      </c>
      <c r="D148" s="73">
        <f>+'7. WAMKK'!D13</f>
        <v>20982000</v>
      </c>
      <c r="E148" s="73">
        <f>+'7. WAMKK'!E13</f>
        <v>20982000</v>
      </c>
      <c r="F148" s="435">
        <f>+'7. WAMKK'!F13</f>
        <v>0</v>
      </c>
      <c r="G148" s="73"/>
      <c r="H148" s="424">
        <f>+'7. WAMKK'!H13</f>
        <v>8356256</v>
      </c>
      <c r="I148" s="73">
        <f>+'7. WAMKK'!I13</f>
        <v>12538644</v>
      </c>
      <c r="J148" s="459">
        <f>+'7. WAMKK'!J13</f>
        <v>0</v>
      </c>
      <c r="K148" s="73"/>
      <c r="L148" s="531">
        <f t="shared" ref="L148:L157" si="179">IF(D148=0,0,H148/D148)</f>
        <v>0.39825831665236872</v>
      </c>
      <c r="M148" s="531">
        <f t="shared" ref="M148:M157" si="180">IF(E148=0,0,I148/E148)</f>
        <v>0.59759050614812692</v>
      </c>
      <c r="N148" s="532">
        <f t="shared" ref="N148:N157" si="181">IF(F148=0,0,J148/F148)</f>
        <v>0</v>
      </c>
      <c r="O148" s="73"/>
      <c r="P148" s="424">
        <f>+'7. WAMKK'!P13</f>
        <v>0</v>
      </c>
      <c r="Q148" s="73">
        <f>+'7. WAMKK'!Q13</f>
        <v>0</v>
      </c>
      <c r="R148" s="73">
        <f>+'7. WAMKK'!R13</f>
        <v>0</v>
      </c>
      <c r="S148" s="73">
        <f>+'7. WAMKK'!S13</f>
        <v>0</v>
      </c>
      <c r="T148" s="547">
        <f>IF(S148=0,0,S148/C148)</f>
        <v>0</v>
      </c>
    </row>
    <row r="149" spans="1:20" x14ac:dyDescent="0.25">
      <c r="A149" s="452" t="s">
        <v>26</v>
      </c>
      <c r="B149" s="56" t="str">
        <f t="shared" si="178"/>
        <v>Munkaadót terhelő járulékok és szociális hozzájárulás</v>
      </c>
      <c r="C149" s="424">
        <f>+'7. WAMKK'!C29</f>
        <v>2800000</v>
      </c>
      <c r="D149" s="73">
        <f>+'7. WAMKK'!D29</f>
        <v>2800000</v>
      </c>
      <c r="E149" s="73">
        <f>+'7. WAMKK'!E29</f>
        <v>2800000</v>
      </c>
      <c r="F149" s="435">
        <f>+'7. WAMKK'!F29</f>
        <v>0</v>
      </c>
      <c r="G149" s="73"/>
      <c r="H149" s="424">
        <f>+'7. WAMKK'!H29</f>
        <v>1183516</v>
      </c>
      <c r="I149" s="73">
        <f>+'7. WAMKK'!I29</f>
        <v>1773121</v>
      </c>
      <c r="J149" s="459">
        <f>+'7. WAMKK'!J29</f>
        <v>0</v>
      </c>
      <c r="K149" s="73"/>
      <c r="L149" s="531">
        <f t="shared" si="179"/>
        <v>0.42268428571428573</v>
      </c>
      <c r="M149" s="531">
        <f t="shared" si="180"/>
        <v>0.63325750000000003</v>
      </c>
      <c r="N149" s="532">
        <f t="shared" si="181"/>
        <v>0</v>
      </c>
      <c r="O149" s="73"/>
      <c r="P149" s="424">
        <f>+'7. WAMKK'!P29</f>
        <v>0</v>
      </c>
      <c r="Q149" s="73">
        <f>+'7. WAMKK'!Q29</f>
        <v>0</v>
      </c>
      <c r="R149" s="73">
        <f>+'7. WAMKK'!R29</f>
        <v>0</v>
      </c>
      <c r="S149" s="73">
        <f>+'7. WAMKK'!S29</f>
        <v>0</v>
      </c>
      <c r="T149" s="547">
        <f t="shared" ref="T149:T168" si="182">IF(S149=0,0,S149/C149)</f>
        <v>0</v>
      </c>
    </row>
    <row r="150" spans="1:20" x14ac:dyDescent="0.25">
      <c r="A150" s="452" t="s">
        <v>29</v>
      </c>
      <c r="B150" s="56" t="str">
        <f t="shared" si="178"/>
        <v>Dologi kiadások</v>
      </c>
      <c r="C150" s="424">
        <f>+'7. WAMKK'!C32</f>
        <v>18618000</v>
      </c>
      <c r="D150" s="73">
        <f>+'7. WAMKK'!D32</f>
        <v>18017555</v>
      </c>
      <c r="E150" s="73">
        <f>+'7. WAMKK'!E32</f>
        <v>31275555</v>
      </c>
      <c r="F150" s="435">
        <f>+'7. WAMKK'!F32</f>
        <v>0</v>
      </c>
      <c r="G150" s="73"/>
      <c r="H150" s="424">
        <f>+'7. WAMKK'!H32</f>
        <v>6515355</v>
      </c>
      <c r="I150" s="73">
        <f>+'7. WAMKK'!I32</f>
        <v>21064460</v>
      </c>
      <c r="J150" s="459">
        <f>+'7. WAMKK'!J32</f>
        <v>0</v>
      </c>
      <c r="K150" s="73"/>
      <c r="L150" s="531">
        <f t="shared" si="179"/>
        <v>0.36161149501139306</v>
      </c>
      <c r="M150" s="531">
        <f t="shared" si="180"/>
        <v>0.67351194886869314</v>
      </c>
      <c r="N150" s="532">
        <f t="shared" si="181"/>
        <v>0</v>
      </c>
      <c r="O150" s="73"/>
      <c r="P150" s="424">
        <f>+'7. WAMKK'!P32</f>
        <v>-600445</v>
      </c>
      <c r="Q150" s="73">
        <f>+'7. WAMKK'!Q32</f>
        <v>13258000</v>
      </c>
      <c r="R150" s="73">
        <f>+'7. WAMKK'!R32</f>
        <v>0</v>
      </c>
      <c r="S150" s="73">
        <f>+'7. WAMKK'!S32</f>
        <v>12657555</v>
      </c>
      <c r="T150" s="547">
        <f t="shared" si="182"/>
        <v>0.67985578472446018</v>
      </c>
    </row>
    <row r="151" spans="1:20" x14ac:dyDescent="0.25">
      <c r="A151" s="452" t="s">
        <v>111</v>
      </c>
      <c r="B151" s="56" t="str">
        <f t="shared" si="178"/>
        <v>Elláttotak pénzbeli juttatásai</v>
      </c>
      <c r="C151" s="424"/>
      <c r="D151" s="73"/>
      <c r="E151" s="73"/>
      <c r="F151" s="435"/>
      <c r="G151" s="73"/>
      <c r="H151" s="424"/>
      <c r="I151" s="73"/>
      <c r="J151" s="459"/>
      <c r="K151" s="73"/>
      <c r="L151" s="531">
        <f t="shared" si="179"/>
        <v>0</v>
      </c>
      <c r="M151" s="531">
        <f t="shared" si="180"/>
        <v>0</v>
      </c>
      <c r="N151" s="532">
        <f t="shared" si="181"/>
        <v>0</v>
      </c>
      <c r="O151" s="73"/>
      <c r="P151" s="424"/>
      <c r="Q151" s="73"/>
      <c r="R151" s="73"/>
      <c r="S151" s="73"/>
      <c r="T151" s="547">
        <f t="shared" si="182"/>
        <v>0</v>
      </c>
    </row>
    <row r="152" spans="1:20" x14ac:dyDescent="0.25">
      <c r="A152" s="453" t="s">
        <v>370</v>
      </c>
      <c r="B152" s="56" t="str">
        <f t="shared" si="178"/>
        <v>Egyéb működési célú kiadások</v>
      </c>
      <c r="C152" s="424"/>
      <c r="D152" s="73"/>
      <c r="E152" s="73"/>
      <c r="F152" s="435"/>
      <c r="G152" s="73"/>
      <c r="H152" s="424"/>
      <c r="I152" s="73"/>
      <c r="J152" s="459"/>
      <c r="K152" s="73"/>
      <c r="L152" s="531">
        <f t="shared" si="179"/>
        <v>0</v>
      </c>
      <c r="M152" s="531">
        <f t="shared" si="180"/>
        <v>0</v>
      </c>
      <c r="N152" s="532">
        <f t="shared" si="181"/>
        <v>0</v>
      </c>
      <c r="O152" s="73"/>
      <c r="P152" s="424"/>
      <c r="Q152" s="73"/>
      <c r="R152" s="73"/>
      <c r="S152" s="73"/>
      <c r="T152" s="547">
        <f t="shared" si="182"/>
        <v>0</v>
      </c>
    </row>
    <row r="153" spans="1:20" x14ac:dyDescent="0.25">
      <c r="A153" s="452" t="s">
        <v>158</v>
      </c>
      <c r="B153" s="56" t="str">
        <f t="shared" si="178"/>
        <v>Beruházások</v>
      </c>
      <c r="C153" s="424">
        <f>+'7. WAMKK'!C83</f>
        <v>10600000</v>
      </c>
      <c r="D153" s="73">
        <f>+'7. WAMKK'!D83</f>
        <v>11200445</v>
      </c>
      <c r="E153" s="73">
        <f>+'7. WAMKK'!E83</f>
        <v>1942445</v>
      </c>
      <c r="F153" s="435">
        <f>+'7. WAMKK'!F83</f>
        <v>0</v>
      </c>
      <c r="G153" s="73"/>
      <c r="H153" s="424">
        <f>+'7. WAMKK'!H83</f>
        <v>724177</v>
      </c>
      <c r="I153" s="73">
        <f>+'7. WAMKK'!I83</f>
        <v>1699567</v>
      </c>
      <c r="J153" s="459">
        <f>+'7. WAMKK'!J83</f>
        <v>0</v>
      </c>
      <c r="K153" s="73"/>
      <c r="L153" s="531">
        <f t="shared" si="179"/>
        <v>6.4656091789210154E-2</v>
      </c>
      <c r="M153" s="531">
        <f t="shared" si="180"/>
        <v>0.87496274025776788</v>
      </c>
      <c r="N153" s="532">
        <f t="shared" si="181"/>
        <v>0</v>
      </c>
      <c r="O153" s="73"/>
      <c r="P153" s="424">
        <f>+'7. WAMKK'!P83</f>
        <v>600445</v>
      </c>
      <c r="Q153" s="73">
        <f>+'7. WAMKK'!Q83</f>
        <v>-9258000</v>
      </c>
      <c r="R153" s="73">
        <f>+'7. WAMKK'!R83</f>
        <v>0</v>
      </c>
      <c r="S153" s="73">
        <f>+'7. WAMKK'!S83</f>
        <v>-8657555</v>
      </c>
      <c r="T153" s="547">
        <f t="shared" si="182"/>
        <v>-0.81675047169811321</v>
      </c>
    </row>
    <row r="154" spans="1:20" x14ac:dyDescent="0.25">
      <c r="A154" s="452" t="s">
        <v>173</v>
      </c>
      <c r="B154" s="56" t="str">
        <f t="shared" si="178"/>
        <v>Felújítások</v>
      </c>
      <c r="C154" s="424">
        <f>+'7. WAMKK'!C86</f>
        <v>0</v>
      </c>
      <c r="D154" s="73">
        <f>+'7. WAMKK'!D86</f>
        <v>0</v>
      </c>
      <c r="E154" s="73">
        <f>+'7. WAMKK'!E86</f>
        <v>0</v>
      </c>
      <c r="F154" s="435">
        <f>+'7. WAMKK'!F86</f>
        <v>0</v>
      </c>
      <c r="G154" s="73"/>
      <c r="H154" s="424">
        <f>+'7. WAMKK'!H86</f>
        <v>0</v>
      </c>
      <c r="I154" s="73">
        <f>+'7. WAMKK'!I86</f>
        <v>0</v>
      </c>
      <c r="J154" s="459">
        <f>+'7. WAMKK'!J86</f>
        <v>0</v>
      </c>
      <c r="K154" s="73"/>
      <c r="L154" s="531">
        <f t="shared" si="179"/>
        <v>0</v>
      </c>
      <c r="M154" s="531">
        <f t="shared" si="180"/>
        <v>0</v>
      </c>
      <c r="N154" s="532">
        <f t="shared" si="181"/>
        <v>0</v>
      </c>
      <c r="O154" s="73"/>
      <c r="P154" s="424">
        <f>+'7. WAMKK'!P86</f>
        <v>0</v>
      </c>
      <c r="Q154" s="73">
        <f>+'7. WAMKK'!Q86</f>
        <v>0</v>
      </c>
      <c r="R154" s="73">
        <f>+'7. WAMKK'!R86</f>
        <v>0</v>
      </c>
      <c r="S154" s="73">
        <f>+'7. WAMKK'!S86</f>
        <v>0</v>
      </c>
      <c r="T154" s="547">
        <f t="shared" si="182"/>
        <v>0</v>
      </c>
    </row>
    <row r="155" spans="1:20" x14ac:dyDescent="0.25">
      <c r="A155" s="452" t="s">
        <v>183</v>
      </c>
      <c r="B155" s="56" t="str">
        <f t="shared" si="178"/>
        <v>Szolgáltatások kiadásai</v>
      </c>
      <c r="C155" s="424"/>
      <c r="D155" s="73"/>
      <c r="E155" s="73"/>
      <c r="F155" s="435"/>
      <c r="G155" s="73"/>
      <c r="H155" s="424"/>
      <c r="I155" s="73"/>
      <c r="J155" s="459"/>
      <c r="K155" s="73"/>
      <c r="L155" s="531">
        <f t="shared" si="179"/>
        <v>0</v>
      </c>
      <c r="M155" s="531">
        <f t="shared" si="180"/>
        <v>0</v>
      </c>
      <c r="N155" s="532">
        <f t="shared" si="181"/>
        <v>0</v>
      </c>
      <c r="O155" s="73"/>
      <c r="P155" s="424"/>
      <c r="Q155" s="73"/>
      <c r="R155" s="73"/>
      <c r="S155" s="73"/>
      <c r="T155" s="547">
        <f t="shared" si="182"/>
        <v>0</v>
      </c>
    </row>
    <row r="156" spans="1:20" x14ac:dyDescent="0.25">
      <c r="A156" s="452" t="s">
        <v>200</v>
      </c>
      <c r="B156" s="56" t="str">
        <f t="shared" si="178"/>
        <v>Finanszírozási kiadások</v>
      </c>
      <c r="C156" s="424"/>
      <c r="D156" s="73"/>
      <c r="E156" s="73"/>
      <c r="F156" s="435"/>
      <c r="G156" s="73"/>
      <c r="H156" s="424"/>
      <c r="I156" s="73"/>
      <c r="J156" s="459"/>
      <c r="K156" s="73"/>
      <c r="L156" s="531">
        <f t="shared" si="179"/>
        <v>0</v>
      </c>
      <c r="M156" s="531">
        <f t="shared" si="180"/>
        <v>0</v>
      </c>
      <c r="N156" s="532">
        <f t="shared" si="181"/>
        <v>0</v>
      </c>
      <c r="O156" s="73"/>
      <c r="P156" s="424"/>
      <c r="Q156" s="73"/>
      <c r="R156" s="73"/>
      <c r="S156" s="73"/>
      <c r="T156" s="547">
        <f t="shared" si="182"/>
        <v>0</v>
      </c>
    </row>
    <row r="157" spans="1:20" x14ac:dyDescent="0.25">
      <c r="A157" s="454"/>
      <c r="B157" s="390" t="s">
        <v>372</v>
      </c>
      <c r="C157" s="429">
        <f>SUM(C148:C156)</f>
        <v>53000000</v>
      </c>
      <c r="D157" s="391">
        <f t="shared" ref="D157" si="183">SUM(D148:D156)</f>
        <v>53000000</v>
      </c>
      <c r="E157" s="391">
        <f t="shared" ref="E157" si="184">SUM(E148:E156)</f>
        <v>57000000</v>
      </c>
      <c r="F157" s="448">
        <f t="shared" ref="F157" si="185">SUM(F148:F156)</f>
        <v>0</v>
      </c>
      <c r="G157" s="391"/>
      <c r="H157" s="429">
        <f t="shared" ref="H157" si="186">SUM(H148:H156)</f>
        <v>16779304</v>
      </c>
      <c r="I157" s="391">
        <f t="shared" ref="I157" si="187">SUM(I148:I156)</f>
        <v>37075792</v>
      </c>
      <c r="J157" s="393">
        <f t="shared" ref="J157" si="188">SUM(J148:J156)</f>
        <v>0</v>
      </c>
      <c r="K157" s="394"/>
      <c r="L157" s="541">
        <f t="shared" si="179"/>
        <v>0.31659064150943395</v>
      </c>
      <c r="M157" s="541">
        <f t="shared" si="180"/>
        <v>0.65045249122807014</v>
      </c>
      <c r="N157" s="542">
        <f t="shared" si="181"/>
        <v>0</v>
      </c>
      <c r="O157" s="394"/>
      <c r="P157" s="429">
        <f t="shared" ref="P157" si="189">SUM(P148:P156)</f>
        <v>0</v>
      </c>
      <c r="Q157" s="391">
        <f t="shared" ref="Q157" si="190">SUM(Q148:Q156)</f>
        <v>4000000</v>
      </c>
      <c r="R157" s="391">
        <f t="shared" ref="R157" si="191">SUM(R148:R156)</f>
        <v>0</v>
      </c>
      <c r="S157" s="393">
        <f t="shared" ref="S157" si="192">SUM(S148:S156)</f>
        <v>4000000</v>
      </c>
      <c r="T157" s="548">
        <f t="shared" si="182"/>
        <v>7.5471698113207544E-2</v>
      </c>
    </row>
    <row r="158" spans="1:20" x14ac:dyDescent="0.25">
      <c r="A158" s="403"/>
      <c r="C158" s="403"/>
      <c r="F158" s="446"/>
      <c r="H158" s="403"/>
      <c r="J158" s="457"/>
      <c r="L158" s="531"/>
      <c r="M158" s="531"/>
      <c r="N158" s="532"/>
      <c r="P158" s="403"/>
      <c r="T158" s="547"/>
    </row>
    <row r="159" spans="1:20" x14ac:dyDescent="0.25">
      <c r="A159" s="400" t="str">
        <f t="shared" ref="A159:B165" si="193">+A132</f>
        <v>B1</v>
      </c>
      <c r="B159" s="56" t="str">
        <f t="shared" si="193"/>
        <v>Működési célú tám-ok államháztartáson belülről</v>
      </c>
      <c r="C159" s="424">
        <f>+'7. WAMKK'!C93</f>
        <v>0</v>
      </c>
      <c r="D159" s="73">
        <f>+'7. WAMKK'!D93</f>
        <v>0</v>
      </c>
      <c r="E159" s="73">
        <f>+'7. WAMKK'!E93</f>
        <v>0</v>
      </c>
      <c r="F159" s="435">
        <f>+'7. WAMKK'!F93</f>
        <v>0</v>
      </c>
      <c r="G159" s="73"/>
      <c r="H159" s="424">
        <f>+'7. WAMKK'!H93</f>
        <v>3054770</v>
      </c>
      <c r="I159" s="73">
        <f>+'7. WAMKK'!I93</f>
        <v>3054770</v>
      </c>
      <c r="J159" s="459">
        <f>+'7. WAMKK'!J93</f>
        <v>0</v>
      </c>
      <c r="K159" s="73"/>
      <c r="L159" s="531">
        <f t="shared" ref="L159:L168" si="194">IF(D159=0,0,H159/D159)</f>
        <v>0</v>
      </c>
      <c r="M159" s="531">
        <f t="shared" ref="M159:M168" si="195">IF(E159=0,0,I159/E159)</f>
        <v>0</v>
      </c>
      <c r="N159" s="532">
        <f t="shared" ref="N159:N168" si="196">IF(F159=0,0,J159/F159)</f>
        <v>0</v>
      </c>
      <c r="O159" s="73"/>
      <c r="P159" s="424">
        <f>+'7. WAMKK'!P93</f>
        <v>0</v>
      </c>
      <c r="Q159" s="73">
        <f>+'7. WAMKK'!Q93</f>
        <v>0</v>
      </c>
      <c r="R159" s="73">
        <f>+'7. WAMKK'!R93</f>
        <v>0</v>
      </c>
      <c r="S159" s="73">
        <f>+'7. WAMKK'!S93</f>
        <v>0</v>
      </c>
      <c r="T159" s="547">
        <f t="shared" si="182"/>
        <v>0</v>
      </c>
    </row>
    <row r="160" spans="1:20" x14ac:dyDescent="0.25">
      <c r="A160" s="400" t="str">
        <f t="shared" si="193"/>
        <v>B2</v>
      </c>
      <c r="B160" s="56" t="str">
        <f t="shared" si="193"/>
        <v>Felhalmozási célú tám-ok államházt-on belülről</v>
      </c>
      <c r="C160" s="424"/>
      <c r="D160" s="73"/>
      <c r="E160" s="73"/>
      <c r="F160" s="435"/>
      <c r="G160" s="73"/>
      <c r="H160" s="424"/>
      <c r="I160" s="73"/>
      <c r="J160" s="459"/>
      <c r="K160" s="73"/>
      <c r="L160" s="531">
        <f t="shared" si="194"/>
        <v>0</v>
      </c>
      <c r="M160" s="531">
        <f t="shared" si="195"/>
        <v>0</v>
      </c>
      <c r="N160" s="532">
        <f t="shared" si="196"/>
        <v>0</v>
      </c>
      <c r="O160" s="73"/>
      <c r="P160" s="424"/>
      <c r="Q160" s="73"/>
      <c r="R160" s="73"/>
      <c r="S160" s="73"/>
      <c r="T160" s="547">
        <f t="shared" si="182"/>
        <v>0</v>
      </c>
    </row>
    <row r="161" spans="1:20" x14ac:dyDescent="0.25">
      <c r="A161" s="400" t="str">
        <f t="shared" si="193"/>
        <v>B3</v>
      </c>
      <c r="B161" s="56" t="str">
        <f t="shared" si="193"/>
        <v>Közhatalmi bevételek</v>
      </c>
      <c r="C161" s="424"/>
      <c r="D161" s="73"/>
      <c r="E161" s="73"/>
      <c r="F161" s="435"/>
      <c r="G161" s="73"/>
      <c r="H161" s="424"/>
      <c r="I161" s="73"/>
      <c r="J161" s="459"/>
      <c r="K161" s="73"/>
      <c r="L161" s="531">
        <f t="shared" si="194"/>
        <v>0</v>
      </c>
      <c r="M161" s="531">
        <f t="shared" si="195"/>
        <v>0</v>
      </c>
      <c r="N161" s="532">
        <f t="shared" si="196"/>
        <v>0</v>
      </c>
      <c r="O161" s="73"/>
      <c r="P161" s="424"/>
      <c r="Q161" s="73"/>
      <c r="R161" s="73"/>
      <c r="S161" s="73"/>
      <c r="T161" s="547">
        <f t="shared" si="182"/>
        <v>0</v>
      </c>
    </row>
    <row r="162" spans="1:20" x14ac:dyDescent="0.25">
      <c r="A162" s="400" t="str">
        <f t="shared" si="193"/>
        <v>B4</v>
      </c>
      <c r="B162" s="56" t="str">
        <f t="shared" si="193"/>
        <v>Működési bevételek</v>
      </c>
      <c r="C162" s="424">
        <f>+'7. WAMKK'!C95</f>
        <v>821000</v>
      </c>
      <c r="D162" s="73">
        <f>+'7. WAMKK'!D95</f>
        <v>821000</v>
      </c>
      <c r="E162" s="73">
        <f>+'7. WAMKK'!E95</f>
        <v>821000</v>
      </c>
      <c r="F162" s="435">
        <f>+'7. WAMKK'!F95</f>
        <v>0</v>
      </c>
      <c r="G162" s="73"/>
      <c r="H162" s="424">
        <f>+'7. WAMKK'!H95</f>
        <v>673005</v>
      </c>
      <c r="I162" s="73">
        <f>+'7. WAMKK'!I95</f>
        <v>906976</v>
      </c>
      <c r="J162" s="459">
        <f>+'7. WAMKK'!J95</f>
        <v>0</v>
      </c>
      <c r="K162" s="73"/>
      <c r="L162" s="531">
        <f t="shared" si="194"/>
        <v>0.81973812423873327</v>
      </c>
      <c r="M162" s="531">
        <f t="shared" si="195"/>
        <v>1.1047210718635809</v>
      </c>
      <c r="N162" s="532">
        <f t="shared" si="196"/>
        <v>0</v>
      </c>
      <c r="O162" s="73"/>
      <c r="P162" s="424">
        <f>+'7. WAMKK'!P95</f>
        <v>0</v>
      </c>
      <c r="Q162" s="73">
        <f>+'7. WAMKK'!Q95</f>
        <v>0</v>
      </c>
      <c r="R162" s="73">
        <f>+'7. WAMKK'!R95</f>
        <v>0</v>
      </c>
      <c r="S162" s="73">
        <f>+'7. WAMKK'!S95</f>
        <v>0</v>
      </c>
      <c r="T162" s="547">
        <f t="shared" si="182"/>
        <v>0</v>
      </c>
    </row>
    <row r="163" spans="1:20" x14ac:dyDescent="0.25">
      <c r="A163" s="400" t="str">
        <f t="shared" si="193"/>
        <v>B5</v>
      </c>
      <c r="B163" s="56" t="str">
        <f t="shared" si="193"/>
        <v>Felhalmozási bevételek</v>
      </c>
      <c r="C163" s="424"/>
      <c r="D163" s="73"/>
      <c r="E163" s="73"/>
      <c r="F163" s="435"/>
      <c r="G163" s="73"/>
      <c r="H163" s="424"/>
      <c r="I163" s="73"/>
      <c r="J163" s="459"/>
      <c r="K163" s="73"/>
      <c r="L163" s="531">
        <f t="shared" si="194"/>
        <v>0</v>
      </c>
      <c r="M163" s="531">
        <f t="shared" si="195"/>
        <v>0</v>
      </c>
      <c r="N163" s="532">
        <f t="shared" si="196"/>
        <v>0</v>
      </c>
      <c r="O163" s="73"/>
      <c r="P163" s="424"/>
      <c r="Q163" s="73"/>
      <c r="R163" s="73"/>
      <c r="S163" s="73"/>
      <c r="T163" s="547">
        <f t="shared" si="182"/>
        <v>0</v>
      </c>
    </row>
    <row r="164" spans="1:20" x14ac:dyDescent="0.25">
      <c r="A164" s="400" t="str">
        <f t="shared" si="193"/>
        <v>B6</v>
      </c>
      <c r="B164" s="56" t="str">
        <f t="shared" si="193"/>
        <v>Működési célú átvett pénzeszközök</v>
      </c>
      <c r="C164" s="424"/>
      <c r="D164" s="73"/>
      <c r="E164" s="73"/>
      <c r="F164" s="435"/>
      <c r="G164" s="73"/>
      <c r="H164" s="424"/>
      <c r="I164" s="73"/>
      <c r="J164" s="459"/>
      <c r="K164" s="73"/>
      <c r="L164" s="531">
        <f t="shared" si="194"/>
        <v>0</v>
      </c>
      <c r="M164" s="531">
        <f t="shared" si="195"/>
        <v>0</v>
      </c>
      <c r="N164" s="532">
        <f t="shared" si="196"/>
        <v>0</v>
      </c>
      <c r="O164" s="73"/>
      <c r="P164" s="424"/>
      <c r="Q164" s="73"/>
      <c r="R164" s="73"/>
      <c r="S164" s="73"/>
      <c r="T164" s="547">
        <f t="shared" si="182"/>
        <v>0</v>
      </c>
    </row>
    <row r="165" spans="1:20" x14ac:dyDescent="0.25">
      <c r="A165" s="400" t="str">
        <f t="shared" si="193"/>
        <v>B7</v>
      </c>
      <c r="B165" s="56" t="str">
        <f t="shared" si="193"/>
        <v>Felhalmozási célú átvett pénzeszközök</v>
      </c>
      <c r="C165" s="424"/>
      <c r="D165" s="73"/>
      <c r="E165" s="73"/>
      <c r="F165" s="435"/>
      <c r="G165" s="73"/>
      <c r="H165" s="424"/>
      <c r="I165" s="73"/>
      <c r="J165" s="459"/>
      <c r="K165" s="73"/>
      <c r="L165" s="531">
        <f t="shared" si="194"/>
        <v>0</v>
      </c>
      <c r="M165" s="531">
        <f t="shared" si="195"/>
        <v>0</v>
      </c>
      <c r="N165" s="532">
        <f t="shared" si="196"/>
        <v>0</v>
      </c>
      <c r="O165" s="73"/>
      <c r="P165" s="424"/>
      <c r="Q165" s="73"/>
      <c r="R165" s="73"/>
      <c r="S165" s="73"/>
      <c r="T165" s="547">
        <f t="shared" si="182"/>
        <v>0</v>
      </c>
    </row>
    <row r="166" spans="1:20" x14ac:dyDescent="0.25">
      <c r="A166" s="400" t="str">
        <f>+A139</f>
        <v>B8-ból maradványértéken túli finanszírozási bevételek</v>
      </c>
      <c r="B166" s="56"/>
      <c r="C166" s="424">
        <f>+'7. WAMKK'!C99-C167</f>
        <v>45073370</v>
      </c>
      <c r="D166" s="73">
        <f>+'7. WAMKK'!D99-D167</f>
        <v>45073370</v>
      </c>
      <c r="E166" s="73">
        <f>+'7. WAMKK'!E99-E167</f>
        <v>49073370</v>
      </c>
      <c r="F166" s="435">
        <f>+'7. WAMKK'!F99-F167</f>
        <v>0</v>
      </c>
      <c r="G166" s="73"/>
      <c r="H166" s="424">
        <f>+'7. WAMKK'!H99-H167</f>
        <v>10110827</v>
      </c>
      <c r="I166" s="73">
        <f>+'7. WAMKK'!I99-I167</f>
        <v>28115845</v>
      </c>
      <c r="J166" s="459">
        <f>+'7. WAMKK'!J99-J167</f>
        <v>0</v>
      </c>
      <c r="K166" s="73"/>
      <c r="L166" s="531">
        <f t="shared" si="194"/>
        <v>0.22431930428099786</v>
      </c>
      <c r="M166" s="531">
        <f t="shared" si="195"/>
        <v>0.57293487282409994</v>
      </c>
      <c r="N166" s="532">
        <f t="shared" si="196"/>
        <v>0</v>
      </c>
      <c r="O166" s="73"/>
      <c r="P166" s="424">
        <f>+'7. WAMKK'!P99-P167</f>
        <v>0</v>
      </c>
      <c r="Q166" s="73">
        <f>+'7. WAMKK'!Q99-Q167</f>
        <v>4000000</v>
      </c>
      <c r="R166" s="73">
        <f>+'7. WAMKK'!R99-R167</f>
        <v>0</v>
      </c>
      <c r="S166" s="73">
        <f>+'7. WAMKK'!S99-S167</f>
        <v>4000000</v>
      </c>
      <c r="T166" s="547">
        <f t="shared" si="182"/>
        <v>8.874419640688061E-2</v>
      </c>
    </row>
    <row r="167" spans="1:20" x14ac:dyDescent="0.25">
      <c r="A167" s="400" t="str">
        <f>+A140</f>
        <v>B8-ból előző évi mardvány igénybevétele</v>
      </c>
      <c r="B167" s="56"/>
      <c r="C167" s="424">
        <f>+'7. WAMKK'!C101</f>
        <v>7105630</v>
      </c>
      <c r="D167" s="73">
        <f>+'7. WAMKK'!D101</f>
        <v>7105630</v>
      </c>
      <c r="E167" s="73">
        <f>+'7. WAMKK'!E101</f>
        <v>7105630</v>
      </c>
      <c r="F167" s="435">
        <f>+'7. WAMKK'!F101</f>
        <v>0</v>
      </c>
      <c r="G167" s="73"/>
      <c r="H167" s="424">
        <f>+'7. WAMKK'!H101</f>
        <v>7105630</v>
      </c>
      <c r="I167" s="73">
        <f>+'7. WAMKK'!I101</f>
        <v>7105630</v>
      </c>
      <c r="J167" s="459">
        <f>+'7. WAMKK'!J101</f>
        <v>0</v>
      </c>
      <c r="K167" s="73"/>
      <c r="L167" s="531">
        <f t="shared" si="194"/>
        <v>1</v>
      </c>
      <c r="M167" s="531">
        <f t="shared" si="195"/>
        <v>1</v>
      </c>
      <c r="N167" s="532">
        <f t="shared" si="196"/>
        <v>0</v>
      </c>
      <c r="O167" s="73"/>
      <c r="P167" s="424">
        <f>+'7. WAMKK'!P101</f>
        <v>0</v>
      </c>
      <c r="Q167" s="73">
        <f>+'7. WAMKK'!Q101</f>
        <v>0</v>
      </c>
      <c r="R167" s="73">
        <f>+'7. WAMKK'!R101</f>
        <v>0</v>
      </c>
      <c r="S167" s="73">
        <f>+'7. WAMKK'!S101</f>
        <v>0</v>
      </c>
      <c r="T167" s="547">
        <f t="shared" si="182"/>
        <v>0</v>
      </c>
    </row>
    <row r="168" spans="1:20" x14ac:dyDescent="0.25">
      <c r="A168" s="455"/>
      <c r="B168" s="390" t="s">
        <v>371</v>
      </c>
      <c r="C168" s="429">
        <f>SUM(C159:C167)</f>
        <v>53000000</v>
      </c>
      <c r="D168" s="391">
        <f t="shared" ref="D168" si="197">SUM(D159:D167)</f>
        <v>53000000</v>
      </c>
      <c r="E168" s="391">
        <f t="shared" ref="E168" si="198">SUM(E159:E167)</f>
        <v>57000000</v>
      </c>
      <c r="F168" s="448">
        <f t="shared" ref="F168" si="199">SUM(F159:F167)</f>
        <v>0</v>
      </c>
      <c r="G168" s="391"/>
      <c r="H168" s="429">
        <f t="shared" ref="H168" si="200">SUM(H159:H167)</f>
        <v>20944232</v>
      </c>
      <c r="I168" s="391">
        <f t="shared" ref="I168" si="201">SUM(I159:I167)</f>
        <v>39183221</v>
      </c>
      <c r="J168" s="393">
        <f t="shared" ref="J168" si="202">SUM(J159:J167)</f>
        <v>0</v>
      </c>
      <c r="K168" s="392"/>
      <c r="L168" s="543">
        <f t="shared" si="194"/>
        <v>0.39517418867924531</v>
      </c>
      <c r="M168" s="543">
        <f t="shared" si="195"/>
        <v>0.68742492982456138</v>
      </c>
      <c r="N168" s="544">
        <f t="shared" si="196"/>
        <v>0</v>
      </c>
      <c r="O168" s="392"/>
      <c r="P168" s="429">
        <f t="shared" ref="P168" si="203">SUM(P159:P167)</f>
        <v>0</v>
      </c>
      <c r="Q168" s="391">
        <f t="shared" ref="Q168" si="204">SUM(Q159:Q167)</f>
        <v>4000000</v>
      </c>
      <c r="R168" s="391">
        <f t="shared" ref="R168" si="205">SUM(R159:R167)</f>
        <v>0</v>
      </c>
      <c r="S168" s="393">
        <f t="shared" ref="S168" si="206">SUM(S159:S167)</f>
        <v>4000000</v>
      </c>
      <c r="T168" s="548">
        <f t="shared" si="182"/>
        <v>7.5471698113207544E-2</v>
      </c>
    </row>
    <row r="169" spans="1:20" x14ac:dyDescent="0.25">
      <c r="A169" s="403"/>
      <c r="B169" s="73"/>
      <c r="C169" s="424"/>
      <c r="D169" s="73"/>
      <c r="E169" s="73"/>
      <c r="F169" s="435"/>
      <c r="G169" s="73"/>
      <c r="H169" s="424"/>
      <c r="I169" s="73"/>
      <c r="J169" s="459"/>
      <c r="K169" s="73"/>
      <c r="L169" s="531"/>
      <c r="M169" s="531"/>
      <c r="N169" s="532"/>
      <c r="O169" s="73"/>
      <c r="P169" s="424"/>
      <c r="Q169" s="73"/>
      <c r="R169" s="73"/>
      <c r="S169" s="73"/>
      <c r="T169" s="549"/>
    </row>
    <row r="170" spans="1:20" ht="13.8" thickBot="1" x14ac:dyDescent="0.3">
      <c r="A170" s="406"/>
      <c r="B170" s="407" t="s">
        <v>451</v>
      </c>
      <c r="C170" s="428">
        <f>+C168-C157</f>
        <v>0</v>
      </c>
      <c r="D170" s="408">
        <f>+D168-D157</f>
        <v>0</v>
      </c>
      <c r="E170" s="408">
        <f>+E168-E157</f>
        <v>0</v>
      </c>
      <c r="F170" s="445">
        <f>+F168-F157</f>
        <v>0</v>
      </c>
      <c r="G170" s="408"/>
      <c r="H170" s="428">
        <f>+H168-H157</f>
        <v>4164928</v>
      </c>
      <c r="I170" s="408">
        <f>+I168-I157</f>
        <v>2107429</v>
      </c>
      <c r="J170" s="410">
        <f>+J168-J157</f>
        <v>0</v>
      </c>
      <c r="K170" s="409"/>
      <c r="L170" s="537">
        <f t="shared" ref="L170" si="207">IF(D170=0,0,H170/D170)</f>
        <v>0</v>
      </c>
      <c r="M170" s="537">
        <f t="shared" ref="M170" si="208">IF(E170=0,0,I170/E170)</f>
        <v>0</v>
      </c>
      <c r="N170" s="538">
        <f t="shared" ref="N170" si="209">IF(F170=0,0,J170/F170)</f>
        <v>0</v>
      </c>
      <c r="O170" s="409"/>
      <c r="P170" s="428">
        <f>+P168-P157</f>
        <v>0</v>
      </c>
      <c r="Q170" s="408">
        <f>+Q168-Q157</f>
        <v>0</v>
      </c>
      <c r="R170" s="408">
        <f>+R168-R157</f>
        <v>0</v>
      </c>
      <c r="S170" s="410">
        <f>+S168-S157</f>
        <v>0</v>
      </c>
      <c r="T170" s="550"/>
    </row>
    <row r="171" spans="1:20" x14ac:dyDescent="0.25">
      <c r="B171" s="73"/>
      <c r="C171" s="424"/>
      <c r="D171" s="73"/>
      <c r="E171" s="73"/>
      <c r="F171" s="435"/>
      <c r="G171" s="73"/>
      <c r="H171" s="424"/>
      <c r="I171" s="73"/>
      <c r="J171" s="459"/>
      <c r="K171" s="73"/>
      <c r="L171" s="531"/>
      <c r="M171" s="531"/>
      <c r="N171" s="532"/>
      <c r="O171" s="73"/>
      <c r="P171" s="424"/>
      <c r="Q171" s="73"/>
      <c r="R171" s="73"/>
      <c r="S171" s="73"/>
      <c r="T171" s="549"/>
    </row>
    <row r="172" spans="1:20" ht="13.8" thickBot="1" x14ac:dyDescent="0.3">
      <c r="B172" s="73"/>
      <c r="C172" s="424"/>
      <c r="D172" s="73"/>
      <c r="E172" s="73"/>
      <c r="F172" s="435"/>
      <c r="G172" s="73"/>
      <c r="H172" s="424"/>
      <c r="I172" s="73"/>
      <c r="J172" s="459"/>
      <c r="K172" s="73"/>
      <c r="L172" s="531"/>
      <c r="M172" s="531"/>
      <c r="N172" s="532"/>
      <c r="O172" s="73"/>
      <c r="P172" s="424"/>
      <c r="Q172" s="73"/>
      <c r="R172" s="73"/>
      <c r="S172" s="73"/>
      <c r="T172" s="549"/>
    </row>
    <row r="173" spans="1:20" ht="18" thickBot="1" x14ac:dyDescent="0.35">
      <c r="A173" s="413" t="s">
        <v>420</v>
      </c>
      <c r="B173" s="415"/>
      <c r="C173" s="424"/>
      <c r="D173" s="73"/>
      <c r="E173" s="73"/>
      <c r="F173" s="435"/>
      <c r="G173" s="73"/>
      <c r="H173" s="424"/>
      <c r="I173" s="73"/>
      <c r="J173" s="459"/>
      <c r="K173" s="73"/>
      <c r="L173" s="531"/>
      <c r="M173" s="531"/>
      <c r="N173" s="532"/>
      <c r="O173" s="73"/>
      <c r="P173" s="424"/>
      <c r="Q173" s="73"/>
      <c r="R173" s="73"/>
      <c r="S173" s="73"/>
      <c r="T173" s="549"/>
    </row>
    <row r="174" spans="1:20" x14ac:dyDescent="0.25">
      <c r="A174" s="425"/>
      <c r="B174" s="416"/>
      <c r="C174" s="425"/>
      <c r="D174" s="416"/>
      <c r="E174" s="416"/>
      <c r="F174" s="415"/>
      <c r="G174" s="416"/>
      <c r="H174" s="425"/>
      <c r="I174" s="416"/>
      <c r="J174" s="461"/>
      <c r="K174" s="416"/>
      <c r="L174" s="539"/>
      <c r="M174" s="539"/>
      <c r="N174" s="540"/>
      <c r="O174" s="416"/>
      <c r="P174" s="425"/>
      <c r="Q174" s="416"/>
      <c r="R174" s="416"/>
      <c r="S174" s="416"/>
      <c r="T174" s="551"/>
    </row>
    <row r="175" spans="1:20" x14ac:dyDescent="0.25">
      <c r="A175" s="400" t="s">
        <v>0</v>
      </c>
      <c r="B175" s="56" t="str">
        <f t="shared" ref="B175:B183" si="210">+B148</f>
        <v>Személyi juttatások</v>
      </c>
      <c r="C175" s="424">
        <f>+'9. Közp. Konyha'!C13</f>
        <v>37575000</v>
      </c>
      <c r="D175" s="73">
        <f>+'9. Közp. Konyha'!D13</f>
        <v>37575000</v>
      </c>
      <c r="E175" s="73">
        <f>+'9. Közp. Konyha'!E13</f>
        <v>37773000</v>
      </c>
      <c r="F175" s="435">
        <f>+'9. Közp. Konyha'!F13</f>
        <v>0</v>
      </c>
      <c r="G175" s="73"/>
      <c r="H175" s="424">
        <f>+'9. Közp. Konyha'!H13</f>
        <v>19315155</v>
      </c>
      <c r="I175" s="73">
        <f>+'9. Közp. Konyha'!I13</f>
        <v>28899369</v>
      </c>
      <c r="J175" s="459">
        <f>+'9. Közp. Konyha'!J13</f>
        <v>0</v>
      </c>
      <c r="K175" s="73"/>
      <c r="L175" s="531">
        <f t="shared" ref="L175:L184" si="211">IF(D175=0,0,H175/D175)</f>
        <v>0.51404271457085826</v>
      </c>
      <c r="M175" s="531">
        <f t="shared" ref="M175:M184" si="212">IF(E175=0,0,I175/E175)</f>
        <v>0.76508005718370264</v>
      </c>
      <c r="N175" s="532">
        <f t="shared" ref="N175:N184" si="213">IF(F175=0,0,J175/F175)</f>
        <v>0</v>
      </c>
      <c r="O175" s="73"/>
      <c r="P175" s="424">
        <f>+'9. Közp. Konyha'!P13</f>
        <v>0</v>
      </c>
      <c r="Q175" s="73">
        <f>+'9. Közp. Konyha'!Q13</f>
        <v>198000</v>
      </c>
      <c r="R175" s="73">
        <f>+'9. Közp. Konyha'!R13</f>
        <v>0</v>
      </c>
      <c r="S175" s="73">
        <f>+'9. Közp. Konyha'!S13</f>
        <v>198000</v>
      </c>
      <c r="T175" s="547">
        <f>IF(S175=0,0,S175/C175)</f>
        <v>5.2694610778443113E-3</v>
      </c>
    </row>
    <row r="176" spans="1:20" x14ac:dyDescent="0.25">
      <c r="A176" s="400" t="s">
        <v>26</v>
      </c>
      <c r="B176" s="56" t="str">
        <f t="shared" si="210"/>
        <v>Munkaadót terhelő járulékok és szociális hozzájárulás</v>
      </c>
      <c r="C176" s="424">
        <f>+'9. Közp. Konyha'!C29</f>
        <v>4900000</v>
      </c>
      <c r="D176" s="73">
        <f>+'9. Közp. Konyha'!D29</f>
        <v>4900000</v>
      </c>
      <c r="E176" s="73">
        <f>+'9. Közp. Konyha'!E29</f>
        <v>4900000</v>
      </c>
      <c r="F176" s="435">
        <f>+'9. Közp. Konyha'!F29</f>
        <v>0</v>
      </c>
      <c r="G176" s="73"/>
      <c r="H176" s="424">
        <f>+'9. Közp. Konyha'!H29</f>
        <v>2617548</v>
      </c>
      <c r="I176" s="73">
        <f>+'9. Közp. Konyha'!I29</f>
        <v>3907734</v>
      </c>
      <c r="J176" s="459">
        <f>+'9. Közp. Konyha'!J29</f>
        <v>0</v>
      </c>
      <c r="K176" s="73"/>
      <c r="L176" s="531">
        <f t="shared" si="211"/>
        <v>0.53419346938775514</v>
      </c>
      <c r="M176" s="531">
        <f t="shared" si="212"/>
        <v>0.7974967346938775</v>
      </c>
      <c r="N176" s="532">
        <f t="shared" si="213"/>
        <v>0</v>
      </c>
      <c r="O176" s="73"/>
      <c r="P176" s="424">
        <f>+'9. Közp. Konyha'!P29</f>
        <v>0</v>
      </c>
      <c r="Q176" s="73">
        <f>+'9. Közp. Konyha'!Q29</f>
        <v>0</v>
      </c>
      <c r="R176" s="73">
        <f>+'9. Közp. Konyha'!R29</f>
        <v>0</v>
      </c>
      <c r="S176" s="73">
        <f>+'9. Közp. Konyha'!S29</f>
        <v>0</v>
      </c>
      <c r="T176" s="547">
        <f t="shared" ref="T176:T195" si="214">IF(S176=0,0,S176/C176)</f>
        <v>0</v>
      </c>
    </row>
    <row r="177" spans="1:20" x14ac:dyDescent="0.25">
      <c r="A177" s="400" t="s">
        <v>29</v>
      </c>
      <c r="B177" s="56" t="str">
        <f t="shared" si="210"/>
        <v>Dologi kiadások</v>
      </c>
      <c r="C177" s="424">
        <f>+'9. Közp. Konyha'!C32</f>
        <v>73070000</v>
      </c>
      <c r="D177" s="73">
        <f>+'9. Közp. Konyha'!D32</f>
        <v>73070000</v>
      </c>
      <c r="E177" s="73">
        <f>+'9. Közp. Konyha'!E32</f>
        <v>72394766</v>
      </c>
      <c r="F177" s="435">
        <f>+'9. Közp. Konyha'!F32</f>
        <v>0</v>
      </c>
      <c r="G177" s="73"/>
      <c r="H177" s="424">
        <f>+'9. Közp. Konyha'!H32</f>
        <v>41796581</v>
      </c>
      <c r="I177" s="73">
        <f>+'9. Közp. Konyha'!I32</f>
        <v>55559780</v>
      </c>
      <c r="J177" s="459">
        <f>+'9. Közp. Konyha'!J32</f>
        <v>0</v>
      </c>
      <c r="K177" s="73"/>
      <c r="L177" s="531">
        <f t="shared" si="211"/>
        <v>0.57200740385931303</v>
      </c>
      <c r="M177" s="531">
        <f t="shared" si="212"/>
        <v>0.76745575778226838</v>
      </c>
      <c r="N177" s="532">
        <f t="shared" si="213"/>
        <v>0</v>
      </c>
      <c r="O177" s="73"/>
      <c r="P177" s="424">
        <f>+'9. Közp. Konyha'!P32</f>
        <v>0</v>
      </c>
      <c r="Q177" s="73">
        <f>+'9. Közp. Konyha'!Q32</f>
        <v>-675234</v>
      </c>
      <c r="R177" s="73">
        <f>+'9. Közp. Konyha'!R32</f>
        <v>0</v>
      </c>
      <c r="S177" s="73">
        <f>+'9. Közp. Konyha'!S32</f>
        <v>-675234</v>
      </c>
      <c r="T177" s="547">
        <f t="shared" si="214"/>
        <v>-9.2409196660736288E-3</v>
      </c>
    </row>
    <row r="178" spans="1:20" x14ac:dyDescent="0.25">
      <c r="A178" s="400" t="s">
        <v>111</v>
      </c>
      <c r="B178" s="56" t="str">
        <f t="shared" si="210"/>
        <v>Elláttotak pénzbeli juttatásai</v>
      </c>
      <c r="C178" s="424"/>
      <c r="D178" s="73"/>
      <c r="E178" s="73"/>
      <c r="F178" s="435"/>
      <c r="G178" s="73"/>
      <c r="H178" s="424"/>
      <c r="I178" s="73"/>
      <c r="J178" s="459"/>
      <c r="K178" s="73"/>
      <c r="L178" s="531">
        <f t="shared" si="211"/>
        <v>0</v>
      </c>
      <c r="M178" s="531">
        <f t="shared" si="212"/>
        <v>0</v>
      </c>
      <c r="N178" s="532">
        <f t="shared" si="213"/>
        <v>0</v>
      </c>
      <c r="O178" s="73"/>
      <c r="P178" s="424"/>
      <c r="Q178" s="73"/>
      <c r="R178" s="73"/>
      <c r="S178" s="73"/>
      <c r="T178" s="547">
        <f t="shared" si="214"/>
        <v>0</v>
      </c>
    </row>
    <row r="179" spans="1:20" x14ac:dyDescent="0.25">
      <c r="A179" s="401" t="s">
        <v>370</v>
      </c>
      <c r="B179" s="56" t="str">
        <f t="shared" si="210"/>
        <v>Egyéb működési célú kiadások</v>
      </c>
      <c r="C179" s="424"/>
      <c r="D179" s="73"/>
      <c r="E179" s="73"/>
      <c r="F179" s="435"/>
      <c r="G179" s="73"/>
      <c r="H179" s="424"/>
      <c r="I179" s="73"/>
      <c r="J179" s="459"/>
      <c r="K179" s="73"/>
      <c r="L179" s="531">
        <f t="shared" si="211"/>
        <v>0</v>
      </c>
      <c r="M179" s="531">
        <f t="shared" si="212"/>
        <v>0</v>
      </c>
      <c r="N179" s="532">
        <f t="shared" si="213"/>
        <v>0</v>
      </c>
      <c r="O179" s="73"/>
      <c r="P179" s="424"/>
      <c r="Q179" s="73"/>
      <c r="R179" s="73"/>
      <c r="S179" s="73"/>
      <c r="T179" s="547">
        <f t="shared" si="214"/>
        <v>0</v>
      </c>
    </row>
    <row r="180" spans="1:20" x14ac:dyDescent="0.25">
      <c r="A180" s="400" t="s">
        <v>158</v>
      </c>
      <c r="B180" s="56" t="str">
        <f t="shared" si="210"/>
        <v>Beruházások</v>
      </c>
      <c r="C180" s="424">
        <f>+'9. Közp. Konyha'!C83</f>
        <v>0</v>
      </c>
      <c r="D180" s="73">
        <f>+'9. Közp. Konyha'!D83</f>
        <v>0</v>
      </c>
      <c r="E180" s="73">
        <f>+'9. Közp. Konyha'!E83</f>
        <v>477234</v>
      </c>
      <c r="F180" s="435">
        <f>+'9. Közp. Konyha'!F83</f>
        <v>0</v>
      </c>
      <c r="G180" s="73"/>
      <c r="H180" s="424">
        <f>+'9. Közp. Konyha'!H83</f>
        <v>0</v>
      </c>
      <c r="I180" s="73">
        <f>+'9. Közp. Konyha'!I83</f>
        <v>477234</v>
      </c>
      <c r="J180" s="459">
        <f>+'9. Közp. Konyha'!J83</f>
        <v>0</v>
      </c>
      <c r="K180" s="73"/>
      <c r="L180" s="531">
        <f t="shared" si="211"/>
        <v>0</v>
      </c>
      <c r="M180" s="531">
        <f t="shared" si="212"/>
        <v>1</v>
      </c>
      <c r="N180" s="532">
        <f t="shared" si="213"/>
        <v>0</v>
      </c>
      <c r="O180" s="73"/>
      <c r="P180" s="424">
        <f>+'9. Közp. Konyha'!P83</f>
        <v>0</v>
      </c>
      <c r="Q180" s="73">
        <f>+'9. Közp. Konyha'!Q83</f>
        <v>477234</v>
      </c>
      <c r="R180" s="73">
        <f>+'9. Közp. Konyha'!R83</f>
        <v>0</v>
      </c>
      <c r="S180" s="73">
        <f>+'9. Közp. Konyha'!S83</f>
        <v>477234</v>
      </c>
      <c r="T180" s="547" t="e">
        <f t="shared" si="214"/>
        <v>#DIV/0!</v>
      </c>
    </row>
    <row r="181" spans="1:20" x14ac:dyDescent="0.25">
      <c r="A181" s="400" t="s">
        <v>173</v>
      </c>
      <c r="B181" s="56" t="str">
        <f t="shared" si="210"/>
        <v>Felújítások</v>
      </c>
      <c r="C181" s="424">
        <f>+'9. Közp. Konyha'!C86</f>
        <v>0</v>
      </c>
      <c r="D181" s="73">
        <f>+'9. Közp. Konyha'!D86</f>
        <v>0</v>
      </c>
      <c r="E181" s="73">
        <f>+'9. Közp. Konyha'!E86</f>
        <v>0</v>
      </c>
      <c r="F181" s="435">
        <f>+'9. Közp. Konyha'!F86</f>
        <v>0</v>
      </c>
      <c r="G181" s="73"/>
      <c r="H181" s="424">
        <f>+'9. Közp. Konyha'!H86</f>
        <v>0</v>
      </c>
      <c r="I181" s="73">
        <f>+'9. Közp. Konyha'!I86</f>
        <v>0</v>
      </c>
      <c r="J181" s="459">
        <f>+'9. Közp. Konyha'!J86</f>
        <v>0</v>
      </c>
      <c r="K181" s="73"/>
      <c r="L181" s="531">
        <f t="shared" si="211"/>
        <v>0</v>
      </c>
      <c r="M181" s="531">
        <f t="shared" si="212"/>
        <v>0</v>
      </c>
      <c r="N181" s="532">
        <f t="shared" si="213"/>
        <v>0</v>
      </c>
      <c r="O181" s="73"/>
      <c r="P181" s="424">
        <f>+'9. Közp. Konyha'!P86</f>
        <v>0</v>
      </c>
      <c r="Q181" s="73">
        <f>+'9. Közp. Konyha'!Q86</f>
        <v>0</v>
      </c>
      <c r="R181" s="73">
        <f>+'9. Közp. Konyha'!R86</f>
        <v>0</v>
      </c>
      <c r="S181" s="73">
        <f>+'9. Közp. Konyha'!S86</f>
        <v>0</v>
      </c>
      <c r="T181" s="547">
        <f t="shared" si="214"/>
        <v>0</v>
      </c>
    </row>
    <row r="182" spans="1:20" x14ac:dyDescent="0.25">
      <c r="A182" s="400" t="s">
        <v>183</v>
      </c>
      <c r="B182" s="56" t="str">
        <f t="shared" si="210"/>
        <v>Szolgáltatások kiadásai</v>
      </c>
      <c r="C182" s="424"/>
      <c r="D182" s="73"/>
      <c r="E182" s="73"/>
      <c r="F182" s="435"/>
      <c r="G182" s="73"/>
      <c r="H182" s="424"/>
      <c r="I182" s="73"/>
      <c r="J182" s="459"/>
      <c r="K182" s="73"/>
      <c r="L182" s="531">
        <f t="shared" si="211"/>
        <v>0</v>
      </c>
      <c r="M182" s="531">
        <f t="shared" si="212"/>
        <v>0</v>
      </c>
      <c r="N182" s="532">
        <f t="shared" si="213"/>
        <v>0</v>
      </c>
      <c r="O182" s="73"/>
      <c r="P182" s="424"/>
      <c r="Q182" s="73"/>
      <c r="R182" s="73"/>
      <c r="S182" s="73"/>
      <c r="T182" s="547">
        <f t="shared" si="214"/>
        <v>0</v>
      </c>
    </row>
    <row r="183" spans="1:20" x14ac:dyDescent="0.25">
      <c r="A183" s="400" t="s">
        <v>200</v>
      </c>
      <c r="B183" s="56" t="str">
        <f t="shared" si="210"/>
        <v>Finanszírozási kiadások</v>
      </c>
      <c r="C183" s="424"/>
      <c r="D183" s="73"/>
      <c r="E183" s="73"/>
      <c r="F183" s="435"/>
      <c r="G183" s="73"/>
      <c r="H183" s="424"/>
      <c r="I183" s="73"/>
      <c r="J183" s="459"/>
      <c r="K183" s="73"/>
      <c r="L183" s="531">
        <f t="shared" si="211"/>
        <v>0</v>
      </c>
      <c r="M183" s="531">
        <f t="shared" si="212"/>
        <v>0</v>
      </c>
      <c r="N183" s="532">
        <f t="shared" si="213"/>
        <v>0</v>
      </c>
      <c r="O183" s="73"/>
      <c r="P183" s="424"/>
      <c r="Q183" s="73"/>
      <c r="R183" s="73"/>
      <c r="S183" s="73"/>
      <c r="T183" s="547">
        <f t="shared" si="214"/>
        <v>0</v>
      </c>
    </row>
    <row r="184" spans="1:20" x14ac:dyDescent="0.25">
      <c r="A184" s="402"/>
      <c r="B184" s="386" t="s">
        <v>372</v>
      </c>
      <c r="C184" s="426">
        <f>SUM(C175:C183)</f>
        <v>115545000</v>
      </c>
      <c r="D184" s="387">
        <f t="shared" ref="D184:F184" si="215">SUM(D175:D183)</f>
        <v>115545000</v>
      </c>
      <c r="E184" s="387">
        <f t="shared" si="215"/>
        <v>115545000</v>
      </c>
      <c r="F184" s="443">
        <f t="shared" si="215"/>
        <v>0</v>
      </c>
      <c r="G184" s="387"/>
      <c r="H184" s="426">
        <f t="shared" ref="H184:J184" si="216">SUM(H175:H183)</f>
        <v>63729284</v>
      </c>
      <c r="I184" s="387">
        <f t="shared" si="216"/>
        <v>88844117</v>
      </c>
      <c r="J184" s="388">
        <f t="shared" si="216"/>
        <v>0</v>
      </c>
      <c r="K184" s="204"/>
      <c r="L184" s="533">
        <f t="shared" si="211"/>
        <v>0.55155380154917999</v>
      </c>
      <c r="M184" s="533">
        <f t="shared" si="212"/>
        <v>0.76891355748842438</v>
      </c>
      <c r="N184" s="534">
        <f t="shared" si="213"/>
        <v>0</v>
      </c>
      <c r="O184" s="204"/>
      <c r="P184" s="426">
        <f t="shared" ref="P184:S184" si="217">SUM(P175:P183)</f>
        <v>0</v>
      </c>
      <c r="Q184" s="387">
        <f t="shared" si="217"/>
        <v>0</v>
      </c>
      <c r="R184" s="387">
        <f t="shared" si="217"/>
        <v>0</v>
      </c>
      <c r="S184" s="388">
        <f t="shared" si="217"/>
        <v>0</v>
      </c>
      <c r="T184" s="548">
        <f t="shared" si="214"/>
        <v>0</v>
      </c>
    </row>
    <row r="185" spans="1:20" x14ac:dyDescent="0.25">
      <c r="A185" s="403"/>
      <c r="B185" s="73"/>
      <c r="C185" s="424"/>
      <c r="D185" s="73"/>
      <c r="E185" s="73"/>
      <c r="F185" s="435"/>
      <c r="G185" s="73"/>
      <c r="H185" s="424"/>
      <c r="I185" s="73"/>
      <c r="J185" s="459"/>
      <c r="K185" s="73"/>
      <c r="L185" s="531"/>
      <c r="M185" s="531"/>
      <c r="N185" s="532"/>
      <c r="O185" s="73"/>
      <c r="P185" s="424"/>
      <c r="Q185" s="73"/>
      <c r="R185" s="73"/>
      <c r="S185" s="73"/>
      <c r="T185" s="547"/>
    </row>
    <row r="186" spans="1:20" x14ac:dyDescent="0.25">
      <c r="A186" s="400" t="str">
        <f>+A159</f>
        <v>B1</v>
      </c>
      <c r="B186" s="56" t="str">
        <f>+B159</f>
        <v>Működési célú tám-ok államháztartáson belülről</v>
      </c>
      <c r="C186" s="424">
        <f>+'9. Közp. Konyha'!C93</f>
        <v>0</v>
      </c>
      <c r="D186" s="73">
        <f>+'9. Közp. Konyha'!D93</f>
        <v>0</v>
      </c>
      <c r="E186" s="73">
        <f>+'9. Közp. Konyha'!E93</f>
        <v>0</v>
      </c>
      <c r="F186" s="435">
        <f>+'9. Közp. Konyha'!F93</f>
        <v>0</v>
      </c>
      <c r="G186" s="73"/>
      <c r="H186" s="424">
        <f>+'9. Közp. Konyha'!H93</f>
        <v>0</v>
      </c>
      <c r="I186" s="73">
        <f>+'9. Közp. Konyha'!I93</f>
        <v>0</v>
      </c>
      <c r="J186" s="459">
        <f>+'9. Közp. Konyha'!J93</f>
        <v>0</v>
      </c>
      <c r="K186" s="73"/>
      <c r="L186" s="531">
        <f t="shared" ref="L186:L195" si="218">IF(D186=0,0,H186/D186)</f>
        <v>0</v>
      </c>
      <c r="M186" s="531">
        <f t="shared" ref="M186:M195" si="219">IF(E186=0,0,I186/E186)</f>
        <v>0</v>
      </c>
      <c r="N186" s="532">
        <f t="shared" ref="N186:N195" si="220">IF(F186=0,0,J186/F186)</f>
        <v>0</v>
      </c>
      <c r="O186" s="73"/>
      <c r="P186" s="424">
        <f>+'9. Közp. Konyha'!P93</f>
        <v>0</v>
      </c>
      <c r="Q186" s="73">
        <f>+'9. Közp. Konyha'!Q93</f>
        <v>0</v>
      </c>
      <c r="R186" s="73">
        <f>+'9. Közp. Konyha'!R93</f>
        <v>0</v>
      </c>
      <c r="S186" s="73">
        <f>+'9. Közp. Konyha'!S93</f>
        <v>0</v>
      </c>
      <c r="T186" s="547">
        <f t="shared" si="214"/>
        <v>0</v>
      </c>
    </row>
    <row r="187" spans="1:20" x14ac:dyDescent="0.25">
      <c r="A187" s="400" t="str">
        <f t="shared" ref="A187:B187" si="221">+A160</f>
        <v>B2</v>
      </c>
      <c r="B187" s="56" t="str">
        <f t="shared" si="221"/>
        <v>Felhalmozási célú tám-ok államházt-on belülről</v>
      </c>
      <c r="C187" s="424"/>
      <c r="D187" s="73"/>
      <c r="E187" s="73"/>
      <c r="F187" s="435"/>
      <c r="G187" s="73"/>
      <c r="H187" s="424"/>
      <c r="I187" s="73"/>
      <c r="J187" s="459"/>
      <c r="K187" s="73"/>
      <c r="L187" s="531">
        <f t="shared" si="218"/>
        <v>0</v>
      </c>
      <c r="M187" s="531">
        <f t="shared" si="219"/>
        <v>0</v>
      </c>
      <c r="N187" s="532">
        <f t="shared" si="220"/>
        <v>0</v>
      </c>
      <c r="O187" s="73"/>
      <c r="P187" s="424"/>
      <c r="Q187" s="73"/>
      <c r="R187" s="73"/>
      <c r="S187" s="73"/>
      <c r="T187" s="547">
        <f t="shared" si="214"/>
        <v>0</v>
      </c>
    </row>
    <row r="188" spans="1:20" x14ac:dyDescent="0.25">
      <c r="A188" s="400" t="str">
        <f t="shared" ref="A188:B188" si="222">+A161</f>
        <v>B3</v>
      </c>
      <c r="B188" s="56" t="str">
        <f t="shared" si="222"/>
        <v>Közhatalmi bevételek</v>
      </c>
      <c r="C188" s="424"/>
      <c r="D188" s="73"/>
      <c r="E188" s="73"/>
      <c r="F188" s="435"/>
      <c r="G188" s="73"/>
      <c r="H188" s="424"/>
      <c r="I188" s="73"/>
      <c r="J188" s="459"/>
      <c r="K188" s="73"/>
      <c r="L188" s="531">
        <f t="shared" si="218"/>
        <v>0</v>
      </c>
      <c r="M188" s="531">
        <f t="shared" si="219"/>
        <v>0</v>
      </c>
      <c r="N188" s="532">
        <f t="shared" si="220"/>
        <v>0</v>
      </c>
      <c r="O188" s="73"/>
      <c r="P188" s="424"/>
      <c r="Q188" s="73"/>
      <c r="R188" s="73"/>
      <c r="S188" s="73"/>
      <c r="T188" s="547">
        <f t="shared" si="214"/>
        <v>0</v>
      </c>
    </row>
    <row r="189" spans="1:20" x14ac:dyDescent="0.25">
      <c r="A189" s="400" t="str">
        <f t="shared" ref="A189:B189" si="223">+A162</f>
        <v>B4</v>
      </c>
      <c r="B189" s="56" t="str">
        <f t="shared" si="223"/>
        <v>Működési bevételek</v>
      </c>
      <c r="C189" s="424">
        <f>+'9. Közp. Konyha'!C95</f>
        <v>34300000</v>
      </c>
      <c r="D189" s="73">
        <f>+'9. Közp. Konyha'!D95</f>
        <v>34300000</v>
      </c>
      <c r="E189" s="73">
        <f>+'9. Közp. Konyha'!E95</f>
        <v>34300000</v>
      </c>
      <c r="F189" s="435">
        <f>+'9. Közp. Konyha'!F95</f>
        <v>0</v>
      </c>
      <c r="G189" s="73"/>
      <c r="H189" s="424">
        <f>+'9. Közp. Konyha'!H95</f>
        <v>20067858</v>
      </c>
      <c r="I189" s="73">
        <f>+'9. Közp. Konyha'!I95</f>
        <v>30177769</v>
      </c>
      <c r="J189" s="459">
        <f>+'9. Közp. Konyha'!J95</f>
        <v>0</v>
      </c>
      <c r="K189" s="73"/>
      <c r="L189" s="531">
        <f t="shared" si="218"/>
        <v>0.58506874635568518</v>
      </c>
      <c r="M189" s="531">
        <f t="shared" si="219"/>
        <v>0.87981833819241984</v>
      </c>
      <c r="N189" s="532">
        <f t="shared" si="220"/>
        <v>0</v>
      </c>
      <c r="O189" s="73"/>
      <c r="P189" s="424">
        <f>+'9. Közp. Konyha'!P95</f>
        <v>0</v>
      </c>
      <c r="Q189" s="73">
        <f>+'9. Közp. Konyha'!Q95</f>
        <v>0</v>
      </c>
      <c r="R189" s="73">
        <f>+'9. Közp. Konyha'!R95</f>
        <v>0</v>
      </c>
      <c r="S189" s="73">
        <f>+'9. Közp. Konyha'!S95</f>
        <v>0</v>
      </c>
      <c r="T189" s="547">
        <f t="shared" si="214"/>
        <v>0</v>
      </c>
    </row>
    <row r="190" spans="1:20" x14ac:dyDescent="0.25">
      <c r="A190" s="400" t="str">
        <f t="shared" ref="A190:B190" si="224">+A163</f>
        <v>B5</v>
      </c>
      <c r="B190" s="56" t="str">
        <f t="shared" si="224"/>
        <v>Felhalmozási bevételek</v>
      </c>
      <c r="C190" s="424"/>
      <c r="D190" s="73"/>
      <c r="E190" s="73"/>
      <c r="F190" s="435"/>
      <c r="G190" s="73"/>
      <c r="H190" s="424"/>
      <c r="I190" s="73"/>
      <c r="J190" s="459"/>
      <c r="K190" s="73"/>
      <c r="L190" s="531">
        <f t="shared" si="218"/>
        <v>0</v>
      </c>
      <c r="M190" s="531">
        <f t="shared" si="219"/>
        <v>0</v>
      </c>
      <c r="N190" s="532">
        <f t="shared" si="220"/>
        <v>0</v>
      </c>
      <c r="O190" s="73"/>
      <c r="P190" s="424"/>
      <c r="Q190" s="73"/>
      <c r="R190" s="73"/>
      <c r="S190" s="73"/>
      <c r="T190" s="547">
        <f t="shared" si="214"/>
        <v>0</v>
      </c>
    </row>
    <row r="191" spans="1:20" x14ac:dyDescent="0.25">
      <c r="A191" s="400" t="str">
        <f t="shared" ref="A191:B191" si="225">+A164</f>
        <v>B6</v>
      </c>
      <c r="B191" s="56" t="str">
        <f t="shared" si="225"/>
        <v>Működési célú átvett pénzeszközök</v>
      </c>
      <c r="C191" s="424"/>
      <c r="D191" s="73"/>
      <c r="E191" s="73"/>
      <c r="F191" s="435"/>
      <c r="G191" s="73"/>
      <c r="H191" s="424"/>
      <c r="I191" s="73"/>
      <c r="J191" s="459"/>
      <c r="K191" s="73"/>
      <c r="L191" s="531">
        <f t="shared" si="218"/>
        <v>0</v>
      </c>
      <c r="M191" s="531">
        <f t="shared" si="219"/>
        <v>0</v>
      </c>
      <c r="N191" s="532">
        <f t="shared" si="220"/>
        <v>0</v>
      </c>
      <c r="O191" s="73"/>
      <c r="P191" s="424"/>
      <c r="Q191" s="73"/>
      <c r="R191" s="73"/>
      <c r="S191" s="73"/>
      <c r="T191" s="547">
        <f t="shared" si="214"/>
        <v>0</v>
      </c>
    </row>
    <row r="192" spans="1:20" x14ac:dyDescent="0.25">
      <c r="A192" s="400" t="str">
        <f t="shared" ref="A192:B192" si="226">+A165</f>
        <v>B7</v>
      </c>
      <c r="B192" s="56" t="str">
        <f t="shared" si="226"/>
        <v>Felhalmozási célú átvett pénzeszközök</v>
      </c>
      <c r="C192" s="424"/>
      <c r="D192" s="73"/>
      <c r="E192" s="73"/>
      <c r="F192" s="435"/>
      <c r="G192" s="73"/>
      <c r="H192" s="424"/>
      <c r="I192" s="73"/>
      <c r="J192" s="459"/>
      <c r="K192" s="73"/>
      <c r="L192" s="531">
        <f t="shared" si="218"/>
        <v>0</v>
      </c>
      <c r="M192" s="531">
        <f t="shared" si="219"/>
        <v>0</v>
      </c>
      <c r="N192" s="532">
        <f t="shared" si="220"/>
        <v>0</v>
      </c>
      <c r="O192" s="73"/>
      <c r="P192" s="424"/>
      <c r="Q192" s="73"/>
      <c r="R192" s="73"/>
      <c r="S192" s="73"/>
      <c r="T192" s="547">
        <f t="shared" si="214"/>
        <v>0</v>
      </c>
    </row>
    <row r="193" spans="1:20" x14ac:dyDescent="0.25">
      <c r="A193" s="400" t="str">
        <f t="shared" ref="A193" si="227">+A166</f>
        <v>B8-ból maradványértéken túli finanszírozási bevételek</v>
      </c>
      <c r="B193" s="56"/>
      <c r="C193" s="424">
        <f>+'9. Közp. Konyha'!C99-C194</f>
        <v>77932268</v>
      </c>
      <c r="D193" s="73">
        <f>+'9. Közp. Konyha'!D99-D194</f>
        <v>77932268</v>
      </c>
      <c r="E193" s="73">
        <f>+'9. Közp. Konyha'!E99-E194</f>
        <v>77932268</v>
      </c>
      <c r="F193" s="435">
        <f>+'9. Közp. Konyha'!F99-F194</f>
        <v>0</v>
      </c>
      <c r="G193" s="73"/>
      <c r="H193" s="424">
        <f>+'9. Közp. Konyha'!H99-H194</f>
        <v>42015242</v>
      </c>
      <c r="I193" s="73">
        <f>+'9. Közp. Konyha'!I99-I194</f>
        <v>58337950</v>
      </c>
      <c r="J193" s="459">
        <f>+'9. Közp. Konyha'!J99-J194</f>
        <v>0</v>
      </c>
      <c r="K193" s="73"/>
      <c r="L193" s="531">
        <f t="shared" si="218"/>
        <v>0.53912510283930148</v>
      </c>
      <c r="M193" s="531">
        <f t="shared" si="219"/>
        <v>0.74857246551582457</v>
      </c>
      <c r="N193" s="532">
        <f t="shared" si="220"/>
        <v>0</v>
      </c>
      <c r="O193" s="73"/>
      <c r="P193" s="424">
        <f>+'9. Közp. Konyha'!P99-P194</f>
        <v>0</v>
      </c>
      <c r="Q193" s="73">
        <f>+'9. Közp. Konyha'!Q99-Q194</f>
        <v>0</v>
      </c>
      <c r="R193" s="73">
        <f>+'9. Közp. Konyha'!R99-R194</f>
        <v>0</v>
      </c>
      <c r="S193" s="73">
        <f>+'9. Közp. Konyha'!S99-S194</f>
        <v>0</v>
      </c>
      <c r="T193" s="547">
        <f t="shared" si="214"/>
        <v>0</v>
      </c>
    </row>
    <row r="194" spans="1:20" x14ac:dyDescent="0.25">
      <c r="A194" s="400" t="str">
        <f t="shared" ref="A194" si="228">+A167</f>
        <v>B8-ból előző évi mardvány igénybevétele</v>
      </c>
      <c r="B194" s="56"/>
      <c r="C194" s="424">
        <f>+'9. Közp. Konyha'!C101</f>
        <v>3312732</v>
      </c>
      <c r="D194" s="73">
        <f>+'9. Közp. Konyha'!D101</f>
        <v>3312732</v>
      </c>
      <c r="E194" s="73">
        <f>+'9. Közp. Konyha'!E101</f>
        <v>3312732</v>
      </c>
      <c r="F194" s="435">
        <f>+'9. Közp. Konyha'!F101</f>
        <v>0</v>
      </c>
      <c r="G194" s="73"/>
      <c r="H194" s="424">
        <f>+'9. Közp. Konyha'!H101</f>
        <v>3312732</v>
      </c>
      <c r="I194" s="73">
        <f>+'9. Közp. Konyha'!I101</f>
        <v>3312732</v>
      </c>
      <c r="J194" s="459">
        <f>+'9. Közp. Konyha'!J101</f>
        <v>0</v>
      </c>
      <c r="K194" s="73"/>
      <c r="L194" s="531">
        <f t="shared" si="218"/>
        <v>1</v>
      </c>
      <c r="M194" s="531">
        <f t="shared" si="219"/>
        <v>1</v>
      </c>
      <c r="N194" s="532">
        <f t="shared" si="220"/>
        <v>0</v>
      </c>
      <c r="O194" s="73"/>
      <c r="P194" s="424">
        <f>+'9. Közp. Konyha'!P101</f>
        <v>0</v>
      </c>
      <c r="Q194" s="73">
        <f>+'9. Közp. Konyha'!Q101</f>
        <v>0</v>
      </c>
      <c r="R194" s="73">
        <f>+'9. Közp. Konyha'!R101</f>
        <v>0</v>
      </c>
      <c r="S194" s="73">
        <f>+'9. Közp. Konyha'!S101</f>
        <v>0</v>
      </c>
      <c r="T194" s="547">
        <f t="shared" si="214"/>
        <v>0</v>
      </c>
    </row>
    <row r="195" spans="1:20" x14ac:dyDescent="0.25">
      <c r="A195" s="404"/>
      <c r="B195" s="386" t="s">
        <v>371</v>
      </c>
      <c r="C195" s="426">
        <f>SUM(C186:C194)</f>
        <v>115545000</v>
      </c>
      <c r="D195" s="387">
        <f t="shared" ref="D195" si="229">SUM(D186:D194)</f>
        <v>115545000</v>
      </c>
      <c r="E195" s="387">
        <f t="shared" ref="E195" si="230">SUM(E186:E194)</f>
        <v>115545000</v>
      </c>
      <c r="F195" s="443">
        <f t="shared" ref="F195" si="231">SUM(F186:F194)</f>
        <v>0</v>
      </c>
      <c r="G195" s="387"/>
      <c r="H195" s="426">
        <f t="shared" ref="H195" si="232">SUM(H186:H194)</f>
        <v>65395832</v>
      </c>
      <c r="I195" s="387">
        <f t="shared" ref="I195" si="233">SUM(I186:I194)</f>
        <v>91828451</v>
      </c>
      <c r="J195" s="388">
        <f t="shared" ref="J195" si="234">SUM(J186:J194)</f>
        <v>0</v>
      </c>
      <c r="K195" s="389"/>
      <c r="L195" s="535">
        <f t="shared" si="218"/>
        <v>0.5659771690683284</v>
      </c>
      <c r="M195" s="535">
        <f t="shared" si="219"/>
        <v>0.79474188411441427</v>
      </c>
      <c r="N195" s="536">
        <f t="shared" si="220"/>
        <v>0</v>
      </c>
      <c r="O195" s="389"/>
      <c r="P195" s="426">
        <f t="shared" ref="P195" si="235">SUM(P186:P194)</f>
        <v>0</v>
      </c>
      <c r="Q195" s="387">
        <f t="shared" ref="Q195" si="236">SUM(Q186:Q194)</f>
        <v>0</v>
      </c>
      <c r="R195" s="387">
        <f t="shared" ref="R195" si="237">SUM(R186:R194)</f>
        <v>0</v>
      </c>
      <c r="S195" s="388">
        <f t="shared" ref="S195" si="238">SUM(S186:S194)</f>
        <v>0</v>
      </c>
      <c r="T195" s="548">
        <f t="shared" si="214"/>
        <v>0</v>
      </c>
    </row>
    <row r="196" spans="1:20" x14ac:dyDescent="0.25">
      <c r="A196" s="403"/>
      <c r="C196" s="403"/>
      <c r="F196" s="446"/>
      <c r="H196" s="403"/>
      <c r="J196" s="457"/>
      <c r="L196" s="531"/>
      <c r="M196" s="531"/>
      <c r="N196" s="532"/>
      <c r="P196" s="403"/>
      <c r="T196" s="549"/>
    </row>
    <row r="197" spans="1:20" ht="13.8" thickBot="1" x14ac:dyDescent="0.3">
      <c r="A197" s="406"/>
      <c r="B197" s="407" t="s">
        <v>451</v>
      </c>
      <c r="C197" s="428">
        <f>+C195-C184</f>
        <v>0</v>
      </c>
      <c r="D197" s="408">
        <f>+D195-D184</f>
        <v>0</v>
      </c>
      <c r="E197" s="408">
        <f>+E195-E184</f>
        <v>0</v>
      </c>
      <c r="F197" s="445">
        <f>+F195-F184</f>
        <v>0</v>
      </c>
      <c r="G197" s="408"/>
      <c r="H197" s="428">
        <f>+H195-H184</f>
        <v>1666548</v>
      </c>
      <c r="I197" s="408">
        <f>+I195-I184</f>
        <v>2984334</v>
      </c>
      <c r="J197" s="410">
        <f>+J195-J184</f>
        <v>0</v>
      </c>
      <c r="K197" s="409"/>
      <c r="L197" s="537">
        <f t="shared" ref="L197" si="239">IF(D197=0,0,H197/D197)</f>
        <v>0</v>
      </c>
      <c r="M197" s="537">
        <f t="shared" ref="M197" si="240">IF(E197=0,0,I197/E197)</f>
        <v>0</v>
      </c>
      <c r="N197" s="538">
        <f t="shared" ref="N197" si="241">IF(F197=0,0,J197/F197)</f>
        <v>0</v>
      </c>
      <c r="O197" s="409"/>
      <c r="P197" s="428">
        <f>+P195-P184</f>
        <v>0</v>
      </c>
      <c r="Q197" s="408">
        <f>+Q195-Q184</f>
        <v>0</v>
      </c>
      <c r="R197" s="408">
        <f>+R195-R184</f>
        <v>0</v>
      </c>
      <c r="S197" s="410">
        <f>+S195-S184</f>
        <v>0</v>
      </c>
      <c r="T197" s="550"/>
    </row>
    <row r="198" spans="1:20" ht="13.8" thickBot="1" x14ac:dyDescent="0.3">
      <c r="C198" s="430"/>
      <c r="D198" s="436"/>
      <c r="E198" s="436"/>
      <c r="F198" s="449"/>
      <c r="H198" s="430"/>
      <c r="I198" s="436"/>
      <c r="J198" s="462"/>
      <c r="K198" s="436"/>
      <c r="L198" s="545"/>
      <c r="M198" s="545"/>
      <c r="N198" s="546"/>
      <c r="P198" s="430"/>
      <c r="Q198" s="431"/>
      <c r="R198" s="431"/>
      <c r="S198" s="431"/>
      <c r="T198" s="550"/>
    </row>
    <row r="199" spans="1:20" x14ac:dyDescent="0.25">
      <c r="L199" s="531"/>
      <c r="M199" s="531"/>
      <c r="N199" s="531"/>
      <c r="T199" s="552"/>
    </row>
    <row r="200" spans="1:20" x14ac:dyDescent="0.25">
      <c r="T200" s="552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15748031496062992" bottom="0" header="0.31496062992125984" footer="0.31496062992125984"/>
  <pageSetup paperSize="9" scale="56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55"/>
  <sheetViews>
    <sheetView tabSelected="1" zoomScale="70" zoomScaleNormal="70" workbookViewId="0">
      <selection activeCell="B3" sqref="B3"/>
    </sheetView>
  </sheetViews>
  <sheetFormatPr defaultRowHeight="13.2" x14ac:dyDescent="0.25"/>
  <cols>
    <col min="1" max="1" width="6.33203125" style="13" bestFit="1" customWidth="1"/>
    <col min="2" max="2" width="47.6640625" style="13" bestFit="1" customWidth="1"/>
    <col min="3" max="4" width="18.5546875" style="17" customWidth="1"/>
    <col min="5" max="5" width="18.5546875" style="13" customWidth="1"/>
    <col min="6" max="6" width="21.5546875" style="13" bestFit="1" customWidth="1"/>
    <col min="7" max="7" width="1.5546875" style="13" customWidth="1"/>
    <col min="8" max="9" width="16.33203125" style="13" customWidth="1"/>
    <col min="10" max="10" width="12" style="13" bestFit="1" customWidth="1"/>
    <col min="11" max="11" width="1.5546875" style="13" customWidth="1"/>
    <col min="12" max="12" width="14.5546875" style="13" customWidth="1"/>
    <col min="13" max="13" width="15.88671875" style="13" customWidth="1"/>
    <col min="14" max="14" width="16.21875" style="13" bestFit="1" customWidth="1"/>
    <col min="15" max="15" width="1.5546875" style="13" customWidth="1"/>
    <col min="16" max="16" width="18.5546875" style="13" customWidth="1"/>
    <col min="17" max="17" width="18.77734375" style="13" customWidth="1"/>
    <col min="18" max="18" width="19.33203125" style="13" customWidth="1"/>
    <col min="19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888" t="s">
        <v>477</v>
      </c>
      <c r="B1" s="889"/>
      <c r="C1" s="889"/>
      <c r="D1" s="889"/>
      <c r="E1" s="889"/>
      <c r="F1" s="889"/>
      <c r="G1" s="63"/>
      <c r="H1" s="63"/>
      <c r="I1" s="229"/>
      <c r="J1" s="766" t="s">
        <v>582</v>
      </c>
      <c r="K1" s="766"/>
      <c r="L1" s="766"/>
      <c r="M1" s="766"/>
      <c r="N1" s="766"/>
      <c r="O1" s="63"/>
      <c r="Q1" s="63"/>
      <c r="R1" s="63"/>
      <c r="S1" s="63"/>
      <c r="U1" s="63"/>
    </row>
    <row r="2" spans="1:22" x14ac:dyDescent="0.2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U2" s="63"/>
    </row>
    <row r="3" spans="1:22" x14ac:dyDescent="0.25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U3" s="63"/>
    </row>
    <row r="4" spans="1:22" x14ac:dyDescent="0.25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U4" s="63"/>
    </row>
    <row r="5" spans="1:22" x14ac:dyDescent="0.25">
      <c r="A5" s="62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U5" s="63"/>
    </row>
    <row r="6" spans="1:22" ht="16.350000000000001" customHeight="1" x14ac:dyDescent="0.25">
      <c r="A6" s="908" t="s">
        <v>368</v>
      </c>
      <c r="B6" s="909"/>
      <c r="C6" s="909"/>
      <c r="D6" s="909"/>
      <c r="E6" s="909"/>
      <c r="F6" s="909"/>
      <c r="G6" s="909"/>
      <c r="H6" s="909"/>
      <c r="I6" s="909"/>
      <c r="J6" s="909"/>
      <c r="K6" s="909"/>
      <c r="L6" s="909"/>
      <c r="M6" s="909"/>
      <c r="N6" s="910"/>
      <c r="O6" s="910"/>
      <c r="P6" s="910"/>
      <c r="Q6" s="910"/>
      <c r="R6" s="910"/>
      <c r="S6" s="910"/>
      <c r="T6" s="910"/>
      <c r="U6" s="910"/>
      <c r="V6" s="911"/>
    </row>
    <row r="7" spans="1:22" ht="16.350000000000001" customHeight="1" x14ac:dyDescent="0.3">
      <c r="A7" s="168"/>
      <c r="B7" s="169"/>
      <c r="C7" s="902" t="s">
        <v>404</v>
      </c>
      <c r="D7" s="903"/>
      <c r="E7" s="903"/>
      <c r="F7" s="904"/>
      <c r="G7" s="170"/>
      <c r="H7" s="902" t="s">
        <v>411</v>
      </c>
      <c r="I7" s="912"/>
      <c r="J7" s="912"/>
      <c r="K7" s="912"/>
      <c r="L7" s="912"/>
      <c r="M7" s="912"/>
      <c r="N7" s="913"/>
      <c r="O7" s="170"/>
      <c r="P7" s="902" t="s">
        <v>400</v>
      </c>
      <c r="Q7" s="903"/>
      <c r="R7" s="903"/>
      <c r="S7" s="903"/>
      <c r="T7" s="904"/>
      <c r="U7" s="171"/>
      <c r="V7" s="883" t="s">
        <v>406</v>
      </c>
    </row>
    <row r="8" spans="1:22" ht="16.350000000000001" customHeight="1" x14ac:dyDescent="0.25">
      <c r="A8" s="172"/>
      <c r="B8" s="130"/>
      <c r="C8" s="151"/>
      <c r="D8" s="151"/>
      <c r="E8" s="156"/>
      <c r="F8" s="156"/>
      <c r="G8" s="156"/>
      <c r="H8" s="905" t="s">
        <v>413</v>
      </c>
      <c r="I8" s="906"/>
      <c r="J8" s="907"/>
      <c r="K8" s="173"/>
      <c r="L8" s="905" t="s">
        <v>412</v>
      </c>
      <c r="M8" s="906"/>
      <c r="N8" s="907"/>
      <c r="O8" s="156"/>
      <c r="P8" s="369">
        <v>1</v>
      </c>
      <c r="Q8" s="370">
        <v>1</v>
      </c>
      <c r="R8" s="370">
        <v>0</v>
      </c>
      <c r="S8" s="174"/>
      <c r="T8" s="174"/>
      <c r="U8" s="162"/>
      <c r="V8" s="886"/>
    </row>
    <row r="9" spans="1:22" ht="42" x14ac:dyDescent="0.25">
      <c r="A9" s="182" t="s">
        <v>414</v>
      </c>
      <c r="B9" s="188" t="s">
        <v>365</v>
      </c>
      <c r="C9" s="183" t="s">
        <v>512</v>
      </c>
      <c r="D9" s="184" t="s">
        <v>513</v>
      </c>
      <c r="E9" s="184" t="s">
        <v>514</v>
      </c>
      <c r="F9" s="184" t="s">
        <v>515</v>
      </c>
      <c r="G9" s="184"/>
      <c r="H9" s="185" t="s">
        <v>516</v>
      </c>
      <c r="I9" s="185" t="s">
        <v>517</v>
      </c>
      <c r="J9" s="185" t="s">
        <v>518</v>
      </c>
      <c r="K9" s="184"/>
      <c r="L9" s="186" t="s">
        <v>519</v>
      </c>
      <c r="M9" s="186" t="s">
        <v>520</v>
      </c>
      <c r="N9" s="186" t="s">
        <v>521</v>
      </c>
      <c r="O9" s="185"/>
      <c r="P9" s="185" t="s">
        <v>522</v>
      </c>
      <c r="Q9" s="185" t="s">
        <v>523</v>
      </c>
      <c r="R9" s="185" t="s">
        <v>524</v>
      </c>
      <c r="S9" s="185" t="s">
        <v>401</v>
      </c>
      <c r="T9" s="186" t="s">
        <v>402</v>
      </c>
      <c r="U9" s="187" t="s">
        <v>406</v>
      </c>
      <c r="V9" s="887"/>
    </row>
    <row r="10" spans="1:22" x14ac:dyDescent="0.25">
      <c r="A10" s="34" t="s">
        <v>240</v>
      </c>
      <c r="B10" s="18" t="s">
        <v>241</v>
      </c>
      <c r="C10" s="160">
        <f>+'bevételi segédtábla'!C13</f>
        <v>780199287</v>
      </c>
      <c r="D10" s="160">
        <f>+'bevételi segédtábla'!D13</f>
        <v>783370506</v>
      </c>
      <c r="E10" s="160">
        <f>+'bevételi segédtábla'!E13</f>
        <v>812937448</v>
      </c>
      <c r="F10" s="160">
        <f>+'bevételi segédtábla'!F13</f>
        <v>0</v>
      </c>
      <c r="G10" s="160"/>
      <c r="H10" s="160">
        <f>+'bevételi segédtábla'!H13</f>
        <v>426403824</v>
      </c>
      <c r="I10" s="160">
        <f>+'bevételi segédtábla'!I13</f>
        <v>615282212</v>
      </c>
      <c r="J10" s="160">
        <f>+'bevételi segédtábla'!J13</f>
        <v>0</v>
      </c>
      <c r="K10" s="160"/>
      <c r="L10" s="682">
        <f>H10/D10</f>
        <v>0.54431947684280058</v>
      </c>
      <c r="M10" s="682">
        <f>I10/E10</f>
        <v>0.75686292163526958</v>
      </c>
      <c r="N10" s="682" t="e">
        <f>J10/F10</f>
        <v>#DIV/0!</v>
      </c>
      <c r="O10" s="683"/>
      <c r="P10" s="160">
        <f>+'bevételi segédtábla'!P13</f>
        <v>3171219</v>
      </c>
      <c r="Q10" s="160">
        <f>+'bevételi segédtábla'!Q13</f>
        <v>29566942</v>
      </c>
      <c r="R10" s="160">
        <f>+'bevételi segédtábla'!R13</f>
        <v>0</v>
      </c>
      <c r="S10" s="160">
        <f>+'bevételi segédtábla'!S13</f>
        <v>32738161</v>
      </c>
      <c r="T10" s="176">
        <f>IF(C10=0,0,+S10/C10)</f>
        <v>4.1961280336314896E-2</v>
      </c>
      <c r="U10" s="160"/>
      <c r="V10" s="179">
        <f>+S10-E10+C10</f>
        <v>0</v>
      </c>
    </row>
    <row r="11" spans="1:22" x14ac:dyDescent="0.25">
      <c r="A11" s="34" t="s">
        <v>261</v>
      </c>
      <c r="B11" s="18" t="s">
        <v>262</v>
      </c>
      <c r="C11" s="160">
        <f>+'bevételi segédtábla'!C14</f>
        <v>70000000</v>
      </c>
      <c r="D11" s="160">
        <f>+'bevételi segédtábla'!D14</f>
        <v>69813054</v>
      </c>
      <c r="E11" s="160">
        <f>+'bevételi segédtábla'!E14</f>
        <v>69813054</v>
      </c>
      <c r="F11" s="160">
        <f>+'bevételi segédtábla'!F14</f>
        <v>0</v>
      </c>
      <c r="G11" s="160"/>
      <c r="H11" s="160">
        <f>+'bevételi segédtábla'!H14</f>
        <v>335582001</v>
      </c>
      <c r="I11" s="160">
        <f>+'bevételi segédtábla'!I14</f>
        <v>359844539</v>
      </c>
      <c r="J11" s="160">
        <f>+'bevételi segédtábla'!J14</f>
        <v>0</v>
      </c>
      <c r="K11" s="160"/>
      <c r="L11" s="682">
        <f t="shared" ref="L11:N17" si="0">H11/D11</f>
        <v>4.8068660769374167</v>
      </c>
      <c r="M11" s="682">
        <f t="shared" si="0"/>
        <v>5.1544019117112398</v>
      </c>
      <c r="N11" s="682" t="e">
        <f t="shared" si="0"/>
        <v>#DIV/0!</v>
      </c>
      <c r="O11" s="683"/>
      <c r="P11" s="160">
        <f>+'bevételi segédtábla'!P14</f>
        <v>-186946</v>
      </c>
      <c r="Q11" s="160">
        <f>+'bevételi segédtábla'!Q14</f>
        <v>0</v>
      </c>
      <c r="R11" s="160">
        <f>+'bevételi segédtábla'!R14</f>
        <v>0</v>
      </c>
      <c r="S11" s="160">
        <f>+'bevételi segédtábla'!S14</f>
        <v>-186946</v>
      </c>
      <c r="T11" s="176">
        <f t="shared" ref="T11:T19" si="1">IF(C11=0,0,+S11/C11)</f>
        <v>-2.6706571428571427E-3</v>
      </c>
      <c r="U11" s="160"/>
      <c r="V11" s="179">
        <f t="shared" ref="V11:V19" si="2">+S11-E11+C11</f>
        <v>0</v>
      </c>
    </row>
    <row r="12" spans="1:22" x14ac:dyDescent="0.25">
      <c r="A12" s="34" t="s">
        <v>269</v>
      </c>
      <c r="B12" s="18" t="s">
        <v>270</v>
      </c>
      <c r="C12" s="160">
        <f>+'bevételi segédtábla'!C15</f>
        <v>200000000</v>
      </c>
      <c r="D12" s="160">
        <f>+'bevételi segédtábla'!D15</f>
        <v>200000000</v>
      </c>
      <c r="E12" s="160">
        <f>+'bevételi segédtábla'!E15</f>
        <v>200000000</v>
      </c>
      <c r="F12" s="160">
        <f>+'bevételi segédtábla'!F15</f>
        <v>0</v>
      </c>
      <c r="G12" s="160"/>
      <c r="H12" s="160">
        <f>+'bevételi segédtábla'!H15</f>
        <v>122999106</v>
      </c>
      <c r="I12" s="160">
        <f>+'bevételi segédtábla'!I15</f>
        <v>223760794</v>
      </c>
      <c r="J12" s="160">
        <f>+'bevételi segédtábla'!J15</f>
        <v>0</v>
      </c>
      <c r="K12" s="160"/>
      <c r="L12" s="682">
        <f t="shared" si="0"/>
        <v>0.61499552999999996</v>
      </c>
      <c r="M12" s="682">
        <f t="shared" si="0"/>
        <v>1.1188039700000001</v>
      </c>
      <c r="N12" s="682" t="e">
        <f t="shared" si="0"/>
        <v>#DIV/0!</v>
      </c>
      <c r="O12" s="683"/>
      <c r="P12" s="160">
        <f>+'bevételi segédtábla'!P15</f>
        <v>0</v>
      </c>
      <c r="Q12" s="160">
        <f>+'bevételi segédtábla'!Q15</f>
        <v>0</v>
      </c>
      <c r="R12" s="160">
        <f>+'bevételi segédtábla'!R15</f>
        <v>0</v>
      </c>
      <c r="S12" s="160">
        <f>+'bevételi segédtábla'!S15</f>
        <v>0</v>
      </c>
      <c r="T12" s="176">
        <f t="shared" si="1"/>
        <v>0</v>
      </c>
      <c r="U12" s="160"/>
      <c r="V12" s="179">
        <f t="shared" si="2"/>
        <v>0</v>
      </c>
    </row>
    <row r="13" spans="1:22" x14ac:dyDescent="0.25">
      <c r="A13" s="34" t="s">
        <v>282</v>
      </c>
      <c r="B13" s="18" t="s">
        <v>283</v>
      </c>
      <c r="C13" s="160">
        <f>+'bevételi segédtábla'!C16</f>
        <v>101501530</v>
      </c>
      <c r="D13" s="160">
        <f>+'bevételi segédtábla'!D16</f>
        <v>101501530</v>
      </c>
      <c r="E13" s="160">
        <f>+'bevételi segédtábla'!E16</f>
        <v>101501530</v>
      </c>
      <c r="F13" s="160">
        <f>+'bevételi segédtábla'!F16</f>
        <v>0</v>
      </c>
      <c r="G13" s="160"/>
      <c r="H13" s="160">
        <f>+'bevételi segédtábla'!H16</f>
        <v>63438970</v>
      </c>
      <c r="I13" s="160">
        <f>+'bevételi segédtábla'!I16</f>
        <v>102607737</v>
      </c>
      <c r="J13" s="160">
        <f>+'bevételi segédtábla'!J16</f>
        <v>0</v>
      </c>
      <c r="K13" s="160"/>
      <c r="L13" s="682">
        <f t="shared" si="0"/>
        <v>0.62500506150005819</v>
      </c>
      <c r="M13" s="682">
        <f t="shared" si="0"/>
        <v>1.0108984268512997</v>
      </c>
      <c r="N13" s="682" t="e">
        <f t="shared" si="0"/>
        <v>#DIV/0!</v>
      </c>
      <c r="O13" s="683"/>
      <c r="P13" s="160">
        <f>+'bevételi segédtábla'!P16</f>
        <v>0</v>
      </c>
      <c r="Q13" s="160">
        <f>+'bevételi segédtábla'!Q16</f>
        <v>0</v>
      </c>
      <c r="R13" s="160">
        <f>+'bevételi segédtábla'!R16</f>
        <v>0</v>
      </c>
      <c r="S13" s="160">
        <f>+'bevételi segédtábla'!S16</f>
        <v>0</v>
      </c>
      <c r="T13" s="176">
        <f t="shared" si="1"/>
        <v>0</v>
      </c>
      <c r="U13" s="160"/>
      <c r="V13" s="179">
        <f t="shared" si="2"/>
        <v>0</v>
      </c>
    </row>
    <row r="14" spans="1:22" x14ac:dyDescent="0.25">
      <c r="A14" s="34" t="s">
        <v>308</v>
      </c>
      <c r="B14" s="18" t="s">
        <v>309</v>
      </c>
      <c r="C14" s="160">
        <f>+'bevételi segédtábla'!C17</f>
        <v>61100000</v>
      </c>
      <c r="D14" s="160">
        <f>+'bevételi segédtábla'!D17</f>
        <v>123228000</v>
      </c>
      <c r="E14" s="160">
        <f>+'bevételi segédtábla'!E17</f>
        <v>125937553</v>
      </c>
      <c r="F14" s="160">
        <f>+'bevételi segédtábla'!F17</f>
        <v>0</v>
      </c>
      <c r="G14" s="160"/>
      <c r="H14" s="160">
        <f>+'bevételi segédtábla'!H17</f>
        <v>143069306</v>
      </c>
      <c r="I14" s="160">
        <f>+'bevételi segédtábla'!I17</f>
        <v>151653949</v>
      </c>
      <c r="J14" s="160">
        <f>+'bevételi segédtábla'!J17</f>
        <v>0</v>
      </c>
      <c r="K14" s="160"/>
      <c r="L14" s="682">
        <f t="shared" si="0"/>
        <v>1.1610129678319863</v>
      </c>
      <c r="M14" s="682">
        <f t="shared" si="0"/>
        <v>1.204199584535361</v>
      </c>
      <c r="N14" s="682" t="e">
        <f t="shared" si="0"/>
        <v>#DIV/0!</v>
      </c>
      <c r="O14" s="683"/>
      <c r="P14" s="160">
        <f>+'bevételi segédtábla'!P17</f>
        <v>62128000</v>
      </c>
      <c r="Q14" s="160">
        <f>+'bevételi segédtábla'!Q17</f>
        <v>2709553</v>
      </c>
      <c r="R14" s="160">
        <f>+'bevételi segédtábla'!R17</f>
        <v>0</v>
      </c>
      <c r="S14" s="160">
        <f>+'bevételi segédtábla'!S17</f>
        <v>64837553</v>
      </c>
      <c r="T14" s="176">
        <f t="shared" si="1"/>
        <v>1.0611710801963994</v>
      </c>
      <c r="U14" s="160"/>
      <c r="V14" s="179">
        <f t="shared" si="2"/>
        <v>0</v>
      </c>
    </row>
    <row r="15" spans="1:22" x14ac:dyDescent="0.25">
      <c r="A15" s="34" t="s">
        <v>318</v>
      </c>
      <c r="B15" s="18" t="s">
        <v>319</v>
      </c>
      <c r="C15" s="160">
        <f>+'bevételi segédtábla'!C18</f>
        <v>0</v>
      </c>
      <c r="D15" s="160">
        <f>+'bevételi segédtábla'!D18</f>
        <v>0</v>
      </c>
      <c r="E15" s="160">
        <f>+'bevételi segédtábla'!E18</f>
        <v>0</v>
      </c>
      <c r="F15" s="160">
        <f>+'bevételi segédtábla'!F18</f>
        <v>0</v>
      </c>
      <c r="G15" s="160"/>
      <c r="H15" s="160">
        <f>+'bevételi segédtábla'!H18</f>
        <v>161668810</v>
      </c>
      <c r="I15" s="160">
        <f>+'bevételi segédtábla'!I18</f>
        <v>161668810</v>
      </c>
      <c r="J15" s="160">
        <f>+'bevételi segédtábla'!J18</f>
        <v>0</v>
      </c>
      <c r="K15" s="160"/>
      <c r="L15" s="682" t="e">
        <f t="shared" si="0"/>
        <v>#DIV/0!</v>
      </c>
      <c r="M15" s="682" t="e">
        <f t="shared" si="0"/>
        <v>#DIV/0!</v>
      </c>
      <c r="N15" s="682" t="e">
        <f t="shared" si="0"/>
        <v>#DIV/0!</v>
      </c>
      <c r="O15" s="683"/>
      <c r="P15" s="160">
        <f>+'bevételi segédtábla'!P18</f>
        <v>0</v>
      </c>
      <c r="Q15" s="160">
        <f>+'bevételi segédtábla'!Q18</f>
        <v>0</v>
      </c>
      <c r="R15" s="160">
        <f>+'bevételi segédtábla'!R18</f>
        <v>0</v>
      </c>
      <c r="S15" s="160">
        <f>+'bevételi segédtábla'!S18</f>
        <v>0</v>
      </c>
      <c r="T15" s="176">
        <f t="shared" si="1"/>
        <v>0</v>
      </c>
      <c r="U15" s="160"/>
      <c r="V15" s="179">
        <f t="shared" si="2"/>
        <v>0</v>
      </c>
    </row>
    <row r="16" spans="1:22" x14ac:dyDescent="0.25">
      <c r="A16" s="34" t="s">
        <v>322</v>
      </c>
      <c r="B16" s="18" t="s">
        <v>323</v>
      </c>
      <c r="C16" s="160">
        <f>+'bevételi segédtábla'!C19</f>
        <v>0</v>
      </c>
      <c r="D16" s="160">
        <f>+'bevételi segédtábla'!D19</f>
        <v>0</v>
      </c>
      <c r="E16" s="160">
        <f>+'bevételi segédtábla'!E19</f>
        <v>0</v>
      </c>
      <c r="F16" s="160">
        <f>+'bevételi segédtábla'!F19</f>
        <v>0</v>
      </c>
      <c r="G16" s="160"/>
      <c r="H16" s="160">
        <f>+'bevételi segédtábla'!H19</f>
        <v>1704190</v>
      </c>
      <c r="I16" s="160">
        <f>+'bevételi segédtábla'!I19</f>
        <v>2172463</v>
      </c>
      <c r="J16" s="160">
        <f>+'bevételi segédtábla'!J19</f>
        <v>0</v>
      </c>
      <c r="K16" s="160"/>
      <c r="L16" s="682" t="e">
        <f t="shared" si="0"/>
        <v>#DIV/0!</v>
      </c>
      <c r="M16" s="682" t="e">
        <f t="shared" si="0"/>
        <v>#DIV/0!</v>
      </c>
      <c r="N16" s="682" t="e">
        <f t="shared" si="0"/>
        <v>#DIV/0!</v>
      </c>
      <c r="O16" s="683"/>
      <c r="P16" s="160">
        <f>+'bevételi segédtábla'!P19</f>
        <v>0</v>
      </c>
      <c r="Q16" s="160">
        <f>+'bevételi segédtábla'!Q19</f>
        <v>0</v>
      </c>
      <c r="R16" s="160">
        <f>+'bevételi segédtábla'!R19</f>
        <v>0</v>
      </c>
      <c r="S16" s="160">
        <f>+'bevételi segédtábla'!S19</f>
        <v>0</v>
      </c>
      <c r="T16" s="176">
        <f t="shared" si="1"/>
        <v>0</v>
      </c>
      <c r="U16" s="160"/>
      <c r="V16" s="179">
        <f t="shared" si="2"/>
        <v>0</v>
      </c>
    </row>
    <row r="17" spans="1:22" x14ac:dyDescent="0.25">
      <c r="A17" s="34" t="s">
        <v>328</v>
      </c>
      <c r="B17" s="18" t="s">
        <v>329</v>
      </c>
      <c r="C17" s="160">
        <f>+'bevételi segédtábla'!C20</f>
        <v>808469482</v>
      </c>
      <c r="D17" s="160">
        <f>+'bevételi segédtábla'!D20</f>
        <v>808469482</v>
      </c>
      <c r="E17" s="160">
        <f>+'bevételi segédtábla'!E20</f>
        <v>814469482</v>
      </c>
      <c r="F17" s="160">
        <f>+'bevételi segédtábla'!F20</f>
        <v>0</v>
      </c>
      <c r="G17" s="160"/>
      <c r="H17" s="160">
        <f>+'bevételi segédtábla'!H20</f>
        <v>480208383</v>
      </c>
      <c r="I17" s="160">
        <f>+'bevételi segédtábla'!I20</f>
        <v>647974529</v>
      </c>
      <c r="J17" s="160">
        <f>+'bevételi segédtábla'!J20</f>
        <v>0</v>
      </c>
      <c r="K17" s="160"/>
      <c r="L17" s="682">
        <f t="shared" si="0"/>
        <v>0.59397218286094811</v>
      </c>
      <c r="M17" s="682">
        <f t="shared" si="0"/>
        <v>0.7955786475987322</v>
      </c>
      <c r="N17" s="682" t="e">
        <f t="shared" si="0"/>
        <v>#DIV/0!</v>
      </c>
      <c r="O17" s="683"/>
      <c r="P17" s="160">
        <f>+'bevételi segédtábla'!P20</f>
        <v>0</v>
      </c>
      <c r="Q17" s="160">
        <f>+'bevételi segédtábla'!Q20</f>
        <v>6000000</v>
      </c>
      <c r="R17" s="160">
        <f>+'bevételi segédtábla'!R20</f>
        <v>0</v>
      </c>
      <c r="S17" s="160">
        <f>+'bevételi segédtábla'!S20</f>
        <v>6000000</v>
      </c>
      <c r="T17" s="176">
        <f t="shared" si="1"/>
        <v>7.4214304109007792E-3</v>
      </c>
      <c r="U17" s="160"/>
      <c r="V17" s="179">
        <f t="shared" si="2"/>
        <v>0</v>
      </c>
    </row>
    <row r="18" spans="1:22" x14ac:dyDescent="0.25">
      <c r="A18" s="34"/>
      <c r="B18" s="368" t="s">
        <v>436</v>
      </c>
      <c r="C18" s="160">
        <f>+'bevételi segédtábla'!C21</f>
        <v>-651420680</v>
      </c>
      <c r="D18" s="160">
        <f>+'bevételi segédtábla'!D21</f>
        <v>-651420680</v>
      </c>
      <c r="E18" s="160">
        <f>+'bevételi segédtábla'!E21</f>
        <v>-657420680</v>
      </c>
      <c r="F18" s="160">
        <f>+'bevételi segédtábla'!F21</f>
        <v>0</v>
      </c>
      <c r="G18" s="160"/>
      <c r="H18" s="160">
        <f>+'bevételi segédtábla'!H21</f>
        <v>-322505082</v>
      </c>
      <c r="I18" s="160">
        <f>+'bevételi segédtábla'!I21</f>
        <v>-490271232</v>
      </c>
      <c r="J18" s="160">
        <f>+'bevételi segédtábla'!J21</f>
        <v>0</v>
      </c>
      <c r="K18" s="160"/>
      <c r="L18" s="682">
        <f t="shared" ref="L18" si="3">H18/D18</f>
        <v>0.49507958820097636</v>
      </c>
      <c r="M18" s="682">
        <f t="shared" ref="M18" si="4">I18/E18</f>
        <v>0.7457496347696273</v>
      </c>
      <c r="N18" s="682" t="e">
        <f t="shared" ref="N18" si="5">J18/F18</f>
        <v>#DIV/0!</v>
      </c>
      <c r="O18" s="683"/>
      <c r="P18" s="160">
        <f>+'bevételi segédtábla'!P21</f>
        <v>0</v>
      </c>
      <c r="Q18" s="160">
        <f>+'bevételi segédtábla'!Q21</f>
        <v>-6000000</v>
      </c>
      <c r="R18" s="160">
        <f>+'bevételi segédtábla'!R21</f>
        <v>0</v>
      </c>
      <c r="S18" s="160">
        <f>+'bevételi segédtábla'!S21</f>
        <v>-6000000</v>
      </c>
      <c r="T18" s="176"/>
      <c r="U18" s="160"/>
      <c r="V18" s="179">
        <f t="shared" si="2"/>
        <v>0</v>
      </c>
    </row>
    <row r="19" spans="1:22" x14ac:dyDescent="0.25">
      <c r="A19" s="709"/>
      <c r="B19" s="48" t="s">
        <v>371</v>
      </c>
      <c r="C19" s="710">
        <f>SUM(C10:C18)</f>
        <v>1369849619</v>
      </c>
      <c r="D19" s="710">
        <f t="shared" ref="D19:E19" si="6">SUM(D10:D18)</f>
        <v>1434961892</v>
      </c>
      <c r="E19" s="710">
        <f t="shared" si="6"/>
        <v>1467238387</v>
      </c>
      <c r="F19" s="710">
        <f>SUM(F10:F18)</f>
        <v>0</v>
      </c>
      <c r="G19" s="710"/>
      <c r="H19" s="710">
        <f>SUM(H10:H18)</f>
        <v>1412569508</v>
      </c>
      <c r="I19" s="710">
        <f t="shared" ref="I19:J19" si="7">SUM(I10:I18)</f>
        <v>1774693801</v>
      </c>
      <c r="J19" s="710">
        <f t="shared" si="7"/>
        <v>0</v>
      </c>
      <c r="K19" s="710"/>
      <c r="L19" s="627">
        <f>H19/D19</f>
        <v>0.98439513681524304</v>
      </c>
      <c r="M19" s="627">
        <f>I19/E19</f>
        <v>1.2095470079873258</v>
      </c>
      <c r="N19" s="627" t="e">
        <f>J19/F19</f>
        <v>#DIV/0!</v>
      </c>
      <c r="O19" s="711"/>
      <c r="P19" s="710">
        <f>SUM(P10:P18)</f>
        <v>65112273</v>
      </c>
      <c r="Q19" s="710">
        <f t="shared" ref="Q19:S19" si="8">SUM(Q10:Q18)</f>
        <v>32276495</v>
      </c>
      <c r="R19" s="710">
        <f t="shared" si="8"/>
        <v>0</v>
      </c>
      <c r="S19" s="710">
        <f t="shared" si="8"/>
        <v>97388768</v>
      </c>
      <c r="T19" s="670">
        <f t="shared" si="1"/>
        <v>7.1094495811222333E-2</v>
      </c>
      <c r="U19" s="161"/>
      <c r="V19" s="179">
        <f t="shared" si="2"/>
        <v>0</v>
      </c>
    </row>
    <row r="20" spans="1:22" x14ac:dyDescent="0.25">
      <c r="A20" s="181"/>
      <c r="B20" s="181"/>
      <c r="C20" s="181"/>
      <c r="D20" s="181"/>
      <c r="E20" s="181"/>
      <c r="F20" s="181"/>
      <c r="G20" s="181"/>
      <c r="H20" s="379"/>
      <c r="I20" s="379"/>
      <c r="J20" s="380"/>
      <c r="K20" s="181"/>
      <c r="L20" s="587"/>
      <c r="M20" s="587"/>
      <c r="N20" s="587"/>
      <c r="O20" s="587"/>
      <c r="P20" s="181"/>
      <c r="Q20" s="181"/>
      <c r="R20" s="181"/>
      <c r="S20" s="181"/>
      <c r="T20" s="181"/>
      <c r="U20" s="181"/>
      <c r="V20" s="181"/>
    </row>
    <row r="21" spans="1:22" x14ac:dyDescent="0.25">
      <c r="A21"/>
      <c r="B21"/>
      <c r="C21"/>
      <c r="D21" s="59" t="s">
        <v>485</v>
      </c>
      <c r="E21" s="585"/>
      <c r="F21" s="585"/>
      <c r="G21"/>
      <c r="H21"/>
      <c r="I21"/>
      <c r="J21"/>
      <c r="K21"/>
      <c r="L21" s="644"/>
      <c r="M21" s="644"/>
      <c r="N21" s="644"/>
      <c r="O21" s="644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 s="644"/>
      <c r="M22" s="644"/>
      <c r="N22" s="644"/>
      <c r="O22" s="644"/>
      <c r="P22"/>
      <c r="Q22"/>
      <c r="R22"/>
      <c r="S22"/>
      <c r="U22"/>
    </row>
    <row r="23" spans="1:22" ht="16.350000000000001" customHeight="1" x14ac:dyDescent="0.25">
      <c r="A23" s="908" t="s">
        <v>369</v>
      </c>
      <c r="B23" s="909"/>
      <c r="C23" s="909"/>
      <c r="D23" s="909"/>
      <c r="E23" s="909"/>
      <c r="F23" s="909"/>
      <c r="G23" s="909"/>
      <c r="H23" s="909"/>
      <c r="I23" s="909"/>
      <c r="J23" s="909"/>
      <c r="K23" s="909"/>
      <c r="L23" s="909"/>
      <c r="M23" s="909"/>
      <c r="N23" s="910"/>
      <c r="O23" s="910"/>
      <c r="P23" s="910"/>
      <c r="Q23" s="910"/>
      <c r="R23" s="910"/>
      <c r="S23" s="910"/>
      <c r="T23" s="910"/>
      <c r="U23" s="910"/>
      <c r="V23" s="911"/>
    </row>
    <row r="24" spans="1:22" ht="16.350000000000001" customHeight="1" x14ac:dyDescent="0.25">
      <c r="A24" s="158"/>
      <c r="B24" s="159"/>
      <c r="C24" s="896" t="s">
        <v>404</v>
      </c>
      <c r="D24" s="897"/>
      <c r="E24" s="897"/>
      <c r="F24" s="898"/>
      <c r="G24" s="68"/>
      <c r="H24" s="890" t="s">
        <v>403</v>
      </c>
      <c r="I24" s="891"/>
      <c r="J24" s="891"/>
      <c r="K24" s="891"/>
      <c r="L24" s="891"/>
      <c r="M24" s="891"/>
      <c r="N24" s="892"/>
      <c r="O24" s="165"/>
      <c r="P24" s="896" t="s">
        <v>400</v>
      </c>
      <c r="Q24" s="897"/>
      <c r="R24" s="897"/>
      <c r="S24" s="897"/>
      <c r="T24" s="898"/>
      <c r="U24" s="163"/>
      <c r="V24" s="883" t="s">
        <v>406</v>
      </c>
    </row>
    <row r="25" spans="1:22" ht="13.35" customHeight="1" x14ac:dyDescent="0.25">
      <c r="A25" s="64"/>
      <c r="B25" s="65"/>
      <c r="C25" s="899"/>
      <c r="D25" s="900"/>
      <c r="E25" s="900"/>
      <c r="F25" s="901"/>
      <c r="G25" s="156"/>
      <c r="H25" s="893" t="s">
        <v>413</v>
      </c>
      <c r="I25" s="894"/>
      <c r="J25" s="895"/>
      <c r="K25" s="157"/>
      <c r="L25" s="893" t="s">
        <v>412</v>
      </c>
      <c r="M25" s="894"/>
      <c r="N25" s="895"/>
      <c r="O25" s="156"/>
      <c r="P25" s="899"/>
      <c r="Q25" s="900"/>
      <c r="R25" s="900"/>
      <c r="S25" s="900"/>
      <c r="T25" s="901"/>
      <c r="U25" s="162"/>
      <c r="V25" s="884"/>
    </row>
    <row r="26" spans="1:22" ht="42" x14ac:dyDescent="0.25">
      <c r="A26" s="182" t="s">
        <v>414</v>
      </c>
      <c r="B26" s="188" t="s">
        <v>365</v>
      </c>
      <c r="C26" s="183" t="s">
        <v>512</v>
      </c>
      <c r="D26" s="184" t="s">
        <v>513</v>
      </c>
      <c r="E26" s="184" t="s">
        <v>514</v>
      </c>
      <c r="F26" s="184" t="s">
        <v>515</v>
      </c>
      <c r="G26" s="184"/>
      <c r="H26" s="185" t="s">
        <v>516</v>
      </c>
      <c r="I26" s="185" t="s">
        <v>517</v>
      </c>
      <c r="J26" s="185" t="s">
        <v>518</v>
      </c>
      <c r="K26" s="184"/>
      <c r="L26" s="186" t="s">
        <v>519</v>
      </c>
      <c r="M26" s="186" t="s">
        <v>520</v>
      </c>
      <c r="N26" s="186" t="s">
        <v>521</v>
      </c>
      <c r="O26" s="185"/>
      <c r="P26" s="185" t="s">
        <v>522</v>
      </c>
      <c r="Q26" s="185" t="s">
        <v>523</v>
      </c>
      <c r="R26" s="185" t="s">
        <v>524</v>
      </c>
      <c r="S26" s="185" t="s">
        <v>401</v>
      </c>
      <c r="T26" s="186" t="s">
        <v>402</v>
      </c>
      <c r="U26" s="189"/>
      <c r="V26" s="885"/>
    </row>
    <row r="27" spans="1:22" x14ac:dyDescent="0.25">
      <c r="A27" s="14" t="s">
        <v>0</v>
      </c>
      <c r="B27" s="18" t="s">
        <v>3</v>
      </c>
      <c r="C27" s="138">
        <f>+'kiadási segédtábla'!C13</f>
        <v>590239000</v>
      </c>
      <c r="D27" s="138">
        <f>+'kiadási segédtábla'!D13</f>
        <v>604139000</v>
      </c>
      <c r="E27" s="160">
        <f>+'kiadási segédtábla'!E13</f>
        <v>604337000</v>
      </c>
      <c r="F27" s="138">
        <f>+'kiadási segédtábla'!F13</f>
        <v>0</v>
      </c>
      <c r="G27" s="138"/>
      <c r="H27" s="138">
        <f>+'kiadási segédtábla'!H13</f>
        <v>284624783</v>
      </c>
      <c r="I27" s="138">
        <f>+'kiadási segédtábla'!I13</f>
        <v>436310302</v>
      </c>
      <c r="J27" s="138">
        <f>+'kiadási segédtábla'!J13</f>
        <v>0</v>
      </c>
      <c r="K27" s="139"/>
      <c r="L27" s="618">
        <f>H27/C27</f>
        <v>0.48221954665821809</v>
      </c>
      <c r="M27" s="618">
        <f t="shared" ref="M27:N33" si="9">I27/E27</f>
        <v>0.72196523131961143</v>
      </c>
      <c r="N27" s="618" t="e">
        <f t="shared" si="9"/>
        <v>#DIV/0!</v>
      </c>
      <c r="O27" s="685"/>
      <c r="P27" s="143">
        <f t="shared" ref="P27:P35" si="10">+(D27-C27)*P$8</f>
        <v>13900000</v>
      </c>
      <c r="Q27" s="143">
        <f t="shared" ref="Q27:Q35" si="11">+(E27-D27)*Q$8</f>
        <v>198000</v>
      </c>
      <c r="R27" s="143">
        <f t="shared" ref="R27:R35" si="12">+(F27-E27)*R$8</f>
        <v>0</v>
      </c>
      <c r="S27" s="143">
        <f t="shared" ref="S27:S35" si="13">SUM(P27:R27)</f>
        <v>14098000</v>
      </c>
      <c r="T27" s="708">
        <f t="shared" ref="T27:T41" si="14">IF(C27=0,0,+S27/C27)</f>
        <v>2.3885239707982699E-2</v>
      </c>
      <c r="U27" s="160"/>
      <c r="V27" s="166">
        <f t="shared" ref="V27:V41" si="15">+S27-E27+C27</f>
        <v>0</v>
      </c>
    </row>
    <row r="28" spans="1:22" ht="15" customHeight="1" x14ac:dyDescent="0.25">
      <c r="A28" s="14" t="s">
        <v>26</v>
      </c>
      <c r="B28" s="18" t="s">
        <v>27</v>
      </c>
      <c r="C28" s="138">
        <f>+'kiadási segédtábla'!C14</f>
        <v>76600000</v>
      </c>
      <c r="D28" s="138">
        <f>+'kiadási segédtábla'!D14</f>
        <v>78315308</v>
      </c>
      <c r="E28" s="160">
        <f>+'kiadási segédtábla'!E14</f>
        <v>78315308</v>
      </c>
      <c r="F28" s="138">
        <f>+'kiadási segédtábla'!F14</f>
        <v>0</v>
      </c>
      <c r="G28" s="138"/>
      <c r="H28" s="138">
        <f>+'kiadási segédtábla'!H14</f>
        <v>40732165</v>
      </c>
      <c r="I28" s="138">
        <f>+'kiadási segédtábla'!I14</f>
        <v>60206257</v>
      </c>
      <c r="J28" s="138">
        <f>+'kiadási segédtábla'!J14</f>
        <v>0</v>
      </c>
      <c r="K28" s="139"/>
      <c r="L28" s="618">
        <f t="shared" ref="L28:L36" si="16">H28/C28</f>
        <v>0.53175150130548299</v>
      </c>
      <c r="M28" s="618">
        <f t="shared" si="9"/>
        <v>0.76876741645451996</v>
      </c>
      <c r="N28" s="618" t="e">
        <f t="shared" si="9"/>
        <v>#DIV/0!</v>
      </c>
      <c r="O28" s="685"/>
      <c r="P28" s="143">
        <f t="shared" si="10"/>
        <v>1715308</v>
      </c>
      <c r="Q28" s="143">
        <f t="shared" si="11"/>
        <v>0</v>
      </c>
      <c r="R28" s="143">
        <f t="shared" si="12"/>
        <v>0</v>
      </c>
      <c r="S28" s="143">
        <f t="shared" si="13"/>
        <v>1715308</v>
      </c>
      <c r="T28" s="708">
        <f t="shared" si="14"/>
        <v>2.2393054830287206E-2</v>
      </c>
      <c r="U28" s="160"/>
      <c r="V28" s="166">
        <f t="shared" si="15"/>
        <v>0</v>
      </c>
    </row>
    <row r="29" spans="1:22" x14ac:dyDescent="0.25">
      <c r="A29" s="14" t="s">
        <v>29</v>
      </c>
      <c r="B29" s="18" t="s">
        <v>30</v>
      </c>
      <c r="C29" s="138">
        <f>+'kiadási segédtábla'!C15</f>
        <v>357274000</v>
      </c>
      <c r="D29" s="371">
        <f>+'kiadási segédtábla'!D15</f>
        <v>346106825</v>
      </c>
      <c r="E29" s="371">
        <f>+'kiadási segédtábla'!E15</f>
        <v>362368286</v>
      </c>
      <c r="F29" s="371">
        <f>+'kiadási segédtábla'!F15</f>
        <v>0</v>
      </c>
      <c r="G29" s="138"/>
      <c r="H29" s="138">
        <f>+'kiadási segédtábla'!H15</f>
        <v>160841788</v>
      </c>
      <c r="I29" s="138">
        <f>+'kiadási segédtábla'!I15</f>
        <v>234965696</v>
      </c>
      <c r="J29" s="138">
        <f>+'kiadási segédtábla'!J15</f>
        <v>0</v>
      </c>
      <c r="K29" s="139"/>
      <c r="L29" s="618">
        <f t="shared" si="16"/>
        <v>0.45019169600922543</v>
      </c>
      <c r="M29" s="686">
        <f t="shared" si="9"/>
        <v>0.64841683192993327</v>
      </c>
      <c r="N29" s="686" t="e">
        <f t="shared" si="9"/>
        <v>#DIV/0!</v>
      </c>
      <c r="O29" s="685"/>
      <c r="P29" s="143">
        <f t="shared" si="10"/>
        <v>-11167175</v>
      </c>
      <c r="Q29" s="143">
        <f t="shared" si="11"/>
        <v>16261461</v>
      </c>
      <c r="R29" s="143">
        <f t="shared" si="12"/>
        <v>0</v>
      </c>
      <c r="S29" s="143">
        <f t="shared" si="13"/>
        <v>5094286</v>
      </c>
      <c r="T29" s="708">
        <f t="shared" si="14"/>
        <v>1.4258764981498794E-2</v>
      </c>
      <c r="U29" s="160"/>
      <c r="V29" s="166">
        <f t="shared" si="15"/>
        <v>0</v>
      </c>
    </row>
    <row r="30" spans="1:22" x14ac:dyDescent="0.25">
      <c r="A30" s="14" t="s">
        <v>111</v>
      </c>
      <c r="B30" s="18" t="s">
        <v>476</v>
      </c>
      <c r="C30" s="138">
        <f>+'kiadási segédtábla'!C16</f>
        <v>16000000</v>
      </c>
      <c r="D30" s="138">
        <f>+'kiadási segédtábla'!D16</f>
        <v>16000000</v>
      </c>
      <c r="E30" s="160">
        <f>+'kiadási segédtábla'!E16</f>
        <v>16000000</v>
      </c>
      <c r="F30" s="138">
        <f>+'kiadási segédtábla'!F16</f>
        <v>0</v>
      </c>
      <c r="G30" s="138"/>
      <c r="H30" s="138">
        <f>+'kiadási segédtábla'!H16</f>
        <v>4998433</v>
      </c>
      <c r="I30" s="138">
        <f>+'kiadási segédtábla'!I16</f>
        <v>8147040</v>
      </c>
      <c r="J30" s="138">
        <f>+'kiadási segédtábla'!J16</f>
        <v>0</v>
      </c>
      <c r="K30" s="138"/>
      <c r="L30" s="618">
        <f t="shared" si="16"/>
        <v>0.31240206250000002</v>
      </c>
      <c r="M30" s="618">
        <f t="shared" si="9"/>
        <v>0.50919000000000003</v>
      </c>
      <c r="N30" s="618" t="e">
        <f t="shared" si="9"/>
        <v>#DIV/0!</v>
      </c>
      <c r="O30" s="687"/>
      <c r="P30" s="143">
        <f t="shared" si="10"/>
        <v>0</v>
      </c>
      <c r="Q30" s="143">
        <f t="shared" si="11"/>
        <v>0</v>
      </c>
      <c r="R30" s="143">
        <f t="shared" si="12"/>
        <v>0</v>
      </c>
      <c r="S30" s="143">
        <f t="shared" si="13"/>
        <v>0</v>
      </c>
      <c r="T30" s="708">
        <f t="shared" si="14"/>
        <v>0</v>
      </c>
      <c r="U30" s="160"/>
      <c r="V30" s="166">
        <f t="shared" si="15"/>
        <v>0</v>
      </c>
    </row>
    <row r="31" spans="1:22" x14ac:dyDescent="0.25">
      <c r="A31" s="14" t="s">
        <v>370</v>
      </c>
      <c r="B31" s="18" t="s">
        <v>141</v>
      </c>
      <c r="C31" s="138">
        <f>+'kiadási segédtábla'!C17</f>
        <v>151426315</v>
      </c>
      <c r="D31" s="138">
        <f>+'kiadási segédtábla'!D17</f>
        <v>221879015</v>
      </c>
      <c r="E31" s="160">
        <f>+'kiadási segédtábla'!E17</f>
        <v>225231315</v>
      </c>
      <c r="F31" s="138">
        <f>+'kiadási segédtábla'!F17</f>
        <v>0</v>
      </c>
      <c r="G31" s="138"/>
      <c r="H31" s="138">
        <f>+'kiadási segédtábla'!H17</f>
        <v>91594087</v>
      </c>
      <c r="I31" s="138">
        <f>+'kiadási segédtábla'!I17</f>
        <v>153439419</v>
      </c>
      <c r="J31" s="138">
        <f>+'kiadási segédtábla'!J17</f>
        <v>0</v>
      </c>
      <c r="K31" s="138"/>
      <c r="L31" s="618">
        <f t="shared" si="16"/>
        <v>0.604875625481608</v>
      </c>
      <c r="M31" s="618">
        <f t="shared" si="9"/>
        <v>0.68125260024344303</v>
      </c>
      <c r="N31" s="618" t="e">
        <f t="shared" si="9"/>
        <v>#DIV/0!</v>
      </c>
      <c r="O31" s="687"/>
      <c r="P31" s="143">
        <f t="shared" si="10"/>
        <v>70452700</v>
      </c>
      <c r="Q31" s="143">
        <f t="shared" si="11"/>
        <v>3352300</v>
      </c>
      <c r="R31" s="143">
        <f t="shared" si="12"/>
        <v>0</v>
      </c>
      <c r="S31" s="143">
        <f t="shared" si="13"/>
        <v>73805000</v>
      </c>
      <c r="T31" s="708">
        <f t="shared" si="14"/>
        <v>0.48739877213547722</v>
      </c>
      <c r="U31" s="160"/>
      <c r="V31" s="166">
        <f t="shared" si="15"/>
        <v>0</v>
      </c>
    </row>
    <row r="32" spans="1:22" x14ac:dyDescent="0.25">
      <c r="A32" s="14" t="s">
        <v>158</v>
      </c>
      <c r="B32" s="18" t="s">
        <v>159</v>
      </c>
      <c r="C32" s="138">
        <f>+'kiadási segédtábla'!C18</f>
        <v>70280500</v>
      </c>
      <c r="D32" s="138">
        <f>+'kiadási segédtábla'!D18</f>
        <v>59793445</v>
      </c>
      <c r="E32" s="160">
        <f>+'kiadási segédtábla'!E18</f>
        <v>72112179</v>
      </c>
      <c r="F32" s="138">
        <f>+'kiadási segédtábla'!F18</f>
        <v>0</v>
      </c>
      <c r="G32" s="371"/>
      <c r="H32" s="138">
        <f>+'kiadási segédtábla'!H18</f>
        <v>11687839</v>
      </c>
      <c r="I32" s="138">
        <f>+'kiadási segédtábla'!I18</f>
        <v>61419713</v>
      </c>
      <c r="J32" s="138">
        <f>+'kiadási segédtábla'!J18</f>
        <v>0</v>
      </c>
      <c r="K32" s="138"/>
      <c r="L32" s="618">
        <f t="shared" si="16"/>
        <v>0.16630272977568458</v>
      </c>
      <c r="M32" s="618">
        <f t="shared" si="9"/>
        <v>0.8517245471115219</v>
      </c>
      <c r="N32" s="618" t="e">
        <f t="shared" si="9"/>
        <v>#DIV/0!</v>
      </c>
      <c r="O32" s="687"/>
      <c r="P32" s="143">
        <f t="shared" si="10"/>
        <v>-10487055</v>
      </c>
      <c r="Q32" s="143">
        <f t="shared" si="11"/>
        <v>12318734</v>
      </c>
      <c r="R32" s="143">
        <f t="shared" si="12"/>
        <v>0</v>
      </c>
      <c r="S32" s="143">
        <f t="shared" si="13"/>
        <v>1831679</v>
      </c>
      <c r="T32" s="708">
        <f t="shared" si="14"/>
        <v>2.6062407068817097E-2</v>
      </c>
      <c r="U32" s="160"/>
      <c r="V32" s="166">
        <f t="shared" si="15"/>
        <v>0</v>
      </c>
    </row>
    <row r="33" spans="1:22" x14ac:dyDescent="0.25">
      <c r="A33" s="14" t="s">
        <v>173</v>
      </c>
      <c r="B33" s="18" t="s">
        <v>174</v>
      </c>
      <c r="C33" s="138">
        <f>+'kiadási segédtábla'!C19</f>
        <v>83452445</v>
      </c>
      <c r="D33" s="138">
        <f>+'kiadási segédtábla'!D19</f>
        <v>83452445</v>
      </c>
      <c r="E33" s="160">
        <f>+'kiadási segédtábla'!E19</f>
        <v>83452445</v>
      </c>
      <c r="F33" s="138">
        <f>+'kiadási segédtábla'!F19</f>
        <v>0</v>
      </c>
      <c r="G33" s="138"/>
      <c r="H33" s="138">
        <f>+'kiadási segédtábla'!H19</f>
        <v>32771553</v>
      </c>
      <c r="I33" s="138">
        <f>+'kiadási segédtábla'!I19</f>
        <v>35385584</v>
      </c>
      <c r="J33" s="138">
        <f>+'kiadási segédtábla'!J19</f>
        <v>0</v>
      </c>
      <c r="K33" s="138"/>
      <c r="L33" s="618">
        <f t="shared" si="16"/>
        <v>0.39269733798692175</v>
      </c>
      <c r="M33" s="618">
        <f t="shared" si="9"/>
        <v>0.42402093791260398</v>
      </c>
      <c r="N33" s="618" t="e">
        <f t="shared" si="9"/>
        <v>#DIV/0!</v>
      </c>
      <c r="O33" s="687"/>
      <c r="P33" s="143">
        <f t="shared" si="10"/>
        <v>0</v>
      </c>
      <c r="Q33" s="143">
        <f t="shared" si="11"/>
        <v>0</v>
      </c>
      <c r="R33" s="143">
        <f t="shared" si="12"/>
        <v>0</v>
      </c>
      <c r="S33" s="143">
        <f t="shared" si="13"/>
        <v>0</v>
      </c>
      <c r="T33" s="708">
        <f t="shared" si="14"/>
        <v>0</v>
      </c>
      <c r="U33" s="160"/>
      <c r="V33" s="166">
        <f t="shared" si="15"/>
        <v>0</v>
      </c>
    </row>
    <row r="34" spans="1:22" x14ac:dyDescent="0.25">
      <c r="A34" s="14" t="s">
        <v>183</v>
      </c>
      <c r="B34" s="18" t="s">
        <v>184</v>
      </c>
      <c r="C34" s="138">
        <f>+'kiadási segédtábla'!C20</f>
        <v>0</v>
      </c>
      <c r="D34" s="138">
        <f>+'kiadási segédtábla'!D20</f>
        <v>44000</v>
      </c>
      <c r="E34" s="138">
        <f>+'kiadási segédtábla'!E20</f>
        <v>190000</v>
      </c>
      <c r="F34" s="138">
        <f>+'kiadási segédtábla'!F20</f>
        <v>0</v>
      </c>
      <c r="G34" s="138"/>
      <c r="H34" s="138">
        <f>+'kiadási segédtábla'!H20</f>
        <v>43039</v>
      </c>
      <c r="I34" s="138">
        <f>+'kiadási segédtábla'!I20</f>
        <v>188702</v>
      </c>
      <c r="J34" s="138">
        <f>+'kiadási segédtábla'!J20</f>
        <v>0</v>
      </c>
      <c r="K34" s="138"/>
      <c r="L34" s="618" t="e">
        <f t="shared" si="16"/>
        <v>#DIV/0!</v>
      </c>
      <c r="M34" s="618">
        <v>0</v>
      </c>
      <c r="N34" s="618">
        <v>0</v>
      </c>
      <c r="O34" s="687"/>
      <c r="P34" s="143">
        <f t="shared" si="10"/>
        <v>44000</v>
      </c>
      <c r="Q34" s="143">
        <f t="shared" si="11"/>
        <v>146000</v>
      </c>
      <c r="R34" s="143">
        <f t="shared" si="12"/>
        <v>0</v>
      </c>
      <c r="S34" s="143">
        <f t="shared" si="13"/>
        <v>190000</v>
      </c>
      <c r="T34" s="708">
        <f t="shared" si="14"/>
        <v>0</v>
      </c>
      <c r="U34" s="160"/>
      <c r="V34" s="166">
        <f t="shared" si="15"/>
        <v>0</v>
      </c>
    </row>
    <row r="35" spans="1:22" x14ac:dyDescent="0.25">
      <c r="A35" s="14" t="s">
        <v>200</v>
      </c>
      <c r="B35" s="18" t="s">
        <v>201</v>
      </c>
      <c r="C35" s="138">
        <f>+'kiadási segédtábla'!C21</f>
        <v>675998039</v>
      </c>
      <c r="D35" s="138">
        <f>+'kiadási segédtábla'!D21</f>
        <v>676652534</v>
      </c>
      <c r="E35" s="138">
        <f>+'kiadási segédtábla'!E21</f>
        <v>682652534</v>
      </c>
      <c r="F35" s="138">
        <f>+'kiadási segédtábla'!F21</f>
        <v>0</v>
      </c>
      <c r="G35" s="138"/>
      <c r="H35" s="138">
        <f>+'kiadási segédtábla'!H21</f>
        <v>347736936</v>
      </c>
      <c r="I35" s="138">
        <f>+'kiadási segédtábla'!I21</f>
        <v>515503086</v>
      </c>
      <c r="J35" s="138">
        <f>+'kiadási segédtábla'!J21</f>
        <v>0</v>
      </c>
      <c r="K35" s="138"/>
      <c r="L35" s="618">
        <f t="shared" si="16"/>
        <v>0.51440524371106944</v>
      </c>
      <c r="M35" s="618">
        <f t="shared" ref="M35:N37" si="17">+I35/E35</f>
        <v>0.75514710680030961</v>
      </c>
      <c r="N35" s="618" t="e">
        <f t="shared" si="17"/>
        <v>#DIV/0!</v>
      </c>
      <c r="O35" s="687"/>
      <c r="P35" s="143">
        <f t="shared" si="10"/>
        <v>654495</v>
      </c>
      <c r="Q35" s="143">
        <f t="shared" si="11"/>
        <v>6000000</v>
      </c>
      <c r="R35" s="143">
        <f t="shared" si="12"/>
        <v>0</v>
      </c>
      <c r="S35" s="143">
        <f t="shared" si="13"/>
        <v>6654495</v>
      </c>
      <c r="T35" s="708">
        <f t="shared" si="14"/>
        <v>9.8439560710027445E-3</v>
      </c>
      <c r="U35" s="160"/>
      <c r="V35" s="166">
        <f t="shared" si="15"/>
        <v>0</v>
      </c>
    </row>
    <row r="36" spans="1:22" x14ac:dyDescent="0.25">
      <c r="A36" s="14"/>
      <c r="B36" s="368" t="s">
        <v>436</v>
      </c>
      <c r="C36" s="138">
        <f>+'kiadási segédtábla'!C22</f>
        <v>-651420680</v>
      </c>
      <c r="D36" s="138">
        <f>+'kiadási segédtábla'!D22</f>
        <v>-651420680</v>
      </c>
      <c r="E36" s="138">
        <f>+'kiadási segédtábla'!E22</f>
        <v>-657420680</v>
      </c>
      <c r="F36" s="138">
        <f>-'kiadási segédtábla'!F145</f>
        <v>0</v>
      </c>
      <c r="G36" s="138"/>
      <c r="H36" s="138">
        <f>-'kiadási segédtábla'!H145</f>
        <v>-322505082</v>
      </c>
      <c r="I36" s="138">
        <f>-'kiadási segédtábla'!I145</f>
        <v>-490271232</v>
      </c>
      <c r="J36" s="138">
        <f>-'kiadási segédtábla'!J145</f>
        <v>0</v>
      </c>
      <c r="K36" s="138"/>
      <c r="L36" s="618">
        <f t="shared" si="16"/>
        <v>0.49507958820097636</v>
      </c>
      <c r="M36" s="618">
        <f t="shared" si="17"/>
        <v>0.7457496347696273</v>
      </c>
      <c r="N36" s="618" t="e">
        <f t="shared" si="17"/>
        <v>#DIV/0!</v>
      </c>
      <c r="O36" s="687"/>
      <c r="P36" s="143">
        <f t="shared" ref="P36" si="18">+(D36-C36)*P$8</f>
        <v>0</v>
      </c>
      <c r="Q36" s="143">
        <f t="shared" ref="Q36" si="19">+(E36-D36)*Q$8</f>
        <v>-6000000</v>
      </c>
      <c r="R36" s="143">
        <f t="shared" ref="R36" si="20">+(F36-E36)*R$8</f>
        <v>0</v>
      </c>
      <c r="S36" s="143">
        <f t="shared" ref="S36" si="21">SUM(P36:R36)</f>
        <v>-6000000</v>
      </c>
      <c r="T36" s="708"/>
      <c r="U36" s="160"/>
      <c r="V36" s="166"/>
    </row>
    <row r="37" spans="1:22" x14ac:dyDescent="0.25">
      <c r="A37" s="7"/>
      <c r="B37" s="3" t="s">
        <v>372</v>
      </c>
      <c r="C37" s="80">
        <f>SUM(C27:C36)</f>
        <v>1369849619</v>
      </c>
      <c r="D37" s="80">
        <f t="shared" ref="D37:F37" si="22">SUM(D27:D36)</f>
        <v>1434961892</v>
      </c>
      <c r="E37" s="80">
        <f t="shared" si="22"/>
        <v>1467238387</v>
      </c>
      <c r="F37" s="80">
        <f t="shared" si="22"/>
        <v>0</v>
      </c>
      <c r="G37" s="80"/>
      <c r="H37" s="80">
        <f t="shared" ref="H37" si="23">SUM(H27:H36)</f>
        <v>652525541</v>
      </c>
      <c r="I37" s="80">
        <f>SUM(I27:I36)</f>
        <v>1015294567</v>
      </c>
      <c r="J37" s="80">
        <f t="shared" ref="J37" si="24">SUM(J27:J36)</f>
        <v>0</v>
      </c>
      <c r="K37" s="80"/>
      <c r="L37" s="651">
        <f>+H37/C37</f>
        <v>0.47634830272562934</v>
      </c>
      <c r="M37" s="651">
        <f t="shared" si="17"/>
        <v>0.69197655677202508</v>
      </c>
      <c r="N37" s="651" t="e">
        <f t="shared" si="17"/>
        <v>#DIV/0!</v>
      </c>
      <c r="O37" s="688"/>
      <c r="P37" s="80">
        <f>SUM(P27:P36)</f>
        <v>65112273</v>
      </c>
      <c r="Q37" s="80">
        <f t="shared" ref="Q37:S37" si="25">SUM(Q27:Q36)</f>
        <v>32276495</v>
      </c>
      <c r="R37" s="80">
        <f t="shared" si="25"/>
        <v>0</v>
      </c>
      <c r="S37" s="80">
        <f t="shared" si="25"/>
        <v>97388768</v>
      </c>
      <c r="T37" s="641">
        <f t="shared" si="14"/>
        <v>7.1094495811222333E-2</v>
      </c>
      <c r="U37" s="164"/>
      <c r="V37" s="167">
        <f t="shared" si="15"/>
        <v>0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4"/>
      <c r="B41" s="177" t="s">
        <v>406</v>
      </c>
      <c r="C41" s="824">
        <f>+C19-C37</f>
        <v>0</v>
      </c>
      <c r="D41" s="155">
        <f>+D19-D37</f>
        <v>0</v>
      </c>
      <c r="E41" s="155">
        <f>+E19-E37</f>
        <v>0</v>
      </c>
      <c r="F41" s="155">
        <f>+F19-F37</f>
        <v>0</v>
      </c>
      <c r="G41" s="155"/>
      <c r="H41" s="155">
        <f>+H19-H37</f>
        <v>760043967</v>
      </c>
      <c r="I41" s="155">
        <f>+I19-I37</f>
        <v>759399234</v>
      </c>
      <c r="J41" s="155">
        <f>+J19-J37</f>
        <v>0</v>
      </c>
      <c r="K41" s="155"/>
      <c r="L41" s="689">
        <f>+L19-L37</f>
        <v>0.50804683408961371</v>
      </c>
      <c r="M41" s="689">
        <f>+M19-M37</f>
        <v>0.51757045121530076</v>
      </c>
      <c r="N41" s="689" t="e">
        <f>+N19-N37</f>
        <v>#DIV/0!</v>
      </c>
      <c r="O41" s="689"/>
      <c r="P41" s="155">
        <f>+P19-P37</f>
        <v>0</v>
      </c>
      <c r="Q41" s="155">
        <f>+Q19-Q37</f>
        <v>0</v>
      </c>
      <c r="R41" s="155">
        <f>+R19-R37</f>
        <v>0</v>
      </c>
      <c r="S41" s="155">
        <f>+S19-S37</f>
        <v>0</v>
      </c>
      <c r="T41" s="176">
        <f t="shared" si="14"/>
        <v>0</v>
      </c>
      <c r="U41" s="178"/>
      <c r="V41" s="180">
        <f t="shared" si="15"/>
        <v>0</v>
      </c>
    </row>
    <row r="43" spans="1:22" x14ac:dyDescent="0.25">
      <c r="C43" s="575" t="s">
        <v>485</v>
      </c>
    </row>
    <row r="45" spans="1:22" x14ac:dyDescent="0.25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5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5">
      <c r="H49" s="19"/>
      <c r="I49" s="19"/>
      <c r="J49" s="19"/>
    </row>
    <row r="51" spans="2:21" x14ac:dyDescent="0.25">
      <c r="H51" s="19"/>
      <c r="I51" s="19"/>
      <c r="J51" s="19"/>
    </row>
    <row r="52" spans="2:21" x14ac:dyDescent="0.25">
      <c r="H52" s="19"/>
      <c r="I52" s="19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scale="46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07"/>
  <sheetViews>
    <sheetView view="pageBreakPreview" zoomScale="85" zoomScaleNormal="50" zoomScaleSheetLayoutView="85" workbookViewId="0">
      <pane ySplit="11" topLeftCell="A12" activePane="bottomLeft" state="frozen"/>
      <selection pane="bottomLeft" activeCell="B3" sqref="B3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9.44140625" style="13" customWidth="1"/>
    <col min="4" max="4" width="15.5546875" style="17" customWidth="1"/>
    <col min="5" max="5" width="15.5546875" customWidth="1"/>
    <col min="6" max="6" width="15.77734375" customWidth="1"/>
    <col min="7" max="7" width="0.6640625" customWidth="1"/>
    <col min="8" max="8" width="16.5546875" style="17" customWidth="1"/>
    <col min="9" max="9" width="17.109375" style="17" customWidth="1"/>
    <col min="10" max="10" width="16.6640625" customWidth="1"/>
    <col min="11" max="11" width="0.6640625" customWidth="1"/>
    <col min="12" max="12" width="13.33203125" customWidth="1"/>
    <col min="13" max="13" width="14.5546875" customWidth="1"/>
    <col min="14" max="14" width="14.77734375" bestFit="1" customWidth="1"/>
    <col min="15" max="15" width="0.6640625" customWidth="1"/>
    <col min="16" max="17" width="15.5546875" style="17" customWidth="1"/>
    <col min="18" max="18" width="15.21875" style="17" bestFit="1" customWidth="1"/>
    <col min="19" max="19" width="15.5546875" style="17" customWidth="1"/>
    <col min="21" max="21" width="0.6640625" customWidth="1"/>
    <col min="22" max="22" width="10.5546875" customWidth="1"/>
  </cols>
  <sheetData>
    <row r="1" spans="1:27" ht="24.6" x14ac:dyDescent="0.4">
      <c r="A1" s="228" t="s">
        <v>470</v>
      </c>
      <c r="B1" s="227"/>
      <c r="C1" s="227"/>
      <c r="D1" s="227"/>
      <c r="E1" s="227"/>
      <c r="F1" s="227"/>
      <c r="G1" s="226"/>
      <c r="H1" s="224"/>
      <c r="I1" s="224"/>
      <c r="J1" s="224" t="str">
        <f>+'1. Sülysáp összesen'!J1</f>
        <v>2022. III. Negyedéves költségvetési beszámoló</v>
      </c>
      <c r="K1" s="229" t="s">
        <v>415</v>
      </c>
      <c r="L1" s="229" t="s">
        <v>415</v>
      </c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x14ac:dyDescent="0.25">
      <c r="A2" s="63"/>
      <c r="B2" s="63"/>
      <c r="C2" s="63"/>
      <c r="D2" s="63"/>
      <c r="H2" s="63"/>
      <c r="I2" s="63"/>
      <c r="L2" s="63"/>
      <c r="M2" s="63"/>
      <c r="N2" s="63"/>
      <c r="P2" s="63"/>
      <c r="Q2" s="63"/>
      <c r="R2" s="63"/>
      <c r="S2" s="63"/>
    </row>
    <row r="3" spans="1:27" x14ac:dyDescent="0.25">
      <c r="A3" s="63"/>
      <c r="B3" s="63"/>
      <c r="C3" s="564"/>
      <c r="D3" s="63"/>
      <c r="H3" s="63"/>
      <c r="I3" s="63"/>
      <c r="L3" s="63"/>
      <c r="M3" s="63"/>
      <c r="N3" s="63"/>
      <c r="P3" s="63"/>
      <c r="Q3" s="63"/>
      <c r="R3" s="63"/>
      <c r="S3" s="63"/>
    </row>
    <row r="4" spans="1:27" hidden="1" x14ac:dyDescent="0.25">
      <c r="A4" s="63"/>
      <c r="B4" s="63"/>
      <c r="C4" s="63"/>
      <c r="D4" s="63"/>
      <c r="H4" s="63"/>
      <c r="I4" s="63"/>
      <c r="L4" s="63"/>
      <c r="M4" s="63"/>
      <c r="N4" s="63"/>
      <c r="P4" s="63"/>
      <c r="Q4" s="63"/>
      <c r="R4" s="63"/>
      <c r="S4" s="63"/>
    </row>
    <row r="5" spans="1:27" hidden="1" x14ac:dyDescent="0.25">
      <c r="A5" s="63"/>
      <c r="B5" s="63"/>
      <c r="C5" s="63"/>
      <c r="D5" s="63"/>
      <c r="H5" s="63"/>
      <c r="I5" s="63"/>
      <c r="L5" s="63"/>
      <c r="M5" s="63"/>
      <c r="N5" s="63"/>
      <c r="P5" s="63"/>
      <c r="Q5" s="63"/>
      <c r="R5" s="63"/>
      <c r="S5" s="63"/>
    </row>
    <row r="6" spans="1:27" x14ac:dyDescent="0.25">
      <c r="A6" s="65"/>
      <c r="B6" s="65"/>
      <c r="C6" s="65"/>
      <c r="D6" s="65"/>
      <c r="E6" s="46"/>
      <c r="F6" s="46"/>
      <c r="G6" s="46"/>
      <c r="H6" s="65"/>
      <c r="I6" s="65"/>
      <c r="J6" s="46"/>
      <c r="K6" s="46"/>
      <c r="L6" s="65"/>
      <c r="M6" s="65"/>
      <c r="N6" s="65"/>
      <c r="O6" s="46"/>
      <c r="P6" s="63"/>
      <c r="Q6" s="63"/>
      <c r="R6" s="63"/>
      <c r="S6" s="63"/>
      <c r="T6" s="46"/>
      <c r="U6" s="46"/>
      <c r="V6" s="46"/>
    </row>
    <row r="7" spans="1:27" ht="15.6" x14ac:dyDescent="0.3">
      <c r="A7" s="222"/>
      <c r="B7" s="223"/>
      <c r="C7" s="917" t="s">
        <v>404</v>
      </c>
      <c r="D7" s="920"/>
      <c r="E7" s="920"/>
      <c r="F7" s="921"/>
      <c r="G7" s="68"/>
      <c r="H7" s="917" t="s">
        <v>411</v>
      </c>
      <c r="I7" s="918"/>
      <c r="J7" s="918"/>
      <c r="K7" s="918"/>
      <c r="L7" s="918"/>
      <c r="M7" s="918"/>
      <c r="N7" s="919"/>
      <c r="O7" s="68"/>
      <c r="P7" s="917" t="s">
        <v>400</v>
      </c>
      <c r="Q7" s="920"/>
      <c r="R7" s="920"/>
      <c r="S7" s="920"/>
      <c r="T7" s="921"/>
      <c r="U7" s="46"/>
      <c r="V7" s="46"/>
    </row>
    <row r="8" spans="1:27" x14ac:dyDescent="0.25">
      <c r="A8" s="34"/>
      <c r="B8" s="78"/>
      <c r="C8" s="151"/>
      <c r="D8" s="151"/>
      <c r="E8" s="151"/>
      <c r="F8" s="151"/>
      <c r="G8" s="151"/>
      <c r="H8" s="914" t="s">
        <v>413</v>
      </c>
      <c r="I8" s="915"/>
      <c r="J8" s="916"/>
      <c r="K8" s="134"/>
      <c r="L8" s="914" t="s">
        <v>412</v>
      </c>
      <c r="M8" s="915"/>
      <c r="N8" s="916"/>
      <c r="O8" s="151"/>
      <c r="P8" s="128">
        <f>+'1. Sülysáp összesen'!P8</f>
        <v>1</v>
      </c>
      <c r="Q8" s="128">
        <f>+'1. Sülysáp összesen'!Q8</f>
        <v>1</v>
      </c>
      <c r="R8" s="128">
        <f>+'1. Sülysáp összesen'!R8</f>
        <v>0</v>
      </c>
      <c r="S8" s="81"/>
      <c r="T8" s="81"/>
      <c r="U8" s="46"/>
      <c r="V8" s="46"/>
    </row>
    <row r="9" spans="1:27" ht="20.100000000000001" customHeight="1" x14ac:dyDescent="0.25">
      <c r="A9" s="230"/>
      <c r="B9" s="244" t="s">
        <v>366</v>
      </c>
      <c r="C9" s="591">
        <f>+C96</f>
        <v>1307317299</v>
      </c>
      <c r="D9" s="591">
        <f>+D96</f>
        <v>1369445299</v>
      </c>
      <c r="E9" s="591">
        <f>+E96</f>
        <v>1401721794</v>
      </c>
      <c r="F9" s="591">
        <f>+F96</f>
        <v>0</v>
      </c>
      <c r="G9" s="591"/>
      <c r="H9" s="591">
        <f>+H96</f>
        <v>1358645963</v>
      </c>
      <c r="I9" s="591">
        <f>+I96</f>
        <v>1707212719</v>
      </c>
      <c r="J9" s="592">
        <f>+J96</f>
        <v>0</v>
      </c>
      <c r="K9" s="591"/>
      <c r="L9" s="672">
        <f>H9/C9</f>
        <v>1.039262590680367</v>
      </c>
      <c r="M9" s="672">
        <f>I9/D9</f>
        <v>1.2466454266166347</v>
      </c>
      <c r="N9" s="672">
        <f>J9/E9</f>
        <v>0</v>
      </c>
      <c r="O9" s="674"/>
      <c r="P9" s="591">
        <f>+P96</f>
        <v>62128000</v>
      </c>
      <c r="Q9" s="591">
        <f>+Q96</f>
        <v>32276495</v>
      </c>
      <c r="R9" s="591">
        <f>+R96</f>
        <v>0</v>
      </c>
      <c r="S9" s="591">
        <f>+S96</f>
        <v>94404495</v>
      </c>
      <c r="T9" s="247">
        <f>IF(C9=0,0,+S9/C9)</f>
        <v>7.2212381089282907E-2</v>
      </c>
      <c r="U9" s="232" t="e">
        <f>+R9-D9+B9</f>
        <v>#VALUE!</v>
      </c>
      <c r="V9" s="232">
        <f>+S9-E9+C9</f>
        <v>0</v>
      </c>
    </row>
    <row r="10" spans="1:27" x14ac:dyDescent="0.25">
      <c r="A10" s="34"/>
      <c r="B10" s="78"/>
      <c r="C10" s="712"/>
      <c r="D10" s="712"/>
      <c r="E10" s="712"/>
      <c r="F10" s="712"/>
      <c r="G10" s="712"/>
      <c r="H10" s="714"/>
      <c r="I10" s="715"/>
      <c r="J10" s="716"/>
      <c r="K10" s="713"/>
      <c r="L10" s="588"/>
      <c r="M10" s="589"/>
      <c r="N10" s="590"/>
      <c r="O10" s="675"/>
      <c r="P10" s="242"/>
      <c r="Q10" s="242"/>
      <c r="R10" s="242"/>
      <c r="S10" s="174"/>
      <c r="T10" s="174"/>
      <c r="U10" s="243"/>
      <c r="V10" s="243"/>
      <c r="W10" s="8"/>
    </row>
    <row r="11" spans="1:27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7" x14ac:dyDescent="0.25">
      <c r="A12" s="149"/>
      <c r="B12" s="146"/>
      <c r="C12" s="71"/>
      <c r="D12" s="71"/>
      <c r="E12" s="68"/>
      <c r="F12" s="68"/>
      <c r="G12" s="68"/>
      <c r="H12" s="68"/>
      <c r="I12" s="68"/>
      <c r="J12" s="68"/>
      <c r="K12" s="68"/>
      <c r="L12" s="603"/>
      <c r="M12" s="603"/>
      <c r="N12" s="603"/>
      <c r="O12" s="93"/>
      <c r="P12" s="81"/>
      <c r="Q12" s="81"/>
      <c r="R12" s="81"/>
      <c r="S12" s="81"/>
      <c r="T12" s="152"/>
      <c r="U12" s="68"/>
      <c r="V12" s="195"/>
    </row>
    <row r="13" spans="1:27" ht="26.4" x14ac:dyDescent="0.25">
      <c r="A13" s="851" t="s">
        <v>240</v>
      </c>
      <c r="B13" s="3" t="s">
        <v>241</v>
      </c>
      <c r="C13" s="66">
        <f>+C14+C21+C22+C23+C24+C25</f>
        <v>780199287</v>
      </c>
      <c r="D13" s="66">
        <f>+D14+D21+D22+D23+D24+D25</f>
        <v>780386233</v>
      </c>
      <c r="E13" s="66">
        <f>+E14+E21+E22+E23+E24+E25</f>
        <v>809953175</v>
      </c>
      <c r="F13" s="66">
        <f>+F14+F21+F22+F23+F24+F25</f>
        <v>0</v>
      </c>
      <c r="G13" s="66"/>
      <c r="H13" s="66">
        <f>+H14+H21+H22+H23+H24+H25</f>
        <v>414017409</v>
      </c>
      <c r="I13" s="66">
        <f>+I14+I21+I22+I23+I24+I25</f>
        <v>602895797</v>
      </c>
      <c r="J13" s="66">
        <f>+J14+J21+J22+J23+J24+J25</f>
        <v>0</v>
      </c>
      <c r="K13" s="66"/>
      <c r="L13" s="641">
        <f t="shared" ref="L13:N28" si="0">IF(H13&gt;0,H13/C13,0)</f>
        <v>0.53065596944079241</v>
      </c>
      <c r="M13" s="641">
        <f t="shared" si="0"/>
        <v>0.77256078016947793</v>
      </c>
      <c r="N13" s="641">
        <f t="shared" si="0"/>
        <v>0</v>
      </c>
      <c r="O13" s="717"/>
      <c r="P13" s="66">
        <f t="shared" ref="P13" si="1">+(D13-C13)*P$8</f>
        <v>186946</v>
      </c>
      <c r="Q13" s="66">
        <f t="shared" ref="Q13" si="2">+(E13-D13)*Q$8</f>
        <v>29566942</v>
      </c>
      <c r="R13" s="66">
        <f t="shared" ref="R13" si="3">+(F13-E13)*R$8</f>
        <v>0</v>
      </c>
      <c r="S13" s="66">
        <f t="shared" ref="S13:S76" si="4">+P13*P$8+Q13*Q$8+Q13*G$8</f>
        <v>29753888</v>
      </c>
      <c r="T13" s="85">
        <f t="shared" ref="T13" si="5">IF(C13=0,0,+S13/C13)</f>
        <v>3.8136266586975234E-2</v>
      </c>
      <c r="U13" s="151"/>
      <c r="V13" s="195">
        <f t="shared" ref="V13" si="6">+S13-E13+C13</f>
        <v>0</v>
      </c>
    </row>
    <row r="14" spans="1:27" x14ac:dyDescent="0.25">
      <c r="A14" s="38" t="s">
        <v>242</v>
      </c>
      <c r="B14" s="39" t="s">
        <v>243</v>
      </c>
      <c r="C14" s="140">
        <f>SUM(C15:C20)</f>
        <v>734119287</v>
      </c>
      <c r="D14" s="140">
        <f t="shared" ref="D14:F14" si="7">SUM(D15:D20)</f>
        <v>734306233</v>
      </c>
      <c r="E14" s="140">
        <f t="shared" si="7"/>
        <v>751128680</v>
      </c>
      <c r="F14" s="140">
        <f t="shared" si="7"/>
        <v>0</v>
      </c>
      <c r="G14" s="95"/>
      <c r="H14" s="140">
        <f t="shared" ref="H14" si="8">SUM(H15:H20)</f>
        <v>386537637</v>
      </c>
      <c r="I14" s="140">
        <f t="shared" ref="I14" si="9">SUM(I15:I20)</f>
        <v>554830373</v>
      </c>
      <c r="J14" s="140">
        <f t="shared" ref="J14" si="10">SUM(J15:J20)</f>
        <v>0</v>
      </c>
      <c r="K14" s="95"/>
      <c r="L14" s="603">
        <f t="shared" si="0"/>
        <v>0.5265324639263973</v>
      </c>
      <c r="M14" s="603">
        <f t="shared" si="0"/>
        <v>0.75558445246099393</v>
      </c>
      <c r="N14" s="603">
        <f t="shared" si="0"/>
        <v>0</v>
      </c>
      <c r="O14" s="676"/>
      <c r="P14" s="95">
        <f t="shared" ref="P14:P24" si="11">+(D14-C14)*P$8</f>
        <v>186946</v>
      </c>
      <c r="Q14" s="95">
        <f t="shared" ref="Q14:Q24" si="12">+(E14-D14)*Q$8</f>
        <v>16822447</v>
      </c>
      <c r="R14" s="95">
        <f t="shared" ref="R14:R24" si="13">+(F14-E14)*R$8</f>
        <v>0</v>
      </c>
      <c r="S14" s="95">
        <f t="shared" si="4"/>
        <v>17009393</v>
      </c>
      <c r="T14" s="85">
        <f t="shared" ref="T14:T50" si="14">IF(C14=0,0,+S14/C14)</f>
        <v>2.3169794475104154E-2</v>
      </c>
      <c r="U14" s="95"/>
      <c r="V14" s="195">
        <f t="shared" ref="V14:V50" si="15">+S14-E14+C14</f>
        <v>0</v>
      </c>
    </row>
    <row r="15" spans="1:27" ht="26.4" x14ac:dyDescent="0.25">
      <c r="A15" s="149" t="s">
        <v>244</v>
      </c>
      <c r="B15" s="147" t="s">
        <v>557</v>
      </c>
      <c r="C15" s="68">
        <f>+'12_B11'!F7</f>
        <v>207561030</v>
      </c>
      <c r="D15" s="68">
        <v>207561030</v>
      </c>
      <c r="E15" s="68">
        <v>207561030</v>
      </c>
      <c r="F15" s="68"/>
      <c r="G15" s="68"/>
      <c r="H15" s="68">
        <v>107931738</v>
      </c>
      <c r="I15" s="68">
        <v>157746387</v>
      </c>
      <c r="J15" s="68"/>
      <c r="K15" s="68"/>
      <c r="L15" s="603">
        <f t="shared" si="0"/>
        <v>0.52000001156286424</v>
      </c>
      <c r="M15" s="603">
        <f t="shared" si="0"/>
        <v>0.76000002023501234</v>
      </c>
      <c r="N15" s="603">
        <f t="shared" si="0"/>
        <v>0</v>
      </c>
      <c r="O15" s="93"/>
      <c r="P15" s="81">
        <f t="shared" si="11"/>
        <v>0</v>
      </c>
      <c r="Q15" s="81">
        <f t="shared" si="12"/>
        <v>0</v>
      </c>
      <c r="R15" s="81">
        <f t="shared" si="13"/>
        <v>0</v>
      </c>
      <c r="S15" s="81">
        <f t="shared" si="4"/>
        <v>0</v>
      </c>
      <c r="T15" s="85">
        <f t="shared" si="14"/>
        <v>0</v>
      </c>
      <c r="U15" s="68"/>
      <c r="V15" s="195">
        <f t="shared" si="15"/>
        <v>0</v>
      </c>
    </row>
    <row r="16" spans="1:27" ht="26.4" x14ac:dyDescent="0.25">
      <c r="A16" s="149" t="s">
        <v>245</v>
      </c>
      <c r="B16" s="146" t="s">
        <v>407</v>
      </c>
      <c r="C16" s="68">
        <f>+'12_B11'!F8</f>
        <v>259677180</v>
      </c>
      <c r="D16" s="71">
        <v>259677180</v>
      </c>
      <c r="E16" s="71">
        <v>260412030</v>
      </c>
      <c r="F16" s="68"/>
      <c r="G16" s="68"/>
      <c r="H16" s="68">
        <v>135032132</v>
      </c>
      <c r="I16" s="68">
        <v>197722079</v>
      </c>
      <c r="J16" s="68"/>
      <c r="K16" s="68"/>
      <c r="L16" s="603">
        <f t="shared" si="0"/>
        <v>0.51999999383850359</v>
      </c>
      <c r="M16" s="603">
        <f t="shared" si="0"/>
        <v>0.76141491909300618</v>
      </c>
      <c r="N16" s="603">
        <f t="shared" si="0"/>
        <v>0</v>
      </c>
      <c r="O16" s="93"/>
      <c r="P16" s="81">
        <f t="shared" si="11"/>
        <v>0</v>
      </c>
      <c r="Q16" s="81">
        <f t="shared" si="12"/>
        <v>734850</v>
      </c>
      <c r="R16" s="81">
        <f t="shared" si="13"/>
        <v>0</v>
      </c>
      <c r="S16" s="81">
        <f t="shared" si="4"/>
        <v>734850</v>
      </c>
      <c r="T16" s="85">
        <f t="shared" si="14"/>
        <v>2.8298597512496091E-3</v>
      </c>
      <c r="U16" s="68"/>
      <c r="V16" s="195">
        <f t="shared" si="15"/>
        <v>0</v>
      </c>
    </row>
    <row r="17" spans="1:22" ht="26.4" x14ac:dyDescent="0.25">
      <c r="A17" s="149" t="s">
        <v>246</v>
      </c>
      <c r="B17" s="146" t="s">
        <v>408</v>
      </c>
      <c r="C17" s="145">
        <f>+'12_B11'!F9</f>
        <v>178103772</v>
      </c>
      <c r="D17" s="68">
        <f>105667343+72436429</f>
        <v>178103772</v>
      </c>
      <c r="E17" s="68">
        <v>193943136</v>
      </c>
      <c r="F17" s="68"/>
      <c r="G17" s="68"/>
      <c r="H17" s="68">
        <f>61795314+36503194</f>
        <v>98298508</v>
      </c>
      <c r="I17" s="68">
        <f>93992312+53187784</f>
        <v>147180096</v>
      </c>
      <c r="J17" s="68"/>
      <c r="K17" s="68"/>
      <c r="L17" s="603">
        <f t="shared" si="0"/>
        <v>0.55191704755135673</v>
      </c>
      <c r="M17" s="603">
        <f t="shared" si="0"/>
        <v>0.82637270590765477</v>
      </c>
      <c r="N17" s="603">
        <f t="shared" si="0"/>
        <v>0</v>
      </c>
      <c r="O17" s="93"/>
      <c r="P17" s="81">
        <f t="shared" si="11"/>
        <v>0</v>
      </c>
      <c r="Q17" s="81">
        <f t="shared" si="12"/>
        <v>15839364</v>
      </c>
      <c r="R17" s="81">
        <f t="shared" si="13"/>
        <v>0</v>
      </c>
      <c r="S17" s="81">
        <f t="shared" si="4"/>
        <v>15839364</v>
      </c>
      <c r="T17" s="85">
        <f t="shared" si="14"/>
        <v>8.8933343871010206E-2</v>
      </c>
      <c r="U17" s="68"/>
      <c r="V17" s="195">
        <f t="shared" si="15"/>
        <v>0</v>
      </c>
    </row>
    <row r="18" spans="1:22" ht="26.4" x14ac:dyDescent="0.25">
      <c r="A18" s="149" t="s">
        <v>247</v>
      </c>
      <c r="B18" s="146" t="s">
        <v>409</v>
      </c>
      <c r="C18" s="145">
        <f>+'12_B11'!F10</f>
        <v>18777305</v>
      </c>
      <c r="D18" s="71">
        <v>18777305</v>
      </c>
      <c r="E18" s="71">
        <v>28777305</v>
      </c>
      <c r="F18" s="68"/>
      <c r="G18" s="141"/>
      <c r="H18" s="68">
        <v>14964196</v>
      </c>
      <c r="I18" s="141">
        <v>21870748</v>
      </c>
      <c r="J18" s="141"/>
      <c r="K18" s="141"/>
      <c r="L18" s="603">
        <f t="shared" si="0"/>
        <v>0.79692991086846598</v>
      </c>
      <c r="M18" s="603">
        <f t="shared" si="0"/>
        <v>1.164743715884681</v>
      </c>
      <c r="N18" s="603">
        <f t="shared" si="0"/>
        <v>0</v>
      </c>
      <c r="O18" s="677"/>
      <c r="P18" s="81">
        <f t="shared" si="11"/>
        <v>0</v>
      </c>
      <c r="Q18" s="81">
        <f t="shared" si="12"/>
        <v>10000000</v>
      </c>
      <c r="R18" s="81">
        <f t="shared" si="13"/>
        <v>0</v>
      </c>
      <c r="S18" s="81">
        <f t="shared" si="4"/>
        <v>10000000</v>
      </c>
      <c r="T18" s="85">
        <f t="shared" si="14"/>
        <v>0.53255778717978963</v>
      </c>
      <c r="U18" s="141"/>
      <c r="V18" s="195">
        <f t="shared" si="15"/>
        <v>0</v>
      </c>
    </row>
    <row r="19" spans="1:22" x14ac:dyDescent="0.25">
      <c r="A19" s="149" t="s">
        <v>248</v>
      </c>
      <c r="B19" s="147" t="s">
        <v>249</v>
      </c>
      <c r="C19" s="145">
        <v>70000000</v>
      </c>
      <c r="D19" s="68">
        <v>70000000</v>
      </c>
      <c r="E19" s="68">
        <v>60248233</v>
      </c>
      <c r="F19" s="68"/>
      <c r="G19" s="68"/>
      <c r="H19" s="68">
        <v>30124117</v>
      </c>
      <c r="I19" s="68">
        <v>30124117</v>
      </c>
      <c r="J19" s="68"/>
      <c r="K19" s="68"/>
      <c r="L19" s="603">
        <f t="shared" si="0"/>
        <v>0.43034452857142858</v>
      </c>
      <c r="M19" s="603">
        <f t="shared" si="0"/>
        <v>0.43034452857142858</v>
      </c>
      <c r="N19" s="603">
        <f t="shared" si="0"/>
        <v>0</v>
      </c>
      <c r="O19" s="93"/>
      <c r="P19" s="81">
        <f t="shared" si="11"/>
        <v>0</v>
      </c>
      <c r="Q19" s="81">
        <f t="shared" si="12"/>
        <v>-9751767</v>
      </c>
      <c r="R19" s="81">
        <f t="shared" si="13"/>
        <v>0</v>
      </c>
      <c r="S19" s="81">
        <f t="shared" si="4"/>
        <v>-9751767</v>
      </c>
      <c r="T19" s="85">
        <f t="shared" si="14"/>
        <v>-0.13931095714285716</v>
      </c>
      <c r="U19" s="68"/>
      <c r="V19" s="195">
        <f t="shared" si="15"/>
        <v>0</v>
      </c>
    </row>
    <row r="20" spans="1:22" ht="26.7" customHeight="1" x14ac:dyDescent="0.25">
      <c r="A20" s="149" t="s">
        <v>250</v>
      </c>
      <c r="B20" s="147" t="s">
        <v>251</v>
      </c>
      <c r="C20" s="145">
        <v>0</v>
      </c>
      <c r="D20" s="68">
        <v>186946</v>
      </c>
      <c r="E20" s="68">
        <v>186946</v>
      </c>
      <c r="F20" s="68"/>
      <c r="G20" s="68"/>
      <c r="H20" s="68">
        <v>186946</v>
      </c>
      <c r="I20" s="68">
        <v>186946</v>
      </c>
      <c r="J20" s="68"/>
      <c r="K20" s="68"/>
      <c r="L20" s="603" t="e">
        <f t="shared" si="0"/>
        <v>#DIV/0!</v>
      </c>
      <c r="M20" s="604">
        <f t="shared" si="0"/>
        <v>1</v>
      </c>
      <c r="N20" s="604">
        <f t="shared" si="0"/>
        <v>0</v>
      </c>
      <c r="O20" s="93"/>
      <c r="P20" s="81">
        <f t="shared" si="11"/>
        <v>186946</v>
      </c>
      <c r="Q20" s="81">
        <f t="shared" si="12"/>
        <v>0</v>
      </c>
      <c r="R20" s="81">
        <f t="shared" si="13"/>
        <v>0</v>
      </c>
      <c r="S20" s="81">
        <f t="shared" si="4"/>
        <v>186946</v>
      </c>
      <c r="T20" s="85">
        <f t="shared" si="14"/>
        <v>0</v>
      </c>
      <c r="U20" s="68"/>
      <c r="V20" s="195">
        <f t="shared" si="15"/>
        <v>0</v>
      </c>
    </row>
    <row r="21" spans="1:22" x14ac:dyDescent="0.25">
      <c r="A21" s="38" t="s">
        <v>252</v>
      </c>
      <c r="B21" s="39" t="s">
        <v>253</v>
      </c>
      <c r="C21" s="140"/>
      <c r="D21" s="95"/>
      <c r="E21" s="95"/>
      <c r="F21" s="95"/>
      <c r="G21" s="95"/>
      <c r="H21" s="95"/>
      <c r="I21" s="95"/>
      <c r="J21" s="95"/>
      <c r="K21" s="95"/>
      <c r="L21" s="604">
        <f t="shared" si="0"/>
        <v>0</v>
      </c>
      <c r="M21" s="604">
        <f t="shared" si="0"/>
        <v>0</v>
      </c>
      <c r="N21" s="604">
        <f t="shared" si="0"/>
        <v>0</v>
      </c>
      <c r="O21" s="676"/>
      <c r="P21" s="81">
        <f t="shared" si="11"/>
        <v>0</v>
      </c>
      <c r="Q21" s="81">
        <f t="shared" si="12"/>
        <v>0</v>
      </c>
      <c r="R21" s="81">
        <f t="shared" si="13"/>
        <v>0</v>
      </c>
      <c r="S21" s="81">
        <f t="shared" si="4"/>
        <v>0</v>
      </c>
      <c r="T21" s="85">
        <f t="shared" si="14"/>
        <v>0</v>
      </c>
      <c r="U21" s="95"/>
      <c r="V21" s="195">
        <f t="shared" si="15"/>
        <v>0</v>
      </c>
    </row>
    <row r="22" spans="1:22" ht="36" x14ac:dyDescent="0.25">
      <c r="A22" s="38" t="s">
        <v>254</v>
      </c>
      <c r="B22" s="594" t="s">
        <v>255</v>
      </c>
      <c r="C22" s="140"/>
      <c r="D22" s="95"/>
      <c r="E22" s="95"/>
      <c r="F22" s="95"/>
      <c r="G22" s="95"/>
      <c r="H22" s="95"/>
      <c r="I22" s="95"/>
      <c r="J22" s="95"/>
      <c r="K22" s="95"/>
      <c r="L22" s="604">
        <f t="shared" si="0"/>
        <v>0</v>
      </c>
      <c r="M22" s="604">
        <f t="shared" si="0"/>
        <v>0</v>
      </c>
      <c r="N22" s="604">
        <f t="shared" si="0"/>
        <v>0</v>
      </c>
      <c r="O22" s="676"/>
      <c r="P22" s="81">
        <f t="shared" si="11"/>
        <v>0</v>
      </c>
      <c r="Q22" s="81">
        <f t="shared" si="12"/>
        <v>0</v>
      </c>
      <c r="R22" s="81">
        <f t="shared" si="13"/>
        <v>0</v>
      </c>
      <c r="S22" s="81">
        <f t="shared" si="4"/>
        <v>0</v>
      </c>
      <c r="T22" s="85">
        <f t="shared" si="14"/>
        <v>0</v>
      </c>
      <c r="U22" s="95"/>
      <c r="V22" s="195">
        <f t="shared" si="15"/>
        <v>0</v>
      </c>
    </row>
    <row r="23" spans="1:22" ht="36" x14ac:dyDescent="0.25">
      <c r="A23" s="38" t="s">
        <v>256</v>
      </c>
      <c r="B23" s="594" t="s">
        <v>257</v>
      </c>
      <c r="C23" s="140"/>
      <c r="D23" s="95"/>
      <c r="E23" s="95"/>
      <c r="F23" s="95"/>
      <c r="G23" s="95"/>
      <c r="H23" s="95"/>
      <c r="I23" s="95"/>
      <c r="J23" s="95"/>
      <c r="K23" s="95"/>
      <c r="L23" s="604">
        <f t="shared" si="0"/>
        <v>0</v>
      </c>
      <c r="M23" s="604">
        <f t="shared" si="0"/>
        <v>0</v>
      </c>
      <c r="N23" s="604">
        <f t="shared" si="0"/>
        <v>0</v>
      </c>
      <c r="O23" s="676"/>
      <c r="P23" s="81">
        <f t="shared" si="11"/>
        <v>0</v>
      </c>
      <c r="Q23" s="81">
        <f>+(E23-D23)*Q$8</f>
        <v>0</v>
      </c>
      <c r="R23" s="81">
        <f t="shared" si="13"/>
        <v>0</v>
      </c>
      <c r="S23" s="81">
        <f t="shared" si="4"/>
        <v>0</v>
      </c>
      <c r="T23" s="85">
        <f t="shared" si="14"/>
        <v>0</v>
      </c>
      <c r="U23" s="95"/>
      <c r="V23" s="195">
        <f t="shared" si="15"/>
        <v>0</v>
      </c>
    </row>
    <row r="24" spans="1:22" ht="39.6" x14ac:dyDescent="0.25">
      <c r="A24" s="38" t="s">
        <v>258</v>
      </c>
      <c r="B24" s="39" t="s">
        <v>259</v>
      </c>
      <c r="C24" s="140"/>
      <c r="D24" s="95"/>
      <c r="E24" s="95"/>
      <c r="F24" s="95"/>
      <c r="G24" s="95"/>
      <c r="H24" s="95"/>
      <c r="I24" s="95"/>
      <c r="J24" s="95"/>
      <c r="K24" s="95"/>
      <c r="L24" s="604">
        <f t="shared" si="0"/>
        <v>0</v>
      </c>
      <c r="M24" s="604">
        <f t="shared" si="0"/>
        <v>0</v>
      </c>
      <c r="N24" s="604">
        <f t="shared" si="0"/>
        <v>0</v>
      </c>
      <c r="O24" s="676"/>
      <c r="P24" s="81">
        <f t="shared" si="11"/>
        <v>0</v>
      </c>
      <c r="Q24" s="81">
        <f t="shared" si="12"/>
        <v>0</v>
      </c>
      <c r="R24" s="81">
        <f t="shared" si="13"/>
        <v>0</v>
      </c>
      <c r="S24" s="81">
        <f t="shared" si="4"/>
        <v>0</v>
      </c>
      <c r="T24" s="85">
        <f t="shared" si="14"/>
        <v>0</v>
      </c>
      <c r="U24" s="95"/>
      <c r="V24" s="195">
        <f t="shared" si="15"/>
        <v>0</v>
      </c>
    </row>
    <row r="25" spans="1:22" ht="39.6" x14ac:dyDescent="0.25">
      <c r="A25" s="38" t="s">
        <v>260</v>
      </c>
      <c r="B25" s="39" t="s">
        <v>378</v>
      </c>
      <c r="C25" s="95">
        <f>SUM(C26:C29)</f>
        <v>46080000</v>
      </c>
      <c r="D25" s="95">
        <f>SUM(D26:D29)</f>
        <v>46080000</v>
      </c>
      <c r="E25" s="95">
        <f>SUM(E26:E29)</f>
        <v>58824495</v>
      </c>
      <c r="F25" s="95"/>
      <c r="G25" s="95"/>
      <c r="H25" s="95">
        <f>SUM(H26:H29)</f>
        <v>27479772</v>
      </c>
      <c r="I25" s="95">
        <f>SUM(I26:I29)</f>
        <v>48065424</v>
      </c>
      <c r="J25" s="95"/>
      <c r="K25" s="95"/>
      <c r="L25" s="603">
        <f t="shared" si="0"/>
        <v>0.59634921875000002</v>
      </c>
      <c r="M25" s="603">
        <f t="shared" si="0"/>
        <v>1.0430864583333332</v>
      </c>
      <c r="N25" s="603">
        <f t="shared" si="0"/>
        <v>0</v>
      </c>
      <c r="O25" s="676"/>
      <c r="P25" s="95">
        <f t="shared" ref="P25:R25" si="16">+P26+P27+P28+P29</f>
        <v>0</v>
      </c>
      <c r="Q25" s="95">
        <f t="shared" si="16"/>
        <v>12744495</v>
      </c>
      <c r="R25" s="95">
        <f t="shared" si="16"/>
        <v>0</v>
      </c>
      <c r="S25" s="95">
        <f t="shared" si="4"/>
        <v>12744495</v>
      </c>
      <c r="T25" s="85">
        <f t="shared" si="14"/>
        <v>0.27657324218750001</v>
      </c>
      <c r="U25" s="95"/>
      <c r="V25" s="195">
        <f t="shared" si="15"/>
        <v>0</v>
      </c>
    </row>
    <row r="26" spans="1:22" ht="47.4" x14ac:dyDescent="0.25">
      <c r="A26" s="150" t="s">
        <v>385</v>
      </c>
      <c r="B26" s="146" t="s">
        <v>571</v>
      </c>
      <c r="C26" s="142">
        <v>20000000</v>
      </c>
      <c r="D26" s="142">
        <v>20000000</v>
      </c>
      <c r="E26" s="141">
        <f>26000000+12744495</f>
        <v>38744495</v>
      </c>
      <c r="F26" s="141"/>
      <c r="G26" s="141"/>
      <c r="H26" s="141">
        <v>18062000</v>
      </c>
      <c r="I26" s="141">
        <v>30557400</v>
      </c>
      <c r="J26" s="141"/>
      <c r="K26" s="141"/>
      <c r="L26" s="603">
        <f t="shared" si="0"/>
        <v>0.90310000000000001</v>
      </c>
      <c r="M26" s="603">
        <f t="shared" si="0"/>
        <v>1.5278700000000001</v>
      </c>
      <c r="N26" s="603">
        <f t="shared" si="0"/>
        <v>0</v>
      </c>
      <c r="O26" s="677"/>
      <c r="P26" s="81">
        <f t="shared" ref="P26:R29" si="17">+(D26-C26)*P$8</f>
        <v>0</v>
      </c>
      <c r="Q26" s="81">
        <f t="shared" si="17"/>
        <v>18744495</v>
      </c>
      <c r="R26" s="81">
        <f t="shared" si="17"/>
        <v>0</v>
      </c>
      <c r="S26" s="81">
        <f t="shared" si="4"/>
        <v>18744495</v>
      </c>
      <c r="T26" s="85">
        <f t="shared" si="14"/>
        <v>0.93722475000000005</v>
      </c>
      <c r="U26" s="141"/>
      <c r="V26" s="195">
        <f t="shared" si="15"/>
        <v>0</v>
      </c>
    </row>
    <row r="27" spans="1:22" ht="24" x14ac:dyDescent="0.25">
      <c r="A27" s="150" t="s">
        <v>388</v>
      </c>
      <c r="B27" s="146" t="s">
        <v>583</v>
      </c>
      <c r="C27" s="142">
        <f>270000*4</f>
        <v>1080000</v>
      </c>
      <c r="D27" s="142">
        <f>270000*4</f>
        <v>1080000</v>
      </c>
      <c r="E27" s="141">
        <f>5080000</f>
        <v>5080000</v>
      </c>
      <c r="F27" s="141"/>
      <c r="G27" s="141"/>
      <c r="H27" s="141">
        <v>270000</v>
      </c>
      <c r="I27" s="141">
        <v>5060000</v>
      </c>
      <c r="J27" s="141"/>
      <c r="K27" s="141"/>
      <c r="L27" s="603">
        <f t="shared" si="0"/>
        <v>0.25</v>
      </c>
      <c r="M27" s="603">
        <f t="shared" si="0"/>
        <v>4.6851851851851851</v>
      </c>
      <c r="N27" s="603">
        <f t="shared" si="0"/>
        <v>0</v>
      </c>
      <c r="O27" s="677"/>
      <c r="P27" s="81">
        <f t="shared" si="17"/>
        <v>0</v>
      </c>
      <c r="Q27" s="81">
        <f t="shared" si="17"/>
        <v>4000000</v>
      </c>
      <c r="R27" s="81">
        <f t="shared" si="17"/>
        <v>0</v>
      </c>
      <c r="S27" s="81">
        <f t="shared" si="4"/>
        <v>4000000</v>
      </c>
      <c r="T27" s="85">
        <f t="shared" si="14"/>
        <v>3.7037037037037037</v>
      </c>
      <c r="U27" s="141"/>
      <c r="V27" s="195">
        <f t="shared" si="15"/>
        <v>0</v>
      </c>
    </row>
    <row r="28" spans="1:22" ht="24" x14ac:dyDescent="0.25">
      <c r="A28" s="150" t="s">
        <v>389</v>
      </c>
      <c r="B28" s="146" t="s">
        <v>573</v>
      </c>
      <c r="C28" s="142">
        <v>0</v>
      </c>
      <c r="D28" s="142">
        <v>0</v>
      </c>
      <c r="E28" s="141">
        <v>0</v>
      </c>
      <c r="F28" s="141"/>
      <c r="G28" s="141"/>
      <c r="H28" s="853">
        <v>0</v>
      </c>
      <c r="I28" s="141">
        <v>0</v>
      </c>
      <c r="J28" s="141"/>
      <c r="K28" s="141"/>
      <c r="L28" s="603">
        <f t="shared" si="0"/>
        <v>0</v>
      </c>
      <c r="M28" s="603">
        <f t="shared" si="0"/>
        <v>0</v>
      </c>
      <c r="N28" s="603">
        <f t="shared" si="0"/>
        <v>0</v>
      </c>
      <c r="O28" s="677"/>
      <c r="P28" s="81">
        <f t="shared" si="17"/>
        <v>0</v>
      </c>
      <c r="Q28" s="81">
        <f t="shared" si="17"/>
        <v>0</v>
      </c>
      <c r="R28" s="81">
        <f t="shared" si="17"/>
        <v>0</v>
      </c>
      <c r="S28" s="81">
        <f t="shared" si="4"/>
        <v>0</v>
      </c>
      <c r="T28" s="85">
        <f t="shared" si="14"/>
        <v>0</v>
      </c>
      <c r="U28" s="141"/>
      <c r="V28" s="195">
        <f t="shared" si="15"/>
        <v>0</v>
      </c>
    </row>
    <row r="29" spans="1:22" ht="24" x14ac:dyDescent="0.25">
      <c r="A29" s="150" t="s">
        <v>390</v>
      </c>
      <c r="B29" s="146" t="s">
        <v>572</v>
      </c>
      <c r="C29" s="142">
        <v>25000000</v>
      </c>
      <c r="D29" s="142">
        <v>25000000</v>
      </c>
      <c r="E29" s="141">
        <f>15000000</f>
        <v>15000000</v>
      </c>
      <c r="F29" s="141"/>
      <c r="G29" s="141"/>
      <c r="H29" s="141">
        <v>9147772</v>
      </c>
      <c r="I29" s="141">
        <v>12448024</v>
      </c>
      <c r="J29" s="141"/>
      <c r="K29" s="141"/>
      <c r="L29" s="603">
        <f t="shared" ref="L29:N35" si="18">IF(H29&gt;0,H29/C29,0)</f>
        <v>0.36591087999999999</v>
      </c>
      <c r="M29" s="603">
        <f t="shared" si="18"/>
        <v>0.49792096000000002</v>
      </c>
      <c r="N29" s="603">
        <f t="shared" si="18"/>
        <v>0</v>
      </c>
      <c r="O29" s="677"/>
      <c r="P29" s="81">
        <f t="shared" si="17"/>
        <v>0</v>
      </c>
      <c r="Q29" s="81">
        <f t="shared" si="17"/>
        <v>-10000000</v>
      </c>
      <c r="R29" s="81">
        <f t="shared" si="17"/>
        <v>0</v>
      </c>
      <c r="S29" s="81">
        <f t="shared" si="4"/>
        <v>-10000000</v>
      </c>
      <c r="T29" s="85">
        <f t="shared" si="14"/>
        <v>-0.4</v>
      </c>
      <c r="U29" s="141"/>
      <c r="V29" s="195">
        <f t="shared" si="15"/>
        <v>0</v>
      </c>
    </row>
    <row r="30" spans="1:22" ht="34.5" customHeight="1" x14ac:dyDescent="0.25">
      <c r="A30" s="4" t="s">
        <v>261</v>
      </c>
      <c r="B30" s="3" t="s">
        <v>262</v>
      </c>
      <c r="C30" s="66">
        <f>SUM(C31:C35)</f>
        <v>70000000</v>
      </c>
      <c r="D30" s="66">
        <f>SUM(D31:D35)</f>
        <v>69813054</v>
      </c>
      <c r="E30" s="66">
        <f>SUM(E31:E35)</f>
        <v>69813054</v>
      </c>
      <c r="F30" s="66">
        <f>SUM(F31:F35)</f>
        <v>0</v>
      </c>
      <c r="G30" s="66"/>
      <c r="H30" s="66">
        <f>SUM(H31:H35)</f>
        <v>335582001</v>
      </c>
      <c r="I30" s="66">
        <f>SUM(I31:I35)</f>
        <v>359844539</v>
      </c>
      <c r="J30" s="66">
        <f>SUM(J31:J35)</f>
        <v>0</v>
      </c>
      <c r="K30" s="66"/>
      <c r="L30" s="641">
        <f t="shared" si="18"/>
        <v>4.7940285857142859</v>
      </c>
      <c r="M30" s="641">
        <f t="shared" si="18"/>
        <v>5.1544019117112398</v>
      </c>
      <c r="N30" s="641">
        <f t="shared" si="18"/>
        <v>0</v>
      </c>
      <c r="O30" s="717"/>
      <c r="P30" s="66">
        <f t="shared" ref="P30:R30" si="19">SUM(P31:P35)</f>
        <v>-186946</v>
      </c>
      <c r="Q30" s="66">
        <f t="shared" si="19"/>
        <v>0</v>
      </c>
      <c r="R30" s="66">
        <f t="shared" si="19"/>
        <v>0</v>
      </c>
      <c r="S30" s="66">
        <f t="shared" si="4"/>
        <v>-186946</v>
      </c>
      <c r="T30" s="85">
        <f t="shared" si="14"/>
        <v>-2.6706571428571427E-3</v>
      </c>
      <c r="U30" s="66"/>
      <c r="V30" s="195">
        <f t="shared" si="15"/>
        <v>0</v>
      </c>
    </row>
    <row r="31" spans="1:22" s="42" customFormat="1" ht="26.4" x14ac:dyDescent="0.25">
      <c r="A31" s="38" t="s">
        <v>263</v>
      </c>
      <c r="B31" s="39" t="s">
        <v>462</v>
      </c>
      <c r="C31" s="140"/>
      <c r="D31" s="854">
        <v>33855855</v>
      </c>
      <c r="E31" s="95">
        <v>33855855</v>
      </c>
      <c r="F31" s="95"/>
      <c r="G31" s="95"/>
      <c r="H31" s="95">
        <v>33855855</v>
      </c>
      <c r="I31" s="95">
        <v>33855855</v>
      </c>
      <c r="J31" s="95"/>
      <c r="K31" s="95"/>
      <c r="L31" s="604" t="e">
        <f t="shared" si="18"/>
        <v>#DIV/0!</v>
      </c>
      <c r="M31" s="604">
        <f t="shared" si="18"/>
        <v>1</v>
      </c>
      <c r="N31" s="604">
        <f t="shared" si="18"/>
        <v>0</v>
      </c>
      <c r="O31" s="676"/>
      <c r="P31" s="95">
        <f t="shared" ref="P31:R38" si="20">+(D31-C31)*P$8</f>
        <v>33855855</v>
      </c>
      <c r="Q31" s="95">
        <f t="shared" si="20"/>
        <v>0</v>
      </c>
      <c r="R31" s="95">
        <f t="shared" si="20"/>
        <v>0</v>
      </c>
      <c r="S31" s="95">
        <f t="shared" si="4"/>
        <v>33855855</v>
      </c>
      <c r="T31" s="85">
        <f t="shared" si="14"/>
        <v>0</v>
      </c>
      <c r="U31" s="95"/>
      <c r="V31" s="195">
        <f t="shared" si="15"/>
        <v>0</v>
      </c>
    </row>
    <row r="32" spans="1:22" s="42" customFormat="1" ht="51" hidden="1" customHeight="1" x14ac:dyDescent="0.25">
      <c r="A32" s="38" t="s">
        <v>264</v>
      </c>
      <c r="B32" s="557" t="s">
        <v>463</v>
      </c>
      <c r="C32" s="140"/>
      <c r="D32" s="95"/>
      <c r="E32" s="140"/>
      <c r="F32" s="140"/>
      <c r="G32" s="140"/>
      <c r="H32" s="140"/>
      <c r="I32" s="140"/>
      <c r="J32" s="140"/>
      <c r="K32" s="140"/>
      <c r="L32" s="605">
        <f t="shared" si="18"/>
        <v>0</v>
      </c>
      <c r="M32" s="605">
        <f t="shared" si="18"/>
        <v>0</v>
      </c>
      <c r="N32" s="605">
        <f t="shared" si="18"/>
        <v>0</v>
      </c>
      <c r="O32" s="134"/>
      <c r="P32" s="81">
        <f t="shared" si="20"/>
        <v>0</v>
      </c>
      <c r="Q32" s="81">
        <f t="shared" si="20"/>
        <v>0</v>
      </c>
      <c r="R32" s="81">
        <f t="shared" si="20"/>
        <v>0</v>
      </c>
      <c r="S32" s="81">
        <f t="shared" si="4"/>
        <v>0</v>
      </c>
      <c r="T32" s="85">
        <f t="shared" si="14"/>
        <v>0</v>
      </c>
      <c r="U32" s="140"/>
      <c r="V32" s="195">
        <f t="shared" si="15"/>
        <v>0</v>
      </c>
    </row>
    <row r="33" spans="1:22" s="42" customFormat="1" ht="39.6" x14ac:dyDescent="0.25">
      <c r="A33" s="38" t="s">
        <v>265</v>
      </c>
      <c r="B33" s="557" t="s">
        <v>266</v>
      </c>
      <c r="C33" s="140"/>
      <c r="D33" s="95"/>
      <c r="E33" s="140"/>
      <c r="F33" s="140"/>
      <c r="G33" s="140"/>
      <c r="H33" s="140"/>
      <c r="I33" s="140"/>
      <c r="J33" s="140"/>
      <c r="K33" s="140"/>
      <c r="L33" s="605">
        <f t="shared" si="18"/>
        <v>0</v>
      </c>
      <c r="M33" s="605">
        <f t="shared" si="18"/>
        <v>0</v>
      </c>
      <c r="N33" s="605">
        <f t="shared" si="18"/>
        <v>0</v>
      </c>
      <c r="O33" s="134"/>
      <c r="P33" s="81">
        <f t="shared" si="20"/>
        <v>0</v>
      </c>
      <c r="Q33" s="81">
        <f t="shared" si="20"/>
        <v>0</v>
      </c>
      <c r="R33" s="81">
        <f t="shared" si="20"/>
        <v>0</v>
      </c>
      <c r="S33" s="81">
        <f t="shared" si="4"/>
        <v>0</v>
      </c>
      <c r="T33" s="85">
        <f t="shared" si="14"/>
        <v>0</v>
      </c>
      <c r="U33" s="140"/>
      <c r="V33" s="195">
        <f t="shared" si="15"/>
        <v>0</v>
      </c>
    </row>
    <row r="34" spans="1:22" s="42" customFormat="1" ht="40.35" customHeight="1" x14ac:dyDescent="0.25">
      <c r="A34" s="38" t="s">
        <v>267</v>
      </c>
      <c r="B34" s="594" t="s">
        <v>410</v>
      </c>
      <c r="C34" s="140"/>
      <c r="D34" s="95"/>
      <c r="E34" s="140"/>
      <c r="F34" s="140"/>
      <c r="G34" s="140"/>
      <c r="H34" s="140"/>
      <c r="I34" s="140"/>
      <c r="J34" s="140"/>
      <c r="K34" s="140"/>
      <c r="L34" s="605">
        <f t="shared" si="18"/>
        <v>0</v>
      </c>
      <c r="M34" s="605">
        <f t="shared" si="18"/>
        <v>0</v>
      </c>
      <c r="N34" s="605">
        <f t="shared" si="18"/>
        <v>0</v>
      </c>
      <c r="O34" s="134"/>
      <c r="P34" s="81">
        <f t="shared" si="20"/>
        <v>0</v>
      </c>
      <c r="Q34" s="81">
        <f t="shared" si="20"/>
        <v>0</v>
      </c>
      <c r="R34" s="81">
        <f t="shared" si="20"/>
        <v>0</v>
      </c>
      <c r="S34" s="81">
        <f t="shared" si="4"/>
        <v>0</v>
      </c>
      <c r="T34" s="85">
        <f t="shared" si="14"/>
        <v>0</v>
      </c>
      <c r="U34" s="140"/>
      <c r="V34" s="195">
        <f t="shared" si="15"/>
        <v>0</v>
      </c>
    </row>
    <row r="35" spans="1:22" s="42" customFormat="1" ht="26.4" x14ac:dyDescent="0.25">
      <c r="A35" s="38" t="s">
        <v>268</v>
      </c>
      <c r="B35" s="39" t="s">
        <v>483</v>
      </c>
      <c r="C35" s="140">
        <f>+'11_Önk Bev részletező'!D6</f>
        <v>70000000</v>
      </c>
      <c r="D35" s="854">
        <v>35957199</v>
      </c>
      <c r="E35" s="95">
        <v>35957199</v>
      </c>
      <c r="F35" s="95">
        <f>SUM(F36:F38)</f>
        <v>0</v>
      </c>
      <c r="G35" s="95"/>
      <c r="H35" s="854">
        <v>301726146</v>
      </c>
      <c r="I35" s="95">
        <v>325988684</v>
      </c>
      <c r="J35" s="95">
        <f>SUM(J36:J38)</f>
        <v>0</v>
      </c>
      <c r="K35" s="95"/>
      <c r="L35" s="604">
        <f t="shared" si="18"/>
        <v>4.3103735142857147</v>
      </c>
      <c r="M35" s="604">
        <f t="shared" si="18"/>
        <v>9.0660199644582988</v>
      </c>
      <c r="N35" s="604">
        <f t="shared" si="18"/>
        <v>0</v>
      </c>
      <c r="O35" s="676"/>
      <c r="P35" s="95">
        <f t="shared" si="20"/>
        <v>-34042801</v>
      </c>
      <c r="Q35" s="95">
        <f t="shared" si="20"/>
        <v>0</v>
      </c>
      <c r="R35" s="95">
        <f t="shared" si="20"/>
        <v>0</v>
      </c>
      <c r="S35" s="95">
        <f t="shared" si="4"/>
        <v>-34042801</v>
      </c>
      <c r="T35" s="85">
        <f t="shared" si="14"/>
        <v>-0.48632572857142858</v>
      </c>
      <c r="U35" s="95"/>
      <c r="V35" s="195">
        <f t="shared" si="15"/>
        <v>0</v>
      </c>
    </row>
    <row r="36" spans="1:22" x14ac:dyDescent="0.25">
      <c r="A36" s="14"/>
      <c r="B36" s="146"/>
      <c r="C36" s="71"/>
      <c r="D36" s="68"/>
      <c r="E36" s="68"/>
      <c r="F36" s="68"/>
      <c r="G36" s="68"/>
      <c r="H36" s="68"/>
      <c r="I36" s="68">
        <v>0</v>
      </c>
      <c r="J36" s="68"/>
      <c r="K36" s="68"/>
      <c r="L36" s="603"/>
      <c r="M36" s="603"/>
      <c r="N36" s="603"/>
      <c r="O36" s="93"/>
      <c r="P36" s="81">
        <f t="shared" si="20"/>
        <v>0</v>
      </c>
      <c r="Q36" s="81">
        <f t="shared" si="20"/>
        <v>0</v>
      </c>
      <c r="R36" s="81">
        <f t="shared" si="20"/>
        <v>0</v>
      </c>
      <c r="S36" s="81">
        <f t="shared" si="4"/>
        <v>0</v>
      </c>
      <c r="T36" s="85">
        <f t="shared" si="14"/>
        <v>0</v>
      </c>
      <c r="U36" s="68"/>
      <c r="V36" s="195">
        <f t="shared" si="15"/>
        <v>0</v>
      </c>
    </row>
    <row r="37" spans="1:22" x14ac:dyDescent="0.25">
      <c r="A37" s="14"/>
      <c r="B37" s="146"/>
      <c r="C37" s="71"/>
      <c r="D37" s="68"/>
      <c r="E37" s="68"/>
      <c r="F37" s="68"/>
      <c r="G37" s="68"/>
      <c r="H37" s="68"/>
      <c r="I37" s="68"/>
      <c r="J37" s="68"/>
      <c r="K37" s="68"/>
      <c r="L37" s="603"/>
      <c r="M37" s="603"/>
      <c r="N37" s="603"/>
      <c r="O37" s="93"/>
      <c r="P37" s="81">
        <f t="shared" si="20"/>
        <v>0</v>
      </c>
      <c r="Q37" s="81">
        <f t="shared" si="20"/>
        <v>0</v>
      </c>
      <c r="R37" s="81">
        <f t="shared" si="20"/>
        <v>0</v>
      </c>
      <c r="S37" s="81">
        <f t="shared" si="4"/>
        <v>0</v>
      </c>
      <c r="T37" s="85">
        <f t="shared" si="14"/>
        <v>0</v>
      </c>
      <c r="U37" s="68"/>
      <c r="V37" s="195">
        <f t="shared" si="15"/>
        <v>0</v>
      </c>
    </row>
    <row r="38" spans="1:22" x14ac:dyDescent="0.25">
      <c r="A38" s="14"/>
      <c r="B38" s="146"/>
      <c r="C38" s="71"/>
      <c r="D38" s="68"/>
      <c r="E38" s="68"/>
      <c r="F38" s="68"/>
      <c r="G38" s="68"/>
      <c r="H38" s="68"/>
      <c r="I38" s="68"/>
      <c r="J38" s="68"/>
      <c r="K38" s="68"/>
      <c r="L38" s="603"/>
      <c r="M38" s="603"/>
      <c r="N38" s="603"/>
      <c r="O38" s="93"/>
      <c r="P38" s="81">
        <f t="shared" si="20"/>
        <v>0</v>
      </c>
      <c r="Q38" s="81">
        <f t="shared" si="20"/>
        <v>0</v>
      </c>
      <c r="R38" s="81">
        <f t="shared" si="20"/>
        <v>0</v>
      </c>
      <c r="S38" s="81">
        <f t="shared" si="4"/>
        <v>0</v>
      </c>
      <c r="T38" s="85">
        <f t="shared" si="14"/>
        <v>0</v>
      </c>
      <c r="U38" s="68"/>
      <c r="V38" s="195">
        <f t="shared" si="15"/>
        <v>0</v>
      </c>
    </row>
    <row r="39" spans="1:22" x14ac:dyDescent="0.25">
      <c r="A39" s="4" t="s">
        <v>269</v>
      </c>
      <c r="B39" s="3" t="s">
        <v>270</v>
      </c>
      <c r="C39" s="66">
        <f>+C40+C42+C47</f>
        <v>200000000</v>
      </c>
      <c r="D39" s="66">
        <f>+D40+D42+D47</f>
        <v>200000000</v>
      </c>
      <c r="E39" s="66">
        <f>+E40+E42+E47</f>
        <v>200000000</v>
      </c>
      <c r="F39" s="66">
        <f>+F40+F42+F47</f>
        <v>0</v>
      </c>
      <c r="G39" s="66"/>
      <c r="H39" s="66">
        <f>+H40+H42+H47</f>
        <v>122999106</v>
      </c>
      <c r="I39" s="66">
        <f>+I40+I42+I47</f>
        <v>223760794</v>
      </c>
      <c r="J39" s="66">
        <f>+J40+J42+J47</f>
        <v>0</v>
      </c>
      <c r="K39" s="66"/>
      <c r="L39" s="641">
        <f t="shared" ref="L39:N54" si="21">IF(H39&gt;0,H39/C39,0)</f>
        <v>0.61499552999999996</v>
      </c>
      <c r="M39" s="641">
        <f t="shared" si="21"/>
        <v>1.1188039700000001</v>
      </c>
      <c r="N39" s="600">
        <f t="shared" si="21"/>
        <v>0</v>
      </c>
      <c r="O39" s="649"/>
      <c r="P39" s="66">
        <f t="shared" ref="P39:R39" si="22">+P40+P42+P47</f>
        <v>0</v>
      </c>
      <c r="Q39" s="66">
        <f t="shared" si="22"/>
        <v>0</v>
      </c>
      <c r="R39" s="66">
        <f t="shared" si="22"/>
        <v>0</v>
      </c>
      <c r="S39" s="66">
        <f t="shared" si="4"/>
        <v>0</v>
      </c>
      <c r="T39" s="85">
        <f t="shared" si="14"/>
        <v>0</v>
      </c>
      <c r="U39" s="66"/>
      <c r="V39" s="195">
        <f t="shared" si="15"/>
        <v>0</v>
      </c>
    </row>
    <row r="40" spans="1:22" x14ac:dyDescent="0.25">
      <c r="A40" s="38" t="s">
        <v>271</v>
      </c>
      <c r="B40" s="39" t="s">
        <v>272</v>
      </c>
      <c r="C40" s="140">
        <f>SUM(C41)</f>
        <v>30000000</v>
      </c>
      <c r="D40" s="140">
        <f t="shared" ref="D40:F40" si="23">SUM(D41)</f>
        <v>30000000</v>
      </c>
      <c r="E40" s="140">
        <f t="shared" si="23"/>
        <v>30000000</v>
      </c>
      <c r="F40" s="140">
        <f t="shared" si="23"/>
        <v>0</v>
      </c>
      <c r="G40" s="95"/>
      <c r="H40" s="140">
        <f t="shared" ref="H40" si="24">SUM(H41)</f>
        <v>16925037</v>
      </c>
      <c r="I40" s="140">
        <f t="shared" ref="I40" si="25">SUM(I41)</f>
        <v>25472906</v>
      </c>
      <c r="J40" s="140">
        <f t="shared" ref="J40" si="26">SUM(J41)</f>
        <v>0</v>
      </c>
      <c r="K40" s="95"/>
      <c r="L40" s="604">
        <f t="shared" si="21"/>
        <v>0.56416790000000006</v>
      </c>
      <c r="M40" s="604">
        <f t="shared" si="21"/>
        <v>0.84909686666666662</v>
      </c>
      <c r="N40" s="603">
        <f t="shared" si="21"/>
        <v>0</v>
      </c>
      <c r="O40" s="676"/>
      <c r="P40" s="95">
        <f t="shared" ref="P40:R40" si="27">SUM(P41)</f>
        <v>0</v>
      </c>
      <c r="Q40" s="95">
        <f t="shared" si="27"/>
        <v>0</v>
      </c>
      <c r="R40" s="95">
        <f t="shared" si="27"/>
        <v>0</v>
      </c>
      <c r="S40" s="95">
        <f t="shared" si="4"/>
        <v>0</v>
      </c>
      <c r="T40" s="85">
        <f t="shared" si="14"/>
        <v>0</v>
      </c>
      <c r="U40" s="95"/>
      <c r="V40" s="195">
        <f t="shared" si="15"/>
        <v>0</v>
      </c>
    </row>
    <row r="41" spans="1:22" x14ac:dyDescent="0.25">
      <c r="A41" s="38"/>
      <c r="B41" s="146" t="s">
        <v>507</v>
      </c>
      <c r="C41" s="142">
        <f>3000000+27000000</f>
        <v>30000000</v>
      </c>
      <c r="D41" s="143">
        <v>30000000</v>
      </c>
      <c r="E41" s="143">
        <v>30000000</v>
      </c>
      <c r="F41" s="143"/>
      <c r="G41" s="143"/>
      <c r="H41" s="143">
        <f>2022631+14762406+140000</f>
        <v>16925037</v>
      </c>
      <c r="I41" s="143">
        <f>3341715+21831191+300000</f>
        <v>25472906</v>
      </c>
      <c r="J41" s="143"/>
      <c r="K41" s="143"/>
      <c r="L41" s="603">
        <f t="shared" si="21"/>
        <v>0.56416790000000006</v>
      </c>
      <c r="M41" s="603">
        <f t="shared" si="21"/>
        <v>0.84909686666666662</v>
      </c>
      <c r="N41" s="604">
        <f t="shared" si="21"/>
        <v>0</v>
      </c>
      <c r="O41" s="678"/>
      <c r="P41" s="81">
        <f>+(D41-C41)*P$8</f>
        <v>0</v>
      </c>
      <c r="Q41" s="81">
        <f>+(E41-D41)*Q$8</f>
        <v>0</v>
      </c>
      <c r="R41" s="81">
        <f>+(F41-E41)*R$8</f>
        <v>0</v>
      </c>
      <c r="S41" s="81">
        <f t="shared" si="4"/>
        <v>0</v>
      </c>
      <c r="T41" s="85">
        <f t="shared" si="14"/>
        <v>0</v>
      </c>
      <c r="U41" s="143"/>
      <c r="V41" s="195">
        <f t="shared" si="15"/>
        <v>0</v>
      </c>
    </row>
    <row r="42" spans="1:22" x14ac:dyDescent="0.25">
      <c r="A42" s="38" t="s">
        <v>273</v>
      </c>
      <c r="B42" s="39" t="s">
        <v>274</v>
      </c>
      <c r="C42" s="95">
        <f t="shared" ref="C42" si="28">SUM(C43+C46)</f>
        <v>170000000</v>
      </c>
      <c r="D42" s="95">
        <f>SUM(D43+D46)</f>
        <v>170000000</v>
      </c>
      <c r="E42" s="95">
        <f>SUM(E43+E46)</f>
        <v>170000000</v>
      </c>
      <c r="F42" s="95">
        <f>SUM(F43+F46)</f>
        <v>0</v>
      </c>
      <c r="G42" s="95"/>
      <c r="H42" s="95">
        <f>SUM(H43+H46)</f>
        <v>104147411</v>
      </c>
      <c r="I42" s="95">
        <f>SUM(I43+I46)</f>
        <v>193987407</v>
      </c>
      <c r="J42" s="95">
        <f>SUM(J43+J46)</f>
        <v>0</v>
      </c>
      <c r="K42" s="95"/>
      <c r="L42" s="604">
        <f t="shared" si="21"/>
        <v>0.61263182941176475</v>
      </c>
      <c r="M42" s="604">
        <f t="shared" si="21"/>
        <v>1.141102394117647</v>
      </c>
      <c r="N42" s="603">
        <f t="shared" si="21"/>
        <v>0</v>
      </c>
      <c r="O42" s="676"/>
      <c r="P42" s="95">
        <f t="shared" ref="P42:R42" si="29">SUM(P43+P46)</f>
        <v>0</v>
      </c>
      <c r="Q42" s="95">
        <f t="shared" si="29"/>
        <v>0</v>
      </c>
      <c r="R42" s="95">
        <f t="shared" si="29"/>
        <v>0</v>
      </c>
      <c r="S42" s="95">
        <f t="shared" si="4"/>
        <v>0</v>
      </c>
      <c r="T42" s="85">
        <f t="shared" si="14"/>
        <v>0</v>
      </c>
      <c r="U42" s="95"/>
      <c r="V42" s="195">
        <f t="shared" si="15"/>
        <v>0</v>
      </c>
    </row>
    <row r="43" spans="1:22" x14ac:dyDescent="0.25">
      <c r="A43" s="14" t="s">
        <v>275</v>
      </c>
      <c r="B43" s="482" t="s">
        <v>276</v>
      </c>
      <c r="C43" s="71">
        <f t="shared" ref="C43:E43" si="30">SUM(C44:C45)</f>
        <v>170000000</v>
      </c>
      <c r="D43" s="71">
        <f t="shared" si="30"/>
        <v>170000000</v>
      </c>
      <c r="E43" s="71">
        <f t="shared" si="30"/>
        <v>170000000</v>
      </c>
      <c r="F43" s="71">
        <f>SUM(F44:F45)</f>
        <v>0</v>
      </c>
      <c r="G43" s="71"/>
      <c r="H43" s="71">
        <f t="shared" ref="H43:I43" si="31">SUM(H44:H45)</f>
        <v>104147411</v>
      </c>
      <c r="I43" s="71">
        <f t="shared" si="31"/>
        <v>193987407</v>
      </c>
      <c r="J43" s="71">
        <f>SUM(J44:J45)</f>
        <v>0</v>
      </c>
      <c r="K43" s="71"/>
      <c r="L43" s="603">
        <f t="shared" si="21"/>
        <v>0.61263182941176475</v>
      </c>
      <c r="M43" s="603">
        <f t="shared" si="21"/>
        <v>1.141102394117647</v>
      </c>
      <c r="N43" s="599">
        <f t="shared" si="21"/>
        <v>0</v>
      </c>
      <c r="O43" s="91"/>
      <c r="P43" s="81">
        <f t="shared" ref="P43:R46" si="32">+(D43-C43)*P$8</f>
        <v>0</v>
      </c>
      <c r="Q43" s="81">
        <f t="shared" si="32"/>
        <v>0</v>
      </c>
      <c r="R43" s="81">
        <f t="shared" si="32"/>
        <v>0</v>
      </c>
      <c r="S43" s="81">
        <f t="shared" si="4"/>
        <v>0</v>
      </c>
      <c r="T43" s="85">
        <f t="shared" si="14"/>
        <v>0</v>
      </c>
      <c r="U43" s="71"/>
      <c r="V43" s="195">
        <f t="shared" si="15"/>
        <v>0</v>
      </c>
    </row>
    <row r="44" spans="1:22" x14ac:dyDescent="0.25">
      <c r="A44" s="14"/>
      <c r="B44" s="147" t="s">
        <v>277</v>
      </c>
      <c r="C44" s="71">
        <v>0</v>
      </c>
      <c r="D44" s="68">
        <v>0</v>
      </c>
      <c r="E44" s="68">
        <v>0</v>
      </c>
      <c r="F44" s="68">
        <v>0</v>
      </c>
      <c r="G44" s="68"/>
      <c r="H44" s="68">
        <v>0</v>
      </c>
      <c r="I44" s="68">
        <v>0</v>
      </c>
      <c r="J44" s="68"/>
      <c r="K44" s="68"/>
      <c r="L44" s="603">
        <f t="shared" si="21"/>
        <v>0</v>
      </c>
      <c r="M44" s="603">
        <f t="shared" si="21"/>
        <v>0</v>
      </c>
      <c r="N44" s="599">
        <f t="shared" si="21"/>
        <v>0</v>
      </c>
      <c r="O44" s="93"/>
      <c r="P44" s="81">
        <f t="shared" si="32"/>
        <v>0</v>
      </c>
      <c r="Q44" s="81">
        <f t="shared" si="32"/>
        <v>0</v>
      </c>
      <c r="R44" s="81">
        <f t="shared" si="32"/>
        <v>0</v>
      </c>
      <c r="S44" s="81">
        <f t="shared" si="4"/>
        <v>0</v>
      </c>
      <c r="T44" s="85">
        <f t="shared" si="14"/>
        <v>0</v>
      </c>
      <c r="U44" s="68"/>
      <c r="V44" s="195">
        <f t="shared" si="15"/>
        <v>0</v>
      </c>
    </row>
    <row r="45" spans="1:22" x14ac:dyDescent="0.25">
      <c r="A45" s="14"/>
      <c r="B45" s="148" t="s">
        <v>396</v>
      </c>
      <c r="C45" s="71">
        <v>170000000</v>
      </c>
      <c r="D45" s="68">
        <v>170000000</v>
      </c>
      <c r="E45" s="68">
        <v>170000000</v>
      </c>
      <c r="F45" s="68"/>
      <c r="G45" s="68"/>
      <c r="H45" s="68">
        <v>104147411</v>
      </c>
      <c r="I45" s="68">
        <v>193987407</v>
      </c>
      <c r="J45" s="68"/>
      <c r="K45" s="68"/>
      <c r="L45" s="603">
        <f t="shared" si="21"/>
        <v>0.61263182941176475</v>
      </c>
      <c r="M45" s="603">
        <f t="shared" si="21"/>
        <v>1.141102394117647</v>
      </c>
      <c r="N45" s="603">
        <f t="shared" si="21"/>
        <v>0</v>
      </c>
      <c r="O45" s="93"/>
      <c r="P45" s="81">
        <f t="shared" si="32"/>
        <v>0</v>
      </c>
      <c r="Q45" s="81">
        <f t="shared" si="32"/>
        <v>0</v>
      </c>
      <c r="R45" s="81">
        <f t="shared" si="32"/>
        <v>0</v>
      </c>
      <c r="S45" s="81">
        <f t="shared" si="4"/>
        <v>0</v>
      </c>
      <c r="T45" s="85">
        <f t="shared" si="14"/>
        <v>0</v>
      </c>
      <c r="U45" s="68"/>
      <c r="V45" s="195">
        <f t="shared" si="15"/>
        <v>0</v>
      </c>
    </row>
    <row r="46" spans="1:22" x14ac:dyDescent="0.25">
      <c r="A46" s="14" t="s">
        <v>278</v>
      </c>
      <c r="B46" s="44" t="s">
        <v>397</v>
      </c>
      <c r="C46" s="71">
        <v>0</v>
      </c>
      <c r="D46" s="68">
        <v>0</v>
      </c>
      <c r="E46" s="68">
        <v>0</v>
      </c>
      <c r="F46" s="68">
        <v>0</v>
      </c>
      <c r="G46" s="68"/>
      <c r="H46" s="68">
        <v>0</v>
      </c>
      <c r="I46" s="68">
        <v>0</v>
      </c>
      <c r="J46" s="68"/>
      <c r="K46" s="68"/>
      <c r="L46" s="603">
        <f t="shared" si="21"/>
        <v>0</v>
      </c>
      <c r="M46" s="603">
        <f t="shared" si="21"/>
        <v>0</v>
      </c>
      <c r="N46" s="603">
        <f t="shared" si="21"/>
        <v>0</v>
      </c>
      <c r="O46" s="93"/>
      <c r="P46" s="81">
        <f t="shared" si="32"/>
        <v>0</v>
      </c>
      <c r="Q46" s="81">
        <f t="shared" si="32"/>
        <v>0</v>
      </c>
      <c r="R46" s="81">
        <f t="shared" si="32"/>
        <v>0</v>
      </c>
      <c r="S46" s="81">
        <f t="shared" si="4"/>
        <v>0</v>
      </c>
      <c r="T46" s="85">
        <f t="shared" si="14"/>
        <v>0</v>
      </c>
      <c r="U46" s="68"/>
      <c r="V46" s="195">
        <f t="shared" si="15"/>
        <v>0</v>
      </c>
    </row>
    <row r="47" spans="1:22" x14ac:dyDescent="0.25">
      <c r="A47" s="38" t="s">
        <v>279</v>
      </c>
      <c r="B47" s="39" t="s">
        <v>280</v>
      </c>
      <c r="C47" s="95">
        <f t="shared" ref="C47" si="33">SUM(C48:C49)</f>
        <v>0</v>
      </c>
      <c r="D47" s="95">
        <f>SUM(D48:D49)</f>
        <v>0</v>
      </c>
      <c r="E47" s="95">
        <f>SUM(E48:E49)</f>
        <v>0</v>
      </c>
      <c r="F47" s="95">
        <f>SUM(F48:F49)</f>
        <v>0</v>
      </c>
      <c r="G47" s="95"/>
      <c r="H47" s="95">
        <f>SUM(H48:H49)</f>
        <v>1926658</v>
      </c>
      <c r="I47" s="95">
        <f>SUM(I48:I49)</f>
        <v>4300481</v>
      </c>
      <c r="J47" s="95">
        <f>SUM(J48:J49)</f>
        <v>0</v>
      </c>
      <c r="K47" s="95"/>
      <c r="L47" s="603" t="e">
        <f t="shared" si="21"/>
        <v>#DIV/0!</v>
      </c>
      <c r="M47" s="603" t="e">
        <f t="shared" si="21"/>
        <v>#DIV/0!</v>
      </c>
      <c r="N47" s="603">
        <f t="shared" si="21"/>
        <v>0</v>
      </c>
      <c r="O47" s="676"/>
      <c r="P47" s="95">
        <f t="shared" ref="P47:R47" si="34">SUM(P48:P49)</f>
        <v>0</v>
      </c>
      <c r="Q47" s="95">
        <f t="shared" si="34"/>
        <v>0</v>
      </c>
      <c r="R47" s="95">
        <f t="shared" si="34"/>
        <v>0</v>
      </c>
      <c r="S47" s="95">
        <f t="shared" si="4"/>
        <v>0</v>
      </c>
      <c r="T47" s="85">
        <f t="shared" si="14"/>
        <v>0</v>
      </c>
      <c r="U47" s="95"/>
      <c r="V47" s="195">
        <f t="shared" si="15"/>
        <v>0</v>
      </c>
    </row>
    <row r="48" spans="1:22" ht="63.6" customHeight="1" x14ac:dyDescent="0.25">
      <c r="A48" s="14"/>
      <c r="B48" s="593" t="s">
        <v>540</v>
      </c>
      <c r="C48" s="71">
        <v>0</v>
      </c>
      <c r="D48" s="68"/>
      <c r="E48" s="68"/>
      <c r="F48" s="68"/>
      <c r="G48" s="68"/>
      <c r="H48" s="68">
        <v>1926658</v>
      </c>
      <c r="I48" s="68">
        <v>4300481</v>
      </c>
      <c r="J48" s="68"/>
      <c r="K48" s="68"/>
      <c r="L48" s="603" t="e">
        <f t="shared" si="21"/>
        <v>#DIV/0!</v>
      </c>
      <c r="M48" s="603" t="e">
        <f t="shared" si="21"/>
        <v>#DIV/0!</v>
      </c>
      <c r="N48" s="603">
        <f t="shared" si="21"/>
        <v>0</v>
      </c>
      <c r="O48" s="93"/>
      <c r="P48" s="81">
        <f t="shared" ref="P48:R49" si="35">+(D48-C48)*P$8</f>
        <v>0</v>
      </c>
      <c r="Q48" s="81">
        <f t="shared" si="35"/>
        <v>0</v>
      </c>
      <c r="R48" s="81">
        <f t="shared" si="35"/>
        <v>0</v>
      </c>
      <c r="S48" s="81">
        <f t="shared" si="4"/>
        <v>0</v>
      </c>
      <c r="T48" s="85">
        <f t="shared" si="14"/>
        <v>0</v>
      </c>
      <c r="U48" s="68"/>
      <c r="V48" s="195">
        <f t="shared" si="15"/>
        <v>0</v>
      </c>
    </row>
    <row r="49" spans="1:22" ht="35.1" hidden="1" customHeight="1" x14ac:dyDescent="0.25">
      <c r="A49" s="14"/>
      <c r="B49" s="147" t="s">
        <v>281</v>
      </c>
      <c r="C49" s="71">
        <v>0</v>
      </c>
      <c r="D49" s="68">
        <f>+C49</f>
        <v>0</v>
      </c>
      <c r="E49" s="68"/>
      <c r="F49" s="68"/>
      <c r="G49" s="68"/>
      <c r="H49" s="68">
        <v>0</v>
      </c>
      <c r="I49" s="68">
        <v>0</v>
      </c>
      <c r="J49" s="68"/>
      <c r="K49" s="68"/>
      <c r="L49" s="603">
        <f t="shared" si="21"/>
        <v>0</v>
      </c>
      <c r="M49" s="603">
        <f t="shared" si="21"/>
        <v>0</v>
      </c>
      <c r="N49" s="603">
        <f t="shared" si="21"/>
        <v>0</v>
      </c>
      <c r="O49" s="93"/>
      <c r="P49" s="81">
        <f t="shared" si="35"/>
        <v>0</v>
      </c>
      <c r="Q49" s="81">
        <f t="shared" si="35"/>
        <v>0</v>
      </c>
      <c r="R49" s="81">
        <f t="shared" si="35"/>
        <v>0</v>
      </c>
      <c r="S49" s="81">
        <f t="shared" si="4"/>
        <v>0</v>
      </c>
      <c r="T49" s="85">
        <f t="shared" si="14"/>
        <v>0</v>
      </c>
      <c r="U49" s="68"/>
      <c r="V49" s="195">
        <f t="shared" si="15"/>
        <v>0</v>
      </c>
    </row>
    <row r="50" spans="1:22" x14ac:dyDescent="0.25">
      <c r="A50" s="4" t="s">
        <v>282</v>
      </c>
      <c r="B50" s="3" t="s">
        <v>283</v>
      </c>
      <c r="C50" s="67">
        <f t="shared" ref="C50" si="36">SUM(C51:C66)</f>
        <v>54050000</v>
      </c>
      <c r="D50" s="67">
        <f>SUM(D51:D66)</f>
        <v>54050000</v>
      </c>
      <c r="E50" s="67">
        <f>SUM(E51:E66)</f>
        <v>54050000</v>
      </c>
      <c r="F50" s="67">
        <f>SUM(F51:F66)</f>
        <v>0</v>
      </c>
      <c r="G50" s="67"/>
      <c r="H50" s="67">
        <f>SUM(H51:H66)</f>
        <v>36982630</v>
      </c>
      <c r="I50" s="290">
        <f>SUM(I51:I66)</f>
        <v>62593860</v>
      </c>
      <c r="J50" s="290">
        <f>SUM(J51:J66)</f>
        <v>0</v>
      </c>
      <c r="K50" s="290"/>
      <c r="L50" s="673">
        <f t="shared" si="21"/>
        <v>0.68422997224791859</v>
      </c>
      <c r="M50" s="673">
        <f t="shared" si="21"/>
        <v>1.1580732654949122</v>
      </c>
      <c r="N50" s="612">
        <f t="shared" si="21"/>
        <v>0</v>
      </c>
      <c r="O50" s="679"/>
      <c r="P50" s="290">
        <f t="shared" ref="P50:R50" si="37">SUM(P51:P66)</f>
        <v>-4.6566128730773926E-10</v>
      </c>
      <c r="Q50" s="67">
        <f t="shared" si="37"/>
        <v>0</v>
      </c>
      <c r="R50" s="67">
        <f t="shared" si="37"/>
        <v>0</v>
      </c>
      <c r="S50" s="67">
        <f t="shared" si="4"/>
        <v>-4.6566128730773926E-10</v>
      </c>
      <c r="T50" s="85">
        <f t="shared" si="14"/>
        <v>-8.6153799686908288E-18</v>
      </c>
      <c r="U50" s="67"/>
      <c r="V50" s="195">
        <f t="shared" si="15"/>
        <v>0</v>
      </c>
    </row>
    <row r="51" spans="1:22" x14ac:dyDescent="0.25">
      <c r="A51" s="14" t="s">
        <v>284</v>
      </c>
      <c r="B51" s="482" t="s">
        <v>475</v>
      </c>
      <c r="C51" s="71">
        <v>0</v>
      </c>
      <c r="D51" s="68">
        <v>0</v>
      </c>
      <c r="E51" s="71">
        <v>0</v>
      </c>
      <c r="F51" s="71"/>
      <c r="G51" s="71"/>
      <c r="H51" s="71">
        <v>0</v>
      </c>
      <c r="I51" s="71">
        <v>0</v>
      </c>
      <c r="J51" s="71"/>
      <c r="K51" s="71"/>
      <c r="L51" s="603">
        <f t="shared" si="21"/>
        <v>0</v>
      </c>
      <c r="M51" s="603">
        <f t="shared" si="21"/>
        <v>0</v>
      </c>
      <c r="N51" s="599">
        <f t="shared" si="21"/>
        <v>0</v>
      </c>
      <c r="O51" s="91"/>
      <c r="P51" s="71"/>
      <c r="Q51" s="81">
        <f t="shared" ref="Q51:Q66" si="38">+(E51-D51)*Q$8</f>
        <v>0</v>
      </c>
      <c r="R51" s="71"/>
      <c r="S51" s="81">
        <f t="shared" si="4"/>
        <v>0</v>
      </c>
      <c r="U51" s="71"/>
      <c r="V51" s="197"/>
    </row>
    <row r="52" spans="1:22" x14ac:dyDescent="0.25">
      <c r="A52" s="14" t="s">
        <v>285</v>
      </c>
      <c r="B52" s="20" t="s">
        <v>286</v>
      </c>
      <c r="C52" s="71">
        <f>+'11_Önk Bev részletező'!D11</f>
        <v>35000000</v>
      </c>
      <c r="D52" s="68">
        <v>35000000</v>
      </c>
      <c r="E52" s="68">
        <v>35000000</v>
      </c>
      <c r="F52" s="68"/>
      <c r="G52" s="68"/>
      <c r="H52" s="68">
        <v>22963634</v>
      </c>
      <c r="I52" s="68">
        <v>39289102</v>
      </c>
      <c r="J52" s="68"/>
      <c r="K52" s="68"/>
      <c r="L52" s="603">
        <f t="shared" si="21"/>
        <v>0.65610382857142857</v>
      </c>
      <c r="M52" s="603">
        <f t="shared" si="21"/>
        <v>1.1225457714285714</v>
      </c>
      <c r="N52" s="603">
        <f t="shared" si="21"/>
        <v>0</v>
      </c>
      <c r="O52" s="93"/>
      <c r="P52" s="81">
        <f t="shared" ref="P52:P66" si="39">+(D52-C52)*P$8</f>
        <v>0</v>
      </c>
      <c r="Q52" s="81">
        <f t="shared" si="38"/>
        <v>0</v>
      </c>
      <c r="R52" s="81">
        <f t="shared" ref="R52:R66" si="40">+(F52-E52)*R$8</f>
        <v>0</v>
      </c>
      <c r="S52" s="81">
        <f t="shared" si="4"/>
        <v>0</v>
      </c>
      <c r="T52" s="85">
        <f t="shared" ref="T52:T96" si="41">IF(C52=0,0,+S52/C52)</f>
        <v>0</v>
      </c>
      <c r="U52" s="68"/>
      <c r="V52" s="195">
        <f t="shared" ref="V52:V96" si="42">+S52-E52+C52</f>
        <v>0</v>
      </c>
    </row>
    <row r="53" spans="1:22" x14ac:dyDescent="0.25">
      <c r="A53" s="14" t="s">
        <v>287</v>
      </c>
      <c r="B53" s="20" t="s">
        <v>288</v>
      </c>
      <c r="C53" s="71">
        <v>15000000</v>
      </c>
      <c r="D53" s="68">
        <v>15000000</v>
      </c>
      <c r="E53" s="68">
        <v>15000000</v>
      </c>
      <c r="F53" s="68"/>
      <c r="G53" s="68"/>
      <c r="H53" s="68">
        <v>10277979</v>
      </c>
      <c r="I53" s="68">
        <v>14472072</v>
      </c>
      <c r="J53" s="68"/>
      <c r="K53" s="68"/>
      <c r="L53" s="603">
        <f t="shared" si="21"/>
        <v>0.68519859999999999</v>
      </c>
      <c r="M53" s="603">
        <f t="shared" si="21"/>
        <v>0.96480480000000002</v>
      </c>
      <c r="N53" s="603">
        <f t="shared" si="21"/>
        <v>0</v>
      </c>
      <c r="O53" s="93"/>
      <c r="P53" s="81">
        <f t="shared" si="39"/>
        <v>0</v>
      </c>
      <c r="Q53" s="81">
        <f t="shared" si="38"/>
        <v>0</v>
      </c>
      <c r="R53" s="81">
        <f t="shared" si="40"/>
        <v>0</v>
      </c>
      <c r="S53" s="81">
        <f t="shared" si="4"/>
        <v>0</v>
      </c>
      <c r="T53" s="85">
        <f t="shared" si="41"/>
        <v>0</v>
      </c>
      <c r="U53" s="68"/>
      <c r="V53" s="195">
        <f t="shared" si="42"/>
        <v>0</v>
      </c>
    </row>
    <row r="54" spans="1:22" x14ac:dyDescent="0.25">
      <c r="A54" s="14"/>
      <c r="B54" s="20" t="s">
        <v>289</v>
      </c>
      <c r="C54" s="71"/>
      <c r="D54" s="68"/>
      <c r="E54" s="68"/>
      <c r="F54" s="68"/>
      <c r="G54" s="68"/>
      <c r="H54" s="68"/>
      <c r="I54" s="68"/>
      <c r="J54" s="68"/>
      <c r="K54" s="68"/>
      <c r="L54" s="603">
        <f t="shared" si="21"/>
        <v>0</v>
      </c>
      <c r="M54" s="603">
        <f t="shared" si="21"/>
        <v>0</v>
      </c>
      <c r="N54" s="599">
        <f t="shared" si="21"/>
        <v>0</v>
      </c>
      <c r="O54" s="93"/>
      <c r="P54" s="81">
        <f t="shared" si="39"/>
        <v>0</v>
      </c>
      <c r="Q54" s="81">
        <f t="shared" si="38"/>
        <v>0</v>
      </c>
      <c r="R54" s="81">
        <f t="shared" si="40"/>
        <v>0</v>
      </c>
      <c r="S54" s="81">
        <f t="shared" si="4"/>
        <v>0</v>
      </c>
      <c r="T54" s="85">
        <f t="shared" si="41"/>
        <v>0</v>
      </c>
      <c r="U54" s="68"/>
      <c r="V54" s="195">
        <f t="shared" si="42"/>
        <v>0</v>
      </c>
    </row>
    <row r="55" spans="1:22" x14ac:dyDescent="0.25">
      <c r="A55" s="14" t="s">
        <v>290</v>
      </c>
      <c r="B55" s="20" t="s">
        <v>291</v>
      </c>
      <c r="C55" s="71">
        <v>0</v>
      </c>
      <c r="D55" s="68">
        <v>0</v>
      </c>
      <c r="E55" s="68">
        <v>0</v>
      </c>
      <c r="F55" s="68"/>
      <c r="G55" s="68"/>
      <c r="H55" s="68">
        <v>0</v>
      </c>
      <c r="I55" s="68">
        <v>0</v>
      </c>
      <c r="J55" s="68"/>
      <c r="K55" s="68"/>
      <c r="L55" s="603">
        <f t="shared" ref="L55:N72" si="43">IF(H55&gt;0,H55/C55,0)</f>
        <v>0</v>
      </c>
      <c r="M55" s="603">
        <f t="shared" si="43"/>
        <v>0</v>
      </c>
      <c r="N55" s="599">
        <f t="shared" si="43"/>
        <v>0</v>
      </c>
      <c r="O55" s="93"/>
      <c r="P55" s="81">
        <f t="shared" si="39"/>
        <v>0</v>
      </c>
      <c r="Q55" s="81">
        <f t="shared" si="38"/>
        <v>0</v>
      </c>
      <c r="R55" s="81">
        <f t="shared" si="40"/>
        <v>0</v>
      </c>
      <c r="S55" s="81">
        <f t="shared" si="4"/>
        <v>0</v>
      </c>
      <c r="T55" s="85">
        <f t="shared" si="41"/>
        <v>0</v>
      </c>
      <c r="U55" s="68"/>
      <c r="V55" s="195">
        <f t="shared" si="42"/>
        <v>0</v>
      </c>
    </row>
    <row r="56" spans="1:22" ht="39.6" hidden="1" customHeight="1" x14ac:dyDescent="0.25">
      <c r="A56" s="14"/>
      <c r="B56" s="20" t="s">
        <v>292</v>
      </c>
      <c r="C56" s="71"/>
      <c r="D56" s="68"/>
      <c r="E56" s="68"/>
      <c r="F56" s="68"/>
      <c r="G56" s="68"/>
      <c r="H56" s="68"/>
      <c r="I56" s="68"/>
      <c r="J56" s="68"/>
      <c r="K56" s="68"/>
      <c r="L56" s="603">
        <f t="shared" si="43"/>
        <v>0</v>
      </c>
      <c r="M56" s="603">
        <f t="shared" si="43"/>
        <v>0</v>
      </c>
      <c r="N56" s="599">
        <f t="shared" si="43"/>
        <v>0</v>
      </c>
      <c r="O56" s="93"/>
      <c r="P56" s="81">
        <f t="shared" si="39"/>
        <v>0</v>
      </c>
      <c r="Q56" s="81">
        <f t="shared" si="38"/>
        <v>0</v>
      </c>
      <c r="R56" s="81">
        <f t="shared" si="40"/>
        <v>0</v>
      </c>
      <c r="S56" s="81">
        <f t="shared" si="4"/>
        <v>0</v>
      </c>
      <c r="T56" s="85">
        <f t="shared" si="41"/>
        <v>0</v>
      </c>
      <c r="U56" s="68"/>
      <c r="V56" s="195">
        <f t="shared" si="42"/>
        <v>0</v>
      </c>
    </row>
    <row r="57" spans="1:22" x14ac:dyDescent="0.25">
      <c r="A57" s="14" t="s">
        <v>293</v>
      </c>
      <c r="B57" s="20" t="s">
        <v>294</v>
      </c>
      <c r="C57" s="71"/>
      <c r="D57" s="68"/>
      <c r="E57" s="68"/>
      <c r="F57" s="68"/>
      <c r="G57" s="68"/>
      <c r="H57" s="68">
        <v>0</v>
      </c>
      <c r="I57" s="68">
        <v>0</v>
      </c>
      <c r="J57" s="68"/>
      <c r="K57" s="68"/>
      <c r="L57" s="603">
        <f t="shared" si="43"/>
        <v>0</v>
      </c>
      <c r="M57" s="603">
        <f t="shared" si="43"/>
        <v>0</v>
      </c>
      <c r="N57" s="599">
        <f t="shared" si="43"/>
        <v>0</v>
      </c>
      <c r="O57" s="93"/>
      <c r="P57" s="81">
        <f t="shared" si="39"/>
        <v>0</v>
      </c>
      <c r="Q57" s="81">
        <f t="shared" si="38"/>
        <v>0</v>
      </c>
      <c r="R57" s="81">
        <f t="shared" si="40"/>
        <v>0</v>
      </c>
      <c r="S57" s="81">
        <f t="shared" si="4"/>
        <v>0</v>
      </c>
      <c r="T57" s="85">
        <f t="shared" si="41"/>
        <v>0</v>
      </c>
      <c r="U57" s="68"/>
      <c r="V57" s="195">
        <f t="shared" si="42"/>
        <v>0</v>
      </c>
    </row>
    <row r="58" spans="1:22" ht="70.2" hidden="1" customHeight="1" x14ac:dyDescent="0.25">
      <c r="A58" s="14"/>
      <c r="B58" s="20" t="s">
        <v>295</v>
      </c>
      <c r="C58" s="71"/>
      <c r="D58" s="68"/>
      <c r="E58" s="68"/>
      <c r="F58" s="68"/>
      <c r="G58" s="68"/>
      <c r="H58" s="68"/>
      <c r="I58" s="68"/>
      <c r="J58" s="68"/>
      <c r="K58" s="68"/>
      <c r="L58" s="603">
        <f t="shared" si="43"/>
        <v>0</v>
      </c>
      <c r="M58" s="603">
        <f t="shared" si="43"/>
        <v>0</v>
      </c>
      <c r="N58" s="599">
        <f t="shared" si="43"/>
        <v>0</v>
      </c>
      <c r="O58" s="93"/>
      <c r="P58" s="81">
        <f t="shared" si="39"/>
        <v>0</v>
      </c>
      <c r="Q58" s="81">
        <f t="shared" si="38"/>
        <v>0</v>
      </c>
      <c r="R58" s="81">
        <f t="shared" si="40"/>
        <v>0</v>
      </c>
      <c r="S58" s="81">
        <f t="shared" si="4"/>
        <v>0</v>
      </c>
      <c r="T58" s="85">
        <f t="shared" si="41"/>
        <v>0</v>
      </c>
      <c r="U58" s="68"/>
      <c r="V58" s="195">
        <f t="shared" si="42"/>
        <v>0</v>
      </c>
    </row>
    <row r="59" spans="1:22" x14ac:dyDescent="0.25">
      <c r="A59" s="14" t="s">
        <v>296</v>
      </c>
      <c r="B59" s="20" t="s">
        <v>297</v>
      </c>
      <c r="C59" s="71">
        <f>+C53*0.27</f>
        <v>4050000.0000000005</v>
      </c>
      <c r="D59" s="68">
        <v>4050000</v>
      </c>
      <c r="E59" s="68">
        <v>4050000</v>
      </c>
      <c r="F59" s="68"/>
      <c r="G59" s="68"/>
      <c r="H59" s="68">
        <f>3227423</f>
        <v>3227423</v>
      </c>
      <c r="I59" s="68">
        <v>6822494</v>
      </c>
      <c r="J59" s="68"/>
      <c r="K59" s="68"/>
      <c r="L59" s="603">
        <f t="shared" si="43"/>
        <v>0.79689456790123447</v>
      </c>
      <c r="M59" s="603">
        <f t="shared" si="43"/>
        <v>1.6845664197530865</v>
      </c>
      <c r="N59" s="603">
        <f t="shared" si="43"/>
        <v>0</v>
      </c>
      <c r="O59" s="93"/>
      <c r="P59" s="81">
        <f t="shared" si="39"/>
        <v>-4.6566128730773926E-10</v>
      </c>
      <c r="Q59" s="81">
        <f t="shared" si="38"/>
        <v>0</v>
      </c>
      <c r="R59" s="81">
        <f t="shared" si="40"/>
        <v>0</v>
      </c>
      <c r="S59" s="81">
        <f t="shared" si="4"/>
        <v>-4.6566128730773926E-10</v>
      </c>
      <c r="T59" s="85">
        <f t="shared" si="41"/>
        <v>-1.1497809563154054E-16</v>
      </c>
      <c r="U59" s="68"/>
      <c r="V59" s="195">
        <f t="shared" si="42"/>
        <v>0</v>
      </c>
    </row>
    <row r="60" spans="1:22" x14ac:dyDescent="0.25">
      <c r="A60" s="14" t="s">
        <v>298</v>
      </c>
      <c r="B60" s="20" t="s">
        <v>299</v>
      </c>
      <c r="C60" s="71"/>
      <c r="D60" s="68"/>
      <c r="E60" s="68"/>
      <c r="F60" s="68"/>
      <c r="G60" s="68"/>
      <c r="H60" s="68"/>
      <c r="I60" s="68"/>
      <c r="J60" s="68"/>
      <c r="K60" s="68"/>
      <c r="L60" s="603">
        <f t="shared" si="43"/>
        <v>0</v>
      </c>
      <c r="M60" s="603">
        <f t="shared" si="43"/>
        <v>0</v>
      </c>
      <c r="N60" s="599">
        <f t="shared" si="43"/>
        <v>0</v>
      </c>
      <c r="O60" s="93"/>
      <c r="P60" s="81">
        <f t="shared" si="39"/>
        <v>0</v>
      </c>
      <c r="Q60" s="81">
        <f t="shared" si="38"/>
        <v>0</v>
      </c>
      <c r="R60" s="81">
        <f t="shared" si="40"/>
        <v>0</v>
      </c>
      <c r="S60" s="81">
        <f t="shared" si="4"/>
        <v>0</v>
      </c>
      <c r="T60" s="85">
        <f t="shared" si="41"/>
        <v>0</v>
      </c>
      <c r="U60" s="68"/>
      <c r="V60" s="195">
        <f t="shared" si="42"/>
        <v>0</v>
      </c>
    </row>
    <row r="61" spans="1:22" x14ac:dyDescent="0.25">
      <c r="A61" s="14"/>
      <c r="B61" s="20" t="s">
        <v>300</v>
      </c>
      <c r="C61" s="71"/>
      <c r="D61" s="68"/>
      <c r="E61" s="68"/>
      <c r="F61" s="68"/>
      <c r="G61" s="68"/>
      <c r="H61" s="68"/>
      <c r="I61" s="68"/>
      <c r="J61" s="68"/>
      <c r="K61" s="68"/>
      <c r="L61" s="603">
        <f t="shared" si="43"/>
        <v>0</v>
      </c>
      <c r="M61" s="603">
        <f t="shared" si="43"/>
        <v>0</v>
      </c>
      <c r="N61" s="599">
        <f t="shared" si="43"/>
        <v>0</v>
      </c>
      <c r="O61" s="93"/>
      <c r="P61" s="81">
        <f t="shared" si="39"/>
        <v>0</v>
      </c>
      <c r="Q61" s="81">
        <f t="shared" si="38"/>
        <v>0</v>
      </c>
      <c r="R61" s="81">
        <f t="shared" si="40"/>
        <v>0</v>
      </c>
      <c r="S61" s="81">
        <f t="shared" si="4"/>
        <v>0</v>
      </c>
      <c r="T61" s="85">
        <f t="shared" si="41"/>
        <v>0</v>
      </c>
      <c r="U61" s="68"/>
      <c r="V61" s="195">
        <f t="shared" si="42"/>
        <v>0</v>
      </c>
    </row>
    <row r="62" spans="1:22" x14ac:dyDescent="0.25">
      <c r="A62" s="14" t="s">
        <v>301</v>
      </c>
      <c r="B62" s="20" t="s">
        <v>302</v>
      </c>
      <c r="C62" s="71">
        <v>0</v>
      </c>
      <c r="D62" s="68">
        <v>0</v>
      </c>
      <c r="E62" s="68"/>
      <c r="F62" s="68"/>
      <c r="G62" s="68"/>
      <c r="H62" s="68">
        <v>9740</v>
      </c>
      <c r="I62" s="68">
        <v>20678</v>
      </c>
      <c r="J62" s="68"/>
      <c r="K62" s="68"/>
      <c r="L62" s="603" t="e">
        <f t="shared" si="43"/>
        <v>#DIV/0!</v>
      </c>
      <c r="M62" s="603" t="e">
        <f t="shared" si="43"/>
        <v>#DIV/0!</v>
      </c>
      <c r="N62" s="603">
        <f t="shared" si="43"/>
        <v>0</v>
      </c>
      <c r="O62" s="93"/>
      <c r="P62" s="81">
        <f t="shared" si="39"/>
        <v>0</v>
      </c>
      <c r="Q62" s="81">
        <f t="shared" si="38"/>
        <v>0</v>
      </c>
      <c r="R62" s="81">
        <f t="shared" si="40"/>
        <v>0</v>
      </c>
      <c r="S62" s="81">
        <f t="shared" si="4"/>
        <v>0</v>
      </c>
      <c r="T62" s="85">
        <f t="shared" si="41"/>
        <v>0</v>
      </c>
      <c r="U62" s="68"/>
      <c r="V62" s="195">
        <f t="shared" si="42"/>
        <v>0</v>
      </c>
    </row>
    <row r="63" spans="1:22" x14ac:dyDescent="0.25">
      <c r="A63" s="14" t="s">
        <v>303</v>
      </c>
      <c r="B63" s="20" t="s">
        <v>304</v>
      </c>
      <c r="C63" s="71">
        <v>0</v>
      </c>
      <c r="D63" s="68">
        <v>0</v>
      </c>
      <c r="E63" s="68"/>
      <c r="F63" s="68"/>
      <c r="G63" s="68"/>
      <c r="H63" s="68"/>
      <c r="I63" s="68"/>
      <c r="J63" s="68"/>
      <c r="K63" s="68"/>
      <c r="L63" s="603">
        <f t="shared" si="43"/>
        <v>0</v>
      </c>
      <c r="M63" s="603">
        <f t="shared" si="43"/>
        <v>0</v>
      </c>
      <c r="N63" s="603">
        <f t="shared" si="43"/>
        <v>0</v>
      </c>
      <c r="O63" s="93"/>
      <c r="P63" s="81">
        <f t="shared" si="39"/>
        <v>0</v>
      </c>
      <c r="Q63" s="81">
        <f t="shared" si="38"/>
        <v>0</v>
      </c>
      <c r="R63" s="81">
        <f t="shared" si="40"/>
        <v>0</v>
      </c>
      <c r="S63" s="81">
        <f t="shared" si="4"/>
        <v>0</v>
      </c>
      <c r="T63" s="85">
        <f t="shared" si="41"/>
        <v>0</v>
      </c>
      <c r="U63" s="68"/>
      <c r="V63" s="195">
        <f t="shared" si="42"/>
        <v>0</v>
      </c>
    </row>
    <row r="64" spans="1:22" ht="52.5" hidden="1" customHeight="1" x14ac:dyDescent="0.25">
      <c r="A64" s="14"/>
      <c r="B64" s="20" t="s">
        <v>305</v>
      </c>
      <c r="C64" s="71"/>
      <c r="D64" s="68"/>
      <c r="E64" s="68"/>
      <c r="F64" s="68"/>
      <c r="G64" s="68"/>
      <c r="H64" s="68"/>
      <c r="I64" s="68"/>
      <c r="J64" s="68"/>
      <c r="K64" s="68"/>
      <c r="L64" s="603">
        <f t="shared" si="43"/>
        <v>0</v>
      </c>
      <c r="M64" s="603">
        <f t="shared" si="43"/>
        <v>0</v>
      </c>
      <c r="N64" s="603">
        <f t="shared" si="43"/>
        <v>0</v>
      </c>
      <c r="O64" s="93"/>
      <c r="P64" s="81">
        <f t="shared" si="39"/>
        <v>0</v>
      </c>
      <c r="Q64" s="81">
        <f t="shared" si="38"/>
        <v>0</v>
      </c>
      <c r="R64" s="81">
        <f t="shared" si="40"/>
        <v>0</v>
      </c>
      <c r="S64" s="81">
        <f t="shared" si="4"/>
        <v>0</v>
      </c>
      <c r="T64" s="85">
        <f t="shared" si="41"/>
        <v>0</v>
      </c>
      <c r="U64" s="68"/>
      <c r="V64" s="195">
        <f t="shared" si="42"/>
        <v>0</v>
      </c>
    </row>
    <row r="65" spans="1:22" ht="26.4" x14ac:dyDescent="0.25">
      <c r="A65" s="482" t="s">
        <v>574</v>
      </c>
      <c r="B65" s="20" t="s">
        <v>306</v>
      </c>
      <c r="C65" s="71">
        <v>0</v>
      </c>
      <c r="D65" s="68">
        <v>0</v>
      </c>
      <c r="E65" s="68"/>
      <c r="F65" s="68"/>
      <c r="G65" s="68"/>
      <c r="H65" s="68">
        <f>89300+414554</f>
        <v>503854</v>
      </c>
      <c r="I65" s="68">
        <f>803856+1185658</f>
        <v>1989514</v>
      </c>
      <c r="J65" s="68"/>
      <c r="K65" s="68"/>
      <c r="L65" s="603" t="e">
        <f t="shared" si="43"/>
        <v>#DIV/0!</v>
      </c>
      <c r="M65" s="603" t="e">
        <f t="shared" si="43"/>
        <v>#DIV/0!</v>
      </c>
      <c r="N65" s="603">
        <f t="shared" si="43"/>
        <v>0</v>
      </c>
      <c r="O65" s="93"/>
      <c r="P65" s="81">
        <f t="shared" si="39"/>
        <v>0</v>
      </c>
      <c r="Q65" s="81">
        <f t="shared" si="38"/>
        <v>0</v>
      </c>
      <c r="R65" s="81">
        <f t="shared" si="40"/>
        <v>0</v>
      </c>
      <c r="S65" s="81">
        <f t="shared" si="4"/>
        <v>0</v>
      </c>
      <c r="T65" s="85">
        <f t="shared" si="41"/>
        <v>0</v>
      </c>
      <c r="U65" s="68"/>
      <c r="V65" s="195">
        <f t="shared" si="42"/>
        <v>0</v>
      </c>
    </row>
    <row r="66" spans="1:22" ht="39" hidden="1" customHeight="1" x14ac:dyDescent="0.25">
      <c r="A66" s="14"/>
      <c r="B66" s="20" t="s">
        <v>307</v>
      </c>
      <c r="C66" s="144"/>
      <c r="D66" s="145">
        <v>0</v>
      </c>
      <c r="E66" s="145"/>
      <c r="F66" s="145"/>
      <c r="G66" s="145"/>
      <c r="H66" s="145">
        <v>0</v>
      </c>
      <c r="I66" s="145"/>
      <c r="J66" s="145"/>
      <c r="K66" s="145"/>
      <c r="L66" s="603">
        <f t="shared" si="43"/>
        <v>0</v>
      </c>
      <c r="M66" s="603">
        <f t="shared" si="43"/>
        <v>0</v>
      </c>
      <c r="N66" s="603">
        <f t="shared" si="43"/>
        <v>0</v>
      </c>
      <c r="O66" s="680"/>
      <c r="P66" s="81">
        <f t="shared" si="39"/>
        <v>0</v>
      </c>
      <c r="Q66" s="81">
        <f t="shared" si="38"/>
        <v>0</v>
      </c>
      <c r="R66" s="81">
        <f t="shared" si="40"/>
        <v>0</v>
      </c>
      <c r="S66" s="81">
        <f t="shared" si="4"/>
        <v>0</v>
      </c>
      <c r="T66" s="85">
        <f t="shared" si="41"/>
        <v>0</v>
      </c>
      <c r="U66" s="145"/>
      <c r="V66" s="195">
        <f t="shared" si="42"/>
        <v>0</v>
      </c>
    </row>
    <row r="67" spans="1:22" x14ac:dyDescent="0.25">
      <c r="A67" s="4" t="s">
        <v>308</v>
      </c>
      <c r="B67" s="3" t="s">
        <v>309</v>
      </c>
      <c r="C67" s="66">
        <f>SUM(C68:C71)</f>
        <v>61100000</v>
      </c>
      <c r="D67" s="67">
        <f>SUM(D68:D71)</f>
        <v>123228000</v>
      </c>
      <c r="E67" s="67">
        <f>SUM(E68:E71)</f>
        <v>125937553</v>
      </c>
      <c r="F67" s="67">
        <f>SUM(F68:F71)</f>
        <v>0</v>
      </c>
      <c r="G67" s="67"/>
      <c r="H67" s="67">
        <f t="shared" ref="H67" si="44">SUM(H68:H71)</f>
        <v>143069306</v>
      </c>
      <c r="I67" s="67">
        <f>SUM(I68:I71)</f>
        <v>151653949</v>
      </c>
      <c r="J67" s="67">
        <f>SUM(J68:J71)</f>
        <v>0</v>
      </c>
      <c r="K67" s="67"/>
      <c r="L67" s="673">
        <f t="shared" si="43"/>
        <v>2.3415598363338788</v>
      </c>
      <c r="M67" s="673">
        <f t="shared" si="43"/>
        <v>1.2306776787743046</v>
      </c>
      <c r="N67" s="603">
        <f t="shared" si="43"/>
        <v>0</v>
      </c>
      <c r="O67" s="648"/>
      <c r="P67" s="67">
        <f t="shared" ref="P67:R67" si="45">SUM(P68:P71)</f>
        <v>62128000</v>
      </c>
      <c r="Q67" s="67">
        <f t="shared" si="45"/>
        <v>2709553</v>
      </c>
      <c r="R67" s="67">
        <f t="shared" si="45"/>
        <v>0</v>
      </c>
      <c r="S67" s="67">
        <f t="shared" si="4"/>
        <v>64837553</v>
      </c>
      <c r="T67" s="85">
        <f t="shared" si="41"/>
        <v>1.0611710801963994</v>
      </c>
      <c r="U67" s="67"/>
      <c r="V67" s="195">
        <f t="shared" si="42"/>
        <v>0</v>
      </c>
    </row>
    <row r="68" spans="1:22" x14ac:dyDescent="0.25">
      <c r="A68" s="14" t="s">
        <v>310</v>
      </c>
      <c r="B68" s="20" t="s">
        <v>311</v>
      </c>
      <c r="C68" s="71"/>
      <c r="D68" s="68"/>
      <c r="E68" s="71"/>
      <c r="F68" s="71"/>
      <c r="G68" s="71"/>
      <c r="H68" s="71"/>
      <c r="I68" s="71"/>
      <c r="J68" s="71"/>
      <c r="K68" s="71"/>
      <c r="L68" s="603">
        <f t="shared" si="43"/>
        <v>0</v>
      </c>
      <c r="M68" s="603">
        <f t="shared" si="43"/>
        <v>0</v>
      </c>
      <c r="N68" s="603">
        <f t="shared" si="43"/>
        <v>0</v>
      </c>
      <c r="O68" s="91"/>
      <c r="P68" s="81">
        <f t="shared" ref="P68:R71" si="46">+(D68-C68)*P$8</f>
        <v>0</v>
      </c>
      <c r="Q68" s="81">
        <f t="shared" si="46"/>
        <v>0</v>
      </c>
      <c r="R68" s="81">
        <f t="shared" si="46"/>
        <v>0</v>
      </c>
      <c r="S68" s="81">
        <f t="shared" si="4"/>
        <v>0</v>
      </c>
      <c r="T68" s="85">
        <f t="shared" si="41"/>
        <v>0</v>
      </c>
      <c r="U68" s="71"/>
      <c r="V68" s="195">
        <f t="shared" si="42"/>
        <v>0</v>
      </c>
    </row>
    <row r="69" spans="1:22" x14ac:dyDescent="0.25">
      <c r="A69" s="14" t="s">
        <v>312</v>
      </c>
      <c r="B69" s="20" t="s">
        <v>313</v>
      </c>
      <c r="C69" s="71">
        <f>+'11_Önk Bev részletező'!D19</f>
        <v>61100000</v>
      </c>
      <c r="D69" s="68">
        <v>123228000</v>
      </c>
      <c r="E69" s="68">
        <v>125937553</v>
      </c>
      <c r="F69" s="68"/>
      <c r="G69" s="68"/>
      <c r="H69" s="68">
        <f>142982692+86614</f>
        <v>143069306</v>
      </c>
      <c r="I69" s="68">
        <v>151567335</v>
      </c>
      <c r="J69" s="68"/>
      <c r="K69" s="68"/>
      <c r="L69" s="603">
        <f t="shared" si="43"/>
        <v>2.3415598363338788</v>
      </c>
      <c r="M69" s="603">
        <f t="shared" si="43"/>
        <v>1.2299748028045574</v>
      </c>
      <c r="N69" s="603">
        <f t="shared" si="43"/>
        <v>0</v>
      </c>
      <c r="O69" s="93"/>
      <c r="P69" s="81">
        <f t="shared" si="46"/>
        <v>62128000</v>
      </c>
      <c r="Q69" s="81">
        <f t="shared" si="46"/>
        <v>2709553</v>
      </c>
      <c r="R69" s="81">
        <f t="shared" si="46"/>
        <v>0</v>
      </c>
      <c r="S69" s="81">
        <f t="shared" si="4"/>
        <v>64837553</v>
      </c>
      <c r="T69" s="85">
        <f t="shared" si="41"/>
        <v>1.0611710801963994</v>
      </c>
      <c r="U69" s="68"/>
      <c r="V69" s="195">
        <f t="shared" si="42"/>
        <v>0</v>
      </c>
    </row>
    <row r="70" spans="1:22" x14ac:dyDescent="0.25">
      <c r="A70" s="14" t="s">
        <v>314</v>
      </c>
      <c r="B70" s="20" t="s">
        <v>315</v>
      </c>
      <c r="C70" s="71">
        <v>0</v>
      </c>
      <c r="D70" s="68">
        <v>0</v>
      </c>
      <c r="E70" s="68">
        <v>0</v>
      </c>
      <c r="F70" s="68"/>
      <c r="G70" s="68"/>
      <c r="H70" s="68">
        <v>0</v>
      </c>
      <c r="I70" s="68">
        <v>86614</v>
      </c>
      <c r="J70" s="68"/>
      <c r="K70" s="68"/>
      <c r="L70" s="603">
        <f t="shared" si="43"/>
        <v>0</v>
      </c>
      <c r="M70" s="603" t="e">
        <f t="shared" si="43"/>
        <v>#DIV/0!</v>
      </c>
      <c r="N70" s="603">
        <f t="shared" si="43"/>
        <v>0</v>
      </c>
      <c r="O70" s="93"/>
      <c r="P70" s="81">
        <f t="shared" si="46"/>
        <v>0</v>
      </c>
      <c r="Q70" s="81">
        <f t="shared" si="46"/>
        <v>0</v>
      </c>
      <c r="R70" s="81">
        <f t="shared" si="46"/>
        <v>0</v>
      </c>
      <c r="S70" s="81">
        <f t="shared" si="4"/>
        <v>0</v>
      </c>
      <c r="T70" s="85">
        <f t="shared" si="41"/>
        <v>0</v>
      </c>
      <c r="U70" s="68"/>
      <c r="V70" s="195">
        <f t="shared" si="42"/>
        <v>0</v>
      </c>
    </row>
    <row r="71" spans="1:22" x14ac:dyDescent="0.25">
      <c r="A71" s="14" t="s">
        <v>316</v>
      </c>
      <c r="B71" s="20" t="s">
        <v>317</v>
      </c>
      <c r="C71" s="71"/>
      <c r="D71" s="68"/>
      <c r="E71" s="71"/>
      <c r="F71" s="71"/>
      <c r="G71" s="71"/>
      <c r="H71" s="71"/>
      <c r="I71" s="71"/>
      <c r="J71" s="71"/>
      <c r="K71" s="71"/>
      <c r="L71" s="603">
        <f t="shared" si="43"/>
        <v>0</v>
      </c>
      <c r="M71" s="603">
        <f t="shared" si="43"/>
        <v>0</v>
      </c>
      <c r="N71" s="603">
        <f t="shared" si="43"/>
        <v>0</v>
      </c>
      <c r="O71" s="91"/>
      <c r="P71" s="81">
        <f t="shared" si="46"/>
        <v>0</v>
      </c>
      <c r="Q71" s="81">
        <f t="shared" si="46"/>
        <v>0</v>
      </c>
      <c r="R71" s="81">
        <f t="shared" si="46"/>
        <v>0</v>
      </c>
      <c r="S71" s="81">
        <f t="shared" si="4"/>
        <v>0</v>
      </c>
      <c r="T71" s="85">
        <f t="shared" si="41"/>
        <v>0</v>
      </c>
      <c r="U71" s="71"/>
      <c r="V71" s="195">
        <f t="shared" si="42"/>
        <v>0</v>
      </c>
    </row>
    <row r="72" spans="1:22" x14ac:dyDescent="0.25">
      <c r="A72" s="4" t="s">
        <v>318</v>
      </c>
      <c r="B72" s="3" t="s">
        <v>319</v>
      </c>
      <c r="C72" s="66">
        <f t="shared" ref="C72" si="47">SUM(C73:C75)</f>
        <v>0</v>
      </c>
      <c r="D72" s="66">
        <f>SUM(D73:D75)</f>
        <v>0</v>
      </c>
      <c r="E72" s="66">
        <f>SUM(E73:E75)</f>
        <v>0</v>
      </c>
      <c r="F72" s="66">
        <f>SUM(F73:F75)</f>
        <v>0</v>
      </c>
      <c r="G72" s="66"/>
      <c r="H72" s="66">
        <f>SUM(H73:H75)</f>
        <v>161668810</v>
      </c>
      <c r="I72" s="66">
        <f>SUM(I73:I75)</f>
        <v>161668810</v>
      </c>
      <c r="J72" s="66">
        <f>SUM(J73:J75)</f>
        <v>0</v>
      </c>
      <c r="K72" s="66"/>
      <c r="L72" s="673" t="e">
        <f t="shared" si="43"/>
        <v>#DIV/0!</v>
      </c>
      <c r="M72" s="673" t="e">
        <f t="shared" si="43"/>
        <v>#DIV/0!</v>
      </c>
      <c r="N72" s="718">
        <f t="shared" si="43"/>
        <v>0</v>
      </c>
      <c r="O72" s="717"/>
      <c r="P72" s="66">
        <f t="shared" ref="P72:R72" si="48">SUM(P73:P75)</f>
        <v>0</v>
      </c>
      <c r="Q72" s="66">
        <f t="shared" si="48"/>
        <v>0</v>
      </c>
      <c r="R72" s="66">
        <f t="shared" si="48"/>
        <v>0</v>
      </c>
      <c r="S72" s="66">
        <f t="shared" si="4"/>
        <v>0</v>
      </c>
      <c r="T72" s="85">
        <f t="shared" si="41"/>
        <v>0</v>
      </c>
      <c r="U72" s="66"/>
      <c r="V72" s="195">
        <f t="shared" si="42"/>
        <v>0</v>
      </c>
    </row>
    <row r="73" spans="1:22" ht="26.1" customHeight="1" x14ac:dyDescent="0.25">
      <c r="A73" s="14" t="s">
        <v>320</v>
      </c>
      <c r="B73" s="20" t="s">
        <v>321</v>
      </c>
      <c r="C73" s="71"/>
      <c r="D73" s="68"/>
      <c r="E73" s="71"/>
      <c r="F73" s="71"/>
      <c r="G73" s="71"/>
      <c r="H73" s="71"/>
      <c r="I73" s="71"/>
      <c r="J73" s="71"/>
      <c r="K73" s="71"/>
      <c r="L73" s="603">
        <f t="shared" ref="L73:N96" si="49">IF(H73&gt;0,H73/C73,0)</f>
        <v>0</v>
      </c>
      <c r="M73" s="603">
        <f t="shared" si="49"/>
        <v>0</v>
      </c>
      <c r="N73" s="603">
        <f t="shared" si="49"/>
        <v>0</v>
      </c>
      <c r="O73" s="91"/>
      <c r="P73" s="81">
        <f t="shared" ref="P73:R75" si="50">+(D73-C73)*P$8</f>
        <v>0</v>
      </c>
      <c r="Q73" s="81">
        <f t="shared" si="50"/>
        <v>0</v>
      </c>
      <c r="R73" s="81">
        <f t="shared" si="50"/>
        <v>0</v>
      </c>
      <c r="S73" s="81">
        <f t="shared" si="4"/>
        <v>0</v>
      </c>
      <c r="T73" s="85">
        <f t="shared" si="41"/>
        <v>0</v>
      </c>
      <c r="U73" s="71"/>
      <c r="V73" s="195">
        <f t="shared" si="42"/>
        <v>0</v>
      </c>
    </row>
    <row r="74" spans="1:22" ht="26.1" customHeight="1" x14ac:dyDescent="0.25">
      <c r="A74" s="529" t="s">
        <v>576</v>
      </c>
      <c r="B74" s="482" t="s">
        <v>575</v>
      </c>
      <c r="C74" s="71"/>
      <c r="D74" s="68"/>
      <c r="E74" s="71"/>
      <c r="F74" s="71"/>
      <c r="G74" s="71"/>
      <c r="H74" s="71">
        <v>10320000</v>
      </c>
      <c r="I74" s="71">
        <v>10320000</v>
      </c>
      <c r="J74" s="71"/>
      <c r="K74" s="71"/>
      <c r="L74" s="603" t="e">
        <f t="shared" si="49"/>
        <v>#DIV/0!</v>
      </c>
      <c r="M74" s="603" t="e">
        <f t="shared" si="49"/>
        <v>#DIV/0!</v>
      </c>
      <c r="N74" s="603">
        <f t="shared" si="49"/>
        <v>0</v>
      </c>
      <c r="O74" s="91"/>
      <c r="P74" s="81">
        <f t="shared" si="50"/>
        <v>0</v>
      </c>
      <c r="Q74" s="81">
        <f t="shared" si="50"/>
        <v>0</v>
      </c>
      <c r="R74" s="81">
        <f t="shared" si="50"/>
        <v>0</v>
      </c>
      <c r="S74" s="81">
        <f t="shared" si="4"/>
        <v>0</v>
      </c>
      <c r="T74" s="85">
        <f t="shared" si="41"/>
        <v>0</v>
      </c>
      <c r="U74" s="71"/>
      <c r="V74" s="195">
        <f t="shared" si="42"/>
        <v>0</v>
      </c>
    </row>
    <row r="75" spans="1:22" x14ac:dyDescent="0.25">
      <c r="A75" s="529" t="s">
        <v>580</v>
      </c>
      <c r="B75" s="482" t="s">
        <v>581</v>
      </c>
      <c r="C75" s="71">
        <v>0</v>
      </c>
      <c r="D75" s="68"/>
      <c r="E75" s="68"/>
      <c r="F75" s="68"/>
      <c r="G75" s="68"/>
      <c r="H75" s="68">
        <v>151348810</v>
      </c>
      <c r="I75" s="68">
        <v>151348810</v>
      </c>
      <c r="J75" s="68"/>
      <c r="K75" s="68"/>
      <c r="L75" s="603" t="e">
        <f t="shared" si="49"/>
        <v>#DIV/0!</v>
      </c>
      <c r="M75" s="603" t="e">
        <f t="shared" si="49"/>
        <v>#DIV/0!</v>
      </c>
      <c r="N75" s="603">
        <f t="shared" si="49"/>
        <v>0</v>
      </c>
      <c r="O75" s="93"/>
      <c r="P75" s="81">
        <f t="shared" si="50"/>
        <v>0</v>
      </c>
      <c r="Q75" s="81">
        <f t="shared" si="50"/>
        <v>0</v>
      </c>
      <c r="R75" s="81">
        <f t="shared" si="50"/>
        <v>0</v>
      </c>
      <c r="S75" s="81">
        <f t="shared" si="4"/>
        <v>0</v>
      </c>
      <c r="T75" s="85">
        <f t="shared" si="41"/>
        <v>0</v>
      </c>
      <c r="U75" s="68"/>
      <c r="V75" s="195">
        <f t="shared" si="42"/>
        <v>0</v>
      </c>
    </row>
    <row r="76" spans="1:22" x14ac:dyDescent="0.25">
      <c r="A76" s="4" t="s">
        <v>322</v>
      </c>
      <c r="B76" s="3" t="s">
        <v>323</v>
      </c>
      <c r="C76" s="66">
        <f>SUM(C77:C78)</f>
        <v>0</v>
      </c>
      <c r="D76" s="66">
        <f>+D77+D78+D79</f>
        <v>0</v>
      </c>
      <c r="E76" s="66">
        <f>SUM(E77:E79)</f>
        <v>0</v>
      </c>
      <c r="F76" s="66">
        <f>SUM(F77:F79)</f>
        <v>0</v>
      </c>
      <c r="G76" s="66"/>
      <c r="H76" s="66">
        <f>+H77+H78+H79</f>
        <v>1704190</v>
      </c>
      <c r="I76" s="66">
        <f>SUM(I77:I79)</f>
        <v>2172463</v>
      </c>
      <c r="J76" s="66">
        <f>SUM(J77:J79)</f>
        <v>0</v>
      </c>
      <c r="K76" s="66"/>
      <c r="L76" s="673" t="e">
        <f t="shared" si="49"/>
        <v>#DIV/0!</v>
      </c>
      <c r="M76" s="673" t="e">
        <f t="shared" si="49"/>
        <v>#DIV/0!</v>
      </c>
      <c r="N76" s="718">
        <f t="shared" si="49"/>
        <v>0</v>
      </c>
      <c r="O76" s="717"/>
      <c r="P76" s="66">
        <f t="shared" ref="P76:R76" si="51">+P77+P78+P79</f>
        <v>0</v>
      </c>
      <c r="Q76" s="66">
        <f t="shared" si="51"/>
        <v>0</v>
      </c>
      <c r="R76" s="66">
        <f t="shared" si="51"/>
        <v>0</v>
      </c>
      <c r="S76" s="66">
        <f t="shared" si="4"/>
        <v>0</v>
      </c>
      <c r="T76" s="85">
        <f t="shared" si="41"/>
        <v>0</v>
      </c>
      <c r="U76" s="66"/>
      <c r="V76" s="195">
        <f t="shared" si="42"/>
        <v>0</v>
      </c>
    </row>
    <row r="77" spans="1:22" ht="40.200000000000003" customHeight="1" x14ac:dyDescent="0.25">
      <c r="A77" s="529" t="s">
        <v>324</v>
      </c>
      <c r="B77" s="20" t="s">
        <v>325</v>
      </c>
      <c r="C77" s="71">
        <v>0</v>
      </c>
      <c r="D77" s="68"/>
      <c r="E77" s="71"/>
      <c r="F77" s="71"/>
      <c r="G77" s="71"/>
      <c r="H77" s="71">
        <v>0</v>
      </c>
      <c r="I77" s="71"/>
      <c r="J77" s="71"/>
      <c r="K77" s="71"/>
      <c r="L77" s="603">
        <f t="shared" si="49"/>
        <v>0</v>
      </c>
      <c r="M77" s="603">
        <f t="shared" si="49"/>
        <v>0</v>
      </c>
      <c r="N77" s="603">
        <f t="shared" si="49"/>
        <v>0</v>
      </c>
      <c r="O77" s="91"/>
      <c r="P77" s="81">
        <f t="shared" ref="P77:R79" si="52">+(D77-C77)*P$8</f>
        <v>0</v>
      </c>
      <c r="Q77" s="81">
        <f t="shared" si="52"/>
        <v>0</v>
      </c>
      <c r="R77" s="81">
        <f t="shared" si="52"/>
        <v>0</v>
      </c>
      <c r="S77" s="81">
        <f t="shared" ref="S77:S96" si="53">+P77*P$8+Q77*Q$8+Q77*G$8</f>
        <v>0</v>
      </c>
      <c r="T77" s="85">
        <f t="shared" si="41"/>
        <v>0</v>
      </c>
      <c r="U77" s="71"/>
      <c r="V77" s="195">
        <f t="shared" si="42"/>
        <v>0</v>
      </c>
    </row>
    <row r="78" spans="1:22" ht="24" customHeight="1" x14ac:dyDescent="0.25">
      <c r="A78" s="529" t="s">
        <v>577</v>
      </c>
      <c r="B78" s="482" t="s">
        <v>326</v>
      </c>
      <c r="C78" s="71"/>
      <c r="D78" s="68"/>
      <c r="E78" s="71"/>
      <c r="F78" s="71"/>
      <c r="G78" s="71"/>
      <c r="H78" s="71">
        <v>85800</v>
      </c>
      <c r="I78" s="71">
        <v>85800</v>
      </c>
      <c r="J78" s="71"/>
      <c r="K78" s="71"/>
      <c r="L78" s="603" t="e">
        <f t="shared" si="49"/>
        <v>#DIV/0!</v>
      </c>
      <c r="M78" s="603" t="e">
        <f t="shared" si="49"/>
        <v>#DIV/0!</v>
      </c>
      <c r="N78" s="603">
        <f t="shared" si="49"/>
        <v>0</v>
      </c>
      <c r="O78" s="91"/>
      <c r="P78" s="81">
        <f t="shared" si="52"/>
        <v>0</v>
      </c>
      <c r="Q78" s="81">
        <f t="shared" si="52"/>
        <v>0</v>
      </c>
      <c r="R78" s="81">
        <f t="shared" si="52"/>
        <v>0</v>
      </c>
      <c r="S78" s="81">
        <f t="shared" si="53"/>
        <v>0</v>
      </c>
      <c r="T78" s="85">
        <f t="shared" si="41"/>
        <v>0</v>
      </c>
      <c r="U78" s="71"/>
      <c r="V78" s="195">
        <f t="shared" si="42"/>
        <v>0</v>
      </c>
    </row>
    <row r="79" spans="1:22" x14ac:dyDescent="0.25">
      <c r="A79" s="14" t="s">
        <v>379</v>
      </c>
      <c r="B79" s="14" t="s">
        <v>327</v>
      </c>
      <c r="C79" s="71">
        <v>0</v>
      </c>
      <c r="D79" s="68"/>
      <c r="E79" s="143"/>
      <c r="F79" s="68"/>
      <c r="G79" s="68"/>
      <c r="H79" s="68">
        <v>1618390</v>
      </c>
      <c r="I79" s="68">
        <v>2086663</v>
      </c>
      <c r="J79" s="68"/>
      <c r="K79" s="68"/>
      <c r="L79" s="603" t="e">
        <f t="shared" si="49"/>
        <v>#DIV/0!</v>
      </c>
      <c r="M79" s="603" t="e">
        <f t="shared" si="49"/>
        <v>#DIV/0!</v>
      </c>
      <c r="N79" s="603">
        <f t="shared" si="49"/>
        <v>0</v>
      </c>
      <c r="O79" s="93"/>
      <c r="P79" s="81">
        <f t="shared" si="52"/>
        <v>0</v>
      </c>
      <c r="Q79" s="81">
        <f t="shared" si="52"/>
        <v>0</v>
      </c>
      <c r="R79" s="81">
        <f t="shared" si="52"/>
        <v>0</v>
      </c>
      <c r="S79" s="81">
        <f t="shared" si="53"/>
        <v>0</v>
      </c>
      <c r="T79" s="85">
        <f t="shared" si="41"/>
        <v>0</v>
      </c>
      <c r="U79" s="68"/>
      <c r="V79" s="195">
        <f t="shared" si="42"/>
        <v>0</v>
      </c>
    </row>
    <row r="80" spans="1:22" x14ac:dyDescent="0.25">
      <c r="A80" s="4" t="s">
        <v>328</v>
      </c>
      <c r="B80" s="3" t="s">
        <v>329</v>
      </c>
      <c r="C80" s="66">
        <f>+C81+C95</f>
        <v>141968012</v>
      </c>
      <c r="D80" s="66">
        <f t="shared" ref="D80:E80" si="54">+D81+D95</f>
        <v>141968012</v>
      </c>
      <c r="E80" s="66">
        <f t="shared" si="54"/>
        <v>141968012</v>
      </c>
      <c r="F80" s="66">
        <f>SUM(F81:F95)</f>
        <v>0</v>
      </c>
      <c r="G80" s="66"/>
      <c r="H80" s="66">
        <f t="shared" ref="H80" si="55">+H81+H95</f>
        <v>142622511</v>
      </c>
      <c r="I80" s="66">
        <f t="shared" ref="I80" si="56">+I81+I95</f>
        <v>142622507</v>
      </c>
      <c r="J80" s="66">
        <f t="shared" ref="J80" si="57">+J81+J95</f>
        <v>0</v>
      </c>
      <c r="K80" s="66"/>
      <c r="L80" s="673">
        <f t="shared" si="49"/>
        <v>1.0046101864129786</v>
      </c>
      <c r="M80" s="673">
        <f t="shared" si="49"/>
        <v>1.0046101582376177</v>
      </c>
      <c r="N80" s="603">
        <f t="shared" si="49"/>
        <v>0</v>
      </c>
      <c r="O80" s="649"/>
      <c r="P80" s="66">
        <f t="shared" ref="P80:R80" si="58">SUM(P81:P94)</f>
        <v>0</v>
      </c>
      <c r="Q80" s="66">
        <f t="shared" si="58"/>
        <v>0</v>
      </c>
      <c r="R80" s="66">
        <f t="shared" si="58"/>
        <v>0</v>
      </c>
      <c r="S80" s="66">
        <f t="shared" si="53"/>
        <v>0</v>
      </c>
      <c r="T80" s="85">
        <f t="shared" si="41"/>
        <v>0</v>
      </c>
      <c r="U80" s="66"/>
      <c r="V80" s="195">
        <f t="shared" si="42"/>
        <v>0</v>
      </c>
    </row>
    <row r="81" spans="1:22" x14ac:dyDescent="0.25">
      <c r="A81" s="14" t="s">
        <v>330</v>
      </c>
      <c r="B81" s="20" t="s">
        <v>331</v>
      </c>
      <c r="C81" s="71">
        <f>+C82+C87+C90+C91+C92+C94</f>
        <v>141968012</v>
      </c>
      <c r="D81" s="71">
        <f>+D82+D87+D90+D91+D92+D94</f>
        <v>141968012</v>
      </c>
      <c r="E81" s="71">
        <f>+E82+E87+E90+E91+E92+E94</f>
        <v>141968012</v>
      </c>
      <c r="F81" s="71"/>
      <c r="G81" s="71"/>
      <c r="H81" s="71">
        <f>+H82+H87+H90+H91+H92+H94</f>
        <v>142622511</v>
      </c>
      <c r="I81" s="71">
        <f>+I82+I87+I90+I91+I92+I94</f>
        <v>142622507</v>
      </c>
      <c r="J81" s="71">
        <f t="shared" ref="J81" si="59">+J82+J87+J90+J91+J92+J94</f>
        <v>0</v>
      </c>
      <c r="K81" s="71"/>
      <c r="L81" s="603">
        <f t="shared" si="49"/>
        <v>1.0046101864129786</v>
      </c>
      <c r="M81" s="603">
        <f t="shared" si="49"/>
        <v>1.0046101582376177</v>
      </c>
      <c r="N81" s="603">
        <f t="shared" si="49"/>
        <v>0</v>
      </c>
      <c r="O81" s="91"/>
      <c r="P81" s="81">
        <f t="shared" ref="P81:P95" si="60">+(D81-C81)*P$8</f>
        <v>0</v>
      </c>
      <c r="Q81" s="81">
        <f t="shared" ref="Q81:Q95" si="61">+(E81-D81)*Q$8</f>
        <v>0</v>
      </c>
      <c r="R81" s="81">
        <f t="shared" ref="R81:R95" si="62">+(F81-E81)*R$8</f>
        <v>0</v>
      </c>
      <c r="S81" s="81">
        <f t="shared" si="53"/>
        <v>0</v>
      </c>
      <c r="T81" s="85">
        <f t="shared" si="41"/>
        <v>0</v>
      </c>
      <c r="U81" s="71"/>
      <c r="V81" s="195">
        <f t="shared" si="42"/>
        <v>0</v>
      </c>
    </row>
    <row r="82" spans="1:22" ht="26.4" x14ac:dyDescent="0.25">
      <c r="A82" s="14" t="s">
        <v>332</v>
      </c>
      <c r="B82" s="20" t="s">
        <v>333</v>
      </c>
      <c r="C82" s="71"/>
      <c r="D82" s="71"/>
      <c r="E82" s="71"/>
      <c r="F82" s="71"/>
      <c r="G82" s="71"/>
      <c r="H82" s="71"/>
      <c r="I82" s="71"/>
      <c r="J82" s="71"/>
      <c r="K82" s="71"/>
      <c r="L82" s="603">
        <f t="shared" si="49"/>
        <v>0</v>
      </c>
      <c r="M82" s="603">
        <f t="shared" si="49"/>
        <v>0</v>
      </c>
      <c r="N82" s="603">
        <f t="shared" si="49"/>
        <v>0</v>
      </c>
      <c r="O82" s="91"/>
      <c r="P82" s="81">
        <f t="shared" si="60"/>
        <v>0</v>
      </c>
      <c r="Q82" s="81">
        <f t="shared" si="61"/>
        <v>0</v>
      </c>
      <c r="R82" s="81">
        <f t="shared" si="62"/>
        <v>0</v>
      </c>
      <c r="S82" s="81">
        <f t="shared" si="53"/>
        <v>0</v>
      </c>
      <c r="T82" s="85">
        <f t="shared" si="41"/>
        <v>0</v>
      </c>
      <c r="U82" s="71"/>
      <c r="V82" s="195">
        <f t="shared" si="42"/>
        <v>0</v>
      </c>
    </row>
    <row r="83" spans="1:22" hidden="1" x14ac:dyDescent="0.25">
      <c r="A83" s="149" t="s">
        <v>334</v>
      </c>
      <c r="B83" s="147" t="s">
        <v>335</v>
      </c>
      <c r="C83" s="71"/>
      <c r="D83" s="71"/>
      <c r="E83" s="71"/>
      <c r="F83" s="71"/>
      <c r="G83" s="71"/>
      <c r="H83" s="71"/>
      <c r="I83" s="71"/>
      <c r="J83" s="71"/>
      <c r="K83" s="71"/>
      <c r="L83" s="603">
        <f t="shared" si="49"/>
        <v>0</v>
      </c>
      <c r="M83" s="603">
        <f t="shared" si="49"/>
        <v>0</v>
      </c>
      <c r="N83" s="603">
        <f t="shared" si="49"/>
        <v>0</v>
      </c>
      <c r="O83" s="91"/>
      <c r="P83" s="81">
        <f t="shared" si="60"/>
        <v>0</v>
      </c>
      <c r="Q83" s="81">
        <f t="shared" si="61"/>
        <v>0</v>
      </c>
      <c r="R83" s="81">
        <f t="shared" si="62"/>
        <v>0</v>
      </c>
      <c r="S83" s="81">
        <f t="shared" si="53"/>
        <v>0</v>
      </c>
      <c r="T83" s="85">
        <f t="shared" si="41"/>
        <v>0</v>
      </c>
      <c r="U83" s="71"/>
      <c r="V83" s="195">
        <f t="shared" si="42"/>
        <v>0</v>
      </c>
    </row>
    <row r="84" spans="1:22" ht="14.25" hidden="1" customHeight="1" x14ac:dyDescent="0.25">
      <c r="A84" s="149" t="s">
        <v>336</v>
      </c>
      <c r="B84" s="147" t="s">
        <v>337</v>
      </c>
      <c r="C84" s="71"/>
      <c r="D84" s="71"/>
      <c r="E84" s="71"/>
      <c r="F84" s="71"/>
      <c r="G84" s="71"/>
      <c r="H84" s="71"/>
      <c r="I84" s="71"/>
      <c r="J84" s="71"/>
      <c r="K84" s="71"/>
      <c r="L84" s="603">
        <f t="shared" si="49"/>
        <v>0</v>
      </c>
      <c r="M84" s="603">
        <f t="shared" si="49"/>
        <v>0</v>
      </c>
      <c r="N84" s="603">
        <f t="shared" si="49"/>
        <v>0</v>
      </c>
      <c r="O84" s="91"/>
      <c r="P84" s="81">
        <f t="shared" si="60"/>
        <v>0</v>
      </c>
      <c r="Q84" s="81">
        <f t="shared" si="61"/>
        <v>0</v>
      </c>
      <c r="R84" s="81">
        <f t="shared" si="62"/>
        <v>0</v>
      </c>
      <c r="S84" s="81">
        <f t="shared" si="53"/>
        <v>0</v>
      </c>
      <c r="T84" s="85">
        <f t="shared" si="41"/>
        <v>0</v>
      </c>
      <c r="U84" s="71"/>
      <c r="V84" s="195">
        <f t="shared" si="42"/>
        <v>0</v>
      </c>
    </row>
    <row r="85" spans="1:22" hidden="1" x14ac:dyDescent="0.25">
      <c r="A85" s="149" t="s">
        <v>338</v>
      </c>
      <c r="B85" s="147" t="s">
        <v>339</v>
      </c>
      <c r="C85" s="71"/>
      <c r="D85" s="71"/>
      <c r="E85" s="71"/>
      <c r="F85" s="71"/>
      <c r="G85" s="71"/>
      <c r="H85" s="71"/>
      <c r="I85" s="71"/>
      <c r="J85" s="71"/>
      <c r="K85" s="71"/>
      <c r="L85" s="603">
        <f t="shared" si="49"/>
        <v>0</v>
      </c>
      <c r="M85" s="603">
        <f t="shared" si="49"/>
        <v>0</v>
      </c>
      <c r="N85" s="603">
        <f t="shared" si="49"/>
        <v>0</v>
      </c>
      <c r="O85" s="91"/>
      <c r="P85" s="81">
        <f t="shared" si="60"/>
        <v>0</v>
      </c>
      <c r="Q85" s="81">
        <f t="shared" si="61"/>
        <v>0</v>
      </c>
      <c r="R85" s="81">
        <f t="shared" si="62"/>
        <v>0</v>
      </c>
      <c r="S85" s="81">
        <f t="shared" si="53"/>
        <v>0</v>
      </c>
      <c r="T85" s="85">
        <f t="shared" si="41"/>
        <v>0</v>
      </c>
      <c r="U85" s="71"/>
      <c r="V85" s="195">
        <f t="shared" si="42"/>
        <v>0</v>
      </c>
    </row>
    <row r="86" spans="1:22" hidden="1" x14ac:dyDescent="0.25">
      <c r="A86" s="14" t="s">
        <v>340</v>
      </c>
      <c r="B86" s="20" t="s">
        <v>341</v>
      </c>
      <c r="C86" s="71"/>
      <c r="D86" s="71"/>
      <c r="E86" s="71"/>
      <c r="F86" s="71"/>
      <c r="G86" s="71"/>
      <c r="H86" s="71"/>
      <c r="I86" s="71"/>
      <c r="J86" s="71"/>
      <c r="K86" s="71"/>
      <c r="L86" s="603">
        <f t="shared" si="49"/>
        <v>0</v>
      </c>
      <c r="M86" s="603">
        <f t="shared" si="49"/>
        <v>0</v>
      </c>
      <c r="N86" s="603">
        <f t="shared" si="49"/>
        <v>0</v>
      </c>
      <c r="O86" s="91"/>
      <c r="P86" s="81">
        <f t="shared" si="60"/>
        <v>0</v>
      </c>
      <c r="Q86" s="81">
        <f t="shared" si="61"/>
        <v>0</v>
      </c>
      <c r="R86" s="81">
        <f t="shared" si="62"/>
        <v>0</v>
      </c>
      <c r="S86" s="81">
        <f t="shared" si="53"/>
        <v>0</v>
      </c>
      <c r="T86" s="85">
        <f t="shared" si="41"/>
        <v>0</v>
      </c>
      <c r="U86" s="71"/>
      <c r="V86" s="195">
        <f t="shared" si="42"/>
        <v>0</v>
      </c>
    </row>
    <row r="87" spans="1:22" x14ac:dyDescent="0.25">
      <c r="A87" s="14" t="s">
        <v>342</v>
      </c>
      <c r="B87" s="567" t="s">
        <v>343</v>
      </c>
      <c r="C87" s="71">
        <f>+C88+C89</f>
        <v>141968012</v>
      </c>
      <c r="D87" s="71">
        <f>+D88+D89</f>
        <v>141968012</v>
      </c>
      <c r="E87" s="71">
        <f>+E88+E89</f>
        <v>141968012</v>
      </c>
      <c r="F87" s="68"/>
      <c r="G87" s="68"/>
      <c r="H87" s="71">
        <f>+H88+H89</f>
        <v>141968016</v>
      </c>
      <c r="I87" s="71">
        <f>+I88+I89</f>
        <v>141968012</v>
      </c>
      <c r="J87" s="71">
        <f t="shared" ref="J87" si="63">+J88+J89</f>
        <v>0</v>
      </c>
      <c r="K87" s="68"/>
      <c r="L87" s="603">
        <f t="shared" si="49"/>
        <v>1.0000000281753612</v>
      </c>
      <c r="M87" s="603">
        <f t="shared" si="49"/>
        <v>1</v>
      </c>
      <c r="N87" s="603">
        <f t="shared" si="49"/>
        <v>0</v>
      </c>
      <c r="O87" s="93"/>
      <c r="P87" s="81">
        <f t="shared" si="60"/>
        <v>0</v>
      </c>
      <c r="Q87" s="385">
        <f t="shared" si="61"/>
        <v>0</v>
      </c>
      <c r="R87" s="81">
        <f t="shared" si="62"/>
        <v>0</v>
      </c>
      <c r="S87" s="81">
        <f t="shared" si="53"/>
        <v>0</v>
      </c>
      <c r="T87" s="85">
        <f t="shared" si="41"/>
        <v>0</v>
      </c>
      <c r="U87" s="68"/>
      <c r="V87" s="195">
        <f t="shared" si="42"/>
        <v>0</v>
      </c>
    </row>
    <row r="88" spans="1:22" ht="24" x14ac:dyDescent="0.3">
      <c r="A88" s="149" t="s">
        <v>344</v>
      </c>
      <c r="B88" s="723" t="s">
        <v>345</v>
      </c>
      <c r="C88" s="768">
        <v>141968012</v>
      </c>
      <c r="D88" s="768">
        <v>141968012</v>
      </c>
      <c r="E88" s="71">
        <v>141968012</v>
      </c>
      <c r="F88" s="71"/>
      <c r="G88" s="71"/>
      <c r="H88" s="768">
        <v>141968016</v>
      </c>
      <c r="I88" s="71">
        <v>141968012</v>
      </c>
      <c r="J88" s="71"/>
      <c r="K88" s="71"/>
      <c r="L88" s="603">
        <f t="shared" si="49"/>
        <v>1.0000000281753612</v>
      </c>
      <c r="M88" s="603">
        <f t="shared" si="49"/>
        <v>1</v>
      </c>
      <c r="N88" s="603">
        <f t="shared" si="49"/>
        <v>0</v>
      </c>
      <c r="O88" s="91"/>
      <c r="P88" s="81">
        <f t="shared" si="60"/>
        <v>0</v>
      </c>
      <c r="Q88" s="81">
        <f t="shared" si="61"/>
        <v>0</v>
      </c>
      <c r="R88" s="81">
        <f t="shared" si="62"/>
        <v>0</v>
      </c>
      <c r="S88" s="81">
        <f t="shared" si="53"/>
        <v>0</v>
      </c>
      <c r="T88" s="85">
        <f t="shared" si="41"/>
        <v>0</v>
      </c>
      <c r="U88" s="71"/>
      <c r="V88" s="195">
        <f t="shared" si="42"/>
        <v>0</v>
      </c>
    </row>
    <row r="89" spans="1:22" ht="23.4" x14ac:dyDescent="0.25">
      <c r="A89" s="149" t="s">
        <v>346</v>
      </c>
      <c r="B89" s="593" t="s">
        <v>347</v>
      </c>
      <c r="C89" s="71"/>
      <c r="D89" s="68"/>
      <c r="E89" s="71"/>
      <c r="F89" s="71"/>
      <c r="G89" s="71"/>
      <c r="H89" s="71"/>
      <c r="I89" s="71"/>
      <c r="J89" s="71"/>
      <c r="K89" s="71"/>
      <c r="L89" s="603">
        <f t="shared" si="49"/>
        <v>0</v>
      </c>
      <c r="M89" s="603">
        <f t="shared" si="49"/>
        <v>0</v>
      </c>
      <c r="N89" s="603">
        <f t="shared" si="49"/>
        <v>0</v>
      </c>
      <c r="O89" s="91"/>
      <c r="P89" s="81">
        <f t="shared" si="60"/>
        <v>0</v>
      </c>
      <c r="Q89" s="81">
        <f t="shared" si="61"/>
        <v>0</v>
      </c>
      <c r="R89" s="81">
        <f t="shared" si="62"/>
        <v>0</v>
      </c>
      <c r="S89" s="81">
        <f t="shared" si="53"/>
        <v>0</v>
      </c>
      <c r="T89" s="85">
        <f t="shared" si="41"/>
        <v>0</v>
      </c>
      <c r="U89" s="71"/>
      <c r="V89" s="195">
        <f t="shared" si="42"/>
        <v>0</v>
      </c>
    </row>
    <row r="90" spans="1:22" x14ac:dyDescent="0.25">
      <c r="A90" s="14" t="s">
        <v>348</v>
      </c>
      <c r="B90" s="20" t="s">
        <v>349</v>
      </c>
      <c r="C90" s="144">
        <v>0</v>
      </c>
      <c r="D90" s="68">
        <v>0</v>
      </c>
      <c r="E90" s="71">
        <v>0</v>
      </c>
      <c r="F90" s="71"/>
      <c r="G90" s="71"/>
      <c r="H90" s="71">
        <v>654495</v>
      </c>
      <c r="I90" s="71">
        <v>654495</v>
      </c>
      <c r="J90" s="71"/>
      <c r="K90" s="71"/>
      <c r="L90" s="603" t="e">
        <f t="shared" si="49"/>
        <v>#DIV/0!</v>
      </c>
      <c r="M90" s="603" t="e">
        <f t="shared" si="49"/>
        <v>#DIV/0!</v>
      </c>
      <c r="N90" s="603">
        <f t="shared" si="49"/>
        <v>0</v>
      </c>
      <c r="O90" s="91"/>
      <c r="P90" s="81">
        <f t="shared" si="60"/>
        <v>0</v>
      </c>
      <c r="Q90" s="81">
        <f t="shared" si="61"/>
        <v>0</v>
      </c>
      <c r="R90" s="81">
        <f t="shared" si="62"/>
        <v>0</v>
      </c>
      <c r="S90" s="81">
        <f t="shared" si="53"/>
        <v>0</v>
      </c>
      <c r="T90" s="85">
        <f t="shared" si="41"/>
        <v>0</v>
      </c>
      <c r="U90" s="71"/>
      <c r="V90" s="195">
        <f t="shared" si="42"/>
        <v>0</v>
      </c>
    </row>
    <row r="91" spans="1:22" ht="26.4" x14ac:dyDescent="0.25">
      <c r="A91" s="14" t="s">
        <v>350</v>
      </c>
      <c r="B91" s="20" t="s">
        <v>351</v>
      </c>
      <c r="C91" s="71"/>
      <c r="D91" s="68"/>
      <c r="E91" s="71"/>
      <c r="F91" s="71"/>
      <c r="G91" s="71"/>
      <c r="H91" s="71"/>
      <c r="I91" s="71"/>
      <c r="J91" s="71"/>
      <c r="K91" s="71"/>
      <c r="L91" s="603">
        <f t="shared" si="49"/>
        <v>0</v>
      </c>
      <c r="M91" s="603">
        <f t="shared" si="49"/>
        <v>0</v>
      </c>
      <c r="N91" s="603">
        <f t="shared" si="49"/>
        <v>0</v>
      </c>
      <c r="O91" s="91"/>
      <c r="P91" s="81">
        <f t="shared" si="60"/>
        <v>0</v>
      </c>
      <c r="Q91" s="81">
        <f t="shared" si="61"/>
        <v>0</v>
      </c>
      <c r="R91" s="81">
        <f t="shared" si="62"/>
        <v>0</v>
      </c>
      <c r="S91" s="81">
        <f t="shared" si="53"/>
        <v>0</v>
      </c>
      <c r="T91" s="85">
        <f t="shared" si="41"/>
        <v>0</v>
      </c>
      <c r="U91" s="71"/>
      <c r="V91" s="195">
        <f t="shared" si="42"/>
        <v>0</v>
      </c>
    </row>
    <row r="92" spans="1:22" x14ac:dyDescent="0.25">
      <c r="A92" s="14" t="s">
        <v>354</v>
      </c>
      <c r="B92" s="20" t="s">
        <v>352</v>
      </c>
      <c r="C92" s="71"/>
      <c r="D92" s="68"/>
      <c r="E92" s="71"/>
      <c r="F92" s="71"/>
      <c r="G92" s="71"/>
      <c r="H92" s="71"/>
      <c r="I92" s="71"/>
      <c r="J92" s="71"/>
      <c r="K92" s="71"/>
      <c r="L92" s="603">
        <f t="shared" si="49"/>
        <v>0</v>
      </c>
      <c r="M92" s="603">
        <f t="shared" si="49"/>
        <v>0</v>
      </c>
      <c r="N92" s="603">
        <f t="shared" si="49"/>
        <v>0</v>
      </c>
      <c r="O92" s="91"/>
      <c r="P92" s="81">
        <f t="shared" si="60"/>
        <v>0</v>
      </c>
      <c r="Q92" s="81">
        <f t="shared" si="61"/>
        <v>0</v>
      </c>
      <c r="R92" s="81">
        <f t="shared" si="62"/>
        <v>0</v>
      </c>
      <c r="S92" s="81">
        <f t="shared" si="53"/>
        <v>0</v>
      </c>
      <c r="T92" s="85">
        <f t="shared" si="41"/>
        <v>0</v>
      </c>
      <c r="U92" s="71"/>
      <c r="V92" s="195">
        <f t="shared" si="42"/>
        <v>0</v>
      </c>
    </row>
    <row r="93" spans="1:22" ht="26.4" hidden="1" x14ac:dyDescent="0.25">
      <c r="A93" s="14"/>
      <c r="B93" s="20" t="s">
        <v>353</v>
      </c>
      <c r="C93" s="71"/>
      <c r="D93" s="68"/>
      <c r="E93" s="71"/>
      <c r="F93" s="71"/>
      <c r="G93" s="71"/>
      <c r="H93" s="71"/>
      <c r="I93" s="71"/>
      <c r="J93" s="71"/>
      <c r="K93" s="71"/>
      <c r="L93" s="603">
        <f t="shared" si="49"/>
        <v>0</v>
      </c>
      <c r="M93" s="603">
        <f t="shared" si="49"/>
        <v>0</v>
      </c>
      <c r="N93" s="603">
        <f t="shared" si="49"/>
        <v>0</v>
      </c>
      <c r="O93" s="91"/>
      <c r="P93" s="81">
        <f t="shared" si="60"/>
        <v>0</v>
      </c>
      <c r="Q93" s="81">
        <f t="shared" si="61"/>
        <v>0</v>
      </c>
      <c r="R93" s="81">
        <f t="shared" si="62"/>
        <v>0</v>
      </c>
      <c r="S93" s="81">
        <f t="shared" si="53"/>
        <v>0</v>
      </c>
      <c r="T93" s="85">
        <f t="shared" si="41"/>
        <v>0</v>
      </c>
      <c r="U93" s="71"/>
      <c r="V93" s="195">
        <f t="shared" si="42"/>
        <v>0</v>
      </c>
    </row>
    <row r="94" spans="1:22" x14ac:dyDescent="0.25">
      <c r="A94" s="14" t="s">
        <v>355</v>
      </c>
      <c r="B94" s="20" t="s">
        <v>356</v>
      </c>
      <c r="C94" s="71"/>
      <c r="D94" s="68"/>
      <c r="E94" s="71"/>
      <c r="F94" s="71"/>
      <c r="G94" s="71"/>
      <c r="H94" s="71">
        <v>0</v>
      </c>
      <c r="I94" s="71"/>
      <c r="J94" s="71"/>
      <c r="K94" s="71"/>
      <c r="L94" s="603">
        <f t="shared" si="49"/>
        <v>0</v>
      </c>
      <c r="M94" s="603">
        <f t="shared" si="49"/>
        <v>0</v>
      </c>
      <c r="N94" s="603">
        <f t="shared" si="49"/>
        <v>0</v>
      </c>
      <c r="O94" s="91"/>
      <c r="P94" s="81">
        <f t="shared" si="60"/>
        <v>0</v>
      </c>
      <c r="Q94" s="81">
        <f t="shared" si="61"/>
        <v>0</v>
      </c>
      <c r="R94" s="81">
        <f t="shared" si="62"/>
        <v>0</v>
      </c>
      <c r="S94" s="81">
        <f t="shared" si="53"/>
        <v>0</v>
      </c>
      <c r="T94" s="85">
        <f t="shared" si="41"/>
        <v>0</v>
      </c>
      <c r="U94" s="71"/>
      <c r="V94" s="195">
        <f t="shared" si="42"/>
        <v>0</v>
      </c>
    </row>
    <row r="95" spans="1:22" hidden="1" x14ac:dyDescent="0.25">
      <c r="A95" s="14"/>
      <c r="B95" s="14"/>
      <c r="C95" s="71"/>
      <c r="D95" s="68"/>
      <c r="E95" s="71"/>
      <c r="F95" s="71"/>
      <c r="G95" s="71"/>
      <c r="H95" s="71"/>
      <c r="I95" s="71"/>
      <c r="J95" s="71"/>
      <c r="K95" s="71"/>
      <c r="L95" s="603">
        <f t="shared" si="49"/>
        <v>0</v>
      </c>
      <c r="M95" s="603">
        <f t="shared" si="49"/>
        <v>0</v>
      </c>
      <c r="N95" s="603">
        <f t="shared" si="49"/>
        <v>0</v>
      </c>
      <c r="O95" s="91"/>
      <c r="P95" s="81">
        <f t="shared" si="60"/>
        <v>0</v>
      </c>
      <c r="Q95" s="81">
        <f t="shared" si="61"/>
        <v>0</v>
      </c>
      <c r="R95" s="81">
        <f t="shared" si="62"/>
        <v>0</v>
      </c>
      <c r="S95" s="81">
        <f t="shared" si="53"/>
        <v>0</v>
      </c>
      <c r="T95" s="85">
        <f t="shared" si="41"/>
        <v>0</v>
      </c>
      <c r="U95" s="71"/>
      <c r="V95" s="195">
        <f t="shared" si="42"/>
        <v>0</v>
      </c>
    </row>
    <row r="96" spans="1:22" x14ac:dyDescent="0.25">
      <c r="A96" s="14"/>
      <c r="B96" s="3" t="s">
        <v>366</v>
      </c>
      <c r="C96" s="66">
        <f>C13+C30+C39+C50+C67+C72+C76+C80</f>
        <v>1307317299</v>
      </c>
      <c r="D96" s="66">
        <f>D13+D30+D39+D50+D67+D72+D76+D80</f>
        <v>1369445299</v>
      </c>
      <c r="E96" s="66">
        <f>E13+E30+E39+E50+E67+E72+E76+E80</f>
        <v>1401721794</v>
      </c>
      <c r="F96" s="66">
        <f>F13+F30+F39+F50+F67+F72+F76+F80</f>
        <v>0</v>
      </c>
      <c r="G96" s="66"/>
      <c r="H96" s="66">
        <f>H13+H30+H39+H50+H67+H72+H76+H80</f>
        <v>1358645963</v>
      </c>
      <c r="I96" s="66">
        <f>I13+I30+I39+I50+I67+I72+I76+I80</f>
        <v>1707212719</v>
      </c>
      <c r="J96" s="66">
        <f>J13+J30+J39+J50+J67+J72+J76+J80</f>
        <v>0</v>
      </c>
      <c r="K96" s="66"/>
      <c r="L96" s="600">
        <f t="shared" si="49"/>
        <v>1.039262590680367</v>
      </c>
      <c r="M96" s="600">
        <f t="shared" si="49"/>
        <v>1.2466454266166347</v>
      </c>
      <c r="N96" s="600">
        <f t="shared" si="49"/>
        <v>0</v>
      </c>
      <c r="O96" s="649"/>
      <c r="P96" s="66">
        <f t="shared" ref="P96:R96" si="64">P13+P30+P39+P50+P67+P72+P76+P80</f>
        <v>62128000</v>
      </c>
      <c r="Q96" s="66">
        <f t="shared" si="64"/>
        <v>32276495</v>
      </c>
      <c r="R96" s="66">
        <f t="shared" si="64"/>
        <v>0</v>
      </c>
      <c r="S96" s="66">
        <f t="shared" si="53"/>
        <v>94404495</v>
      </c>
      <c r="T96" s="85">
        <f t="shared" si="41"/>
        <v>7.2212381089282907E-2</v>
      </c>
      <c r="U96" s="66"/>
      <c r="V96" s="196">
        <f t="shared" si="42"/>
        <v>0</v>
      </c>
    </row>
    <row r="97" spans="1:15" x14ac:dyDescent="0.25">
      <c r="L97" s="617"/>
      <c r="M97" s="617"/>
      <c r="N97" s="614"/>
      <c r="O97" s="644"/>
    </row>
    <row r="98" spans="1:15" x14ac:dyDescent="0.25">
      <c r="A98" s="56"/>
      <c r="C98" s="19"/>
      <c r="D98" s="17">
        <f>+D96-'3. Önk. Kiadások'!D168</f>
        <v>0</v>
      </c>
      <c r="L98" s="614"/>
      <c r="M98" s="614"/>
      <c r="N98" s="614"/>
      <c r="O98" s="644"/>
    </row>
    <row r="99" spans="1:15" x14ac:dyDescent="0.25">
      <c r="D99" s="17">
        <f>+D96-C96</f>
        <v>62128000</v>
      </c>
      <c r="E99" s="122">
        <f>+E96-C96</f>
        <v>94404495</v>
      </c>
      <c r="I99" s="584"/>
      <c r="L99" s="614"/>
      <c r="M99" s="614"/>
      <c r="N99" s="614"/>
      <c r="O99" s="644"/>
    </row>
    <row r="100" spans="1:15" x14ac:dyDescent="0.25">
      <c r="I100" s="584"/>
      <c r="L100" s="681"/>
      <c r="M100" s="681"/>
      <c r="N100" s="681"/>
      <c r="O100" s="644"/>
    </row>
    <row r="101" spans="1:15" x14ac:dyDescent="0.25">
      <c r="C101" s="19"/>
      <c r="L101" s="644"/>
      <c r="M101" s="644"/>
      <c r="N101" s="644"/>
      <c r="O101" s="644"/>
    </row>
    <row r="102" spans="1:15" x14ac:dyDescent="0.25">
      <c r="C102" s="19"/>
      <c r="L102" s="644"/>
      <c r="M102" s="644"/>
      <c r="N102" s="644"/>
      <c r="O102" s="644"/>
    </row>
    <row r="104" spans="1:15" x14ac:dyDescent="0.25">
      <c r="C104" s="19"/>
    </row>
    <row r="105" spans="1:15" x14ac:dyDescent="0.25">
      <c r="C105" s="19"/>
    </row>
    <row r="107" spans="1:15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15748031496062992" bottom="0.15748031496062992" header="0.31496062992125984" footer="0.31496062992125984"/>
  <pageSetup paperSize="9" scale="52" fitToHeight="0" orientation="landscape" r:id="rId1"/>
  <headerFooter alignWithMargins="0">
    <oddHeader>&amp;R&amp;"Arial,Félkövér dőlt"&amp;12&amp;A  /&amp;10
&amp;"Arial,Dőlt"&amp;F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031"/>
  <sheetViews>
    <sheetView zoomScaleNormal="100" workbookViewId="0">
      <pane ySplit="11" topLeftCell="A112" activePane="bottomLeft" state="frozen"/>
      <selection pane="bottomLeft" activeCell="D299" sqref="D299"/>
    </sheetView>
  </sheetViews>
  <sheetFormatPr defaultRowHeight="13.2" x14ac:dyDescent="0.25"/>
  <cols>
    <col min="1" max="1" width="6.44140625" style="14" bestFit="1" customWidth="1"/>
    <col min="2" max="2" width="53.5546875" style="14" customWidth="1"/>
    <col min="3" max="3" width="15.5546875" style="14" customWidth="1"/>
    <col min="4" max="4" width="15" style="16" customWidth="1"/>
    <col min="5" max="5" width="14.77734375" style="23" customWidth="1"/>
    <col min="6" max="6" width="13.88671875" style="23" customWidth="1"/>
    <col min="7" max="7" width="0.6640625" style="23" customWidth="1"/>
    <col min="8" max="8" width="15.5546875" style="14" customWidth="1"/>
    <col min="9" max="10" width="15.5546875" style="23" customWidth="1"/>
    <col min="11" max="11" width="1.109375" style="23" customWidth="1"/>
    <col min="12" max="12" width="14" style="14" customWidth="1"/>
    <col min="13" max="13" width="15.88671875" style="13" customWidth="1"/>
    <col min="14" max="14" width="14.77734375" style="13" bestFit="1" customWidth="1"/>
    <col min="15" max="15" width="0.5546875" style="23" customWidth="1"/>
    <col min="16" max="17" width="14.5546875" style="14" customWidth="1"/>
    <col min="18" max="18" width="13.44140625" style="14" bestFit="1" customWidth="1"/>
    <col min="19" max="19" width="15.5546875" style="14" customWidth="1"/>
    <col min="20" max="20" width="10.5546875" style="13" customWidth="1"/>
    <col min="21" max="21" width="0.6640625" style="23" customWidth="1"/>
    <col min="22" max="22" width="4.6640625" customWidth="1"/>
  </cols>
  <sheetData>
    <row r="1" spans="1:27" ht="24.6" x14ac:dyDescent="0.4">
      <c r="A1" s="228" t="s">
        <v>470</v>
      </c>
      <c r="B1" s="227"/>
      <c r="C1" s="227"/>
      <c r="D1" s="227"/>
      <c r="E1" s="583"/>
      <c r="F1" s="341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 t="s">
        <v>416</v>
      </c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25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25"/>
    </row>
    <row r="4" spans="1:27" x14ac:dyDescent="0.25">
      <c r="A4"/>
      <c r="B4"/>
      <c r="C4" s="61"/>
      <c r="D4" s="61"/>
      <c r="E4" s="582"/>
      <c r="F4" s="61"/>
      <c r="G4" s="61"/>
      <c r="H4" s="61"/>
      <c r="I4" s="61"/>
      <c r="J4" s="61"/>
      <c r="K4" s="65"/>
      <c r="L4" s="61"/>
      <c r="M4" s="61"/>
      <c r="N4" s="61"/>
      <c r="O4" s="61"/>
      <c r="P4" s="61"/>
      <c r="Q4" s="61"/>
      <c r="R4" s="61"/>
      <c r="S4" s="61"/>
      <c r="T4"/>
      <c r="U4"/>
    </row>
    <row r="5" spans="1:27" ht="14.1" hidden="1" customHeight="1" x14ac:dyDescent="0.25">
      <c r="A5"/>
      <c r="B5"/>
      <c r="C5" s="99"/>
      <c r="D5" s="100"/>
      <c r="E5" s="100"/>
      <c r="F5" s="101"/>
      <c r="G5" s="102"/>
      <c r="H5" s="103"/>
      <c r="I5" s="105"/>
      <c r="J5" s="105"/>
      <c r="K5" s="102"/>
      <c r="L5" s="104"/>
      <c r="M5" s="106"/>
      <c r="N5" s="107"/>
      <c r="O5" s="102"/>
      <c r="P5" s="103"/>
      <c r="Q5" s="105"/>
      <c r="R5" s="105"/>
      <c r="S5" s="105"/>
      <c r="T5" s="203"/>
      <c r="U5" s="267"/>
    </row>
    <row r="6" spans="1:27" ht="14.1" hidden="1" customHeight="1" x14ac:dyDescent="0.25">
      <c r="A6"/>
      <c r="B6"/>
      <c r="C6" s="108"/>
      <c r="D6" s="109"/>
      <c r="E6" s="109"/>
      <c r="F6" s="110"/>
      <c r="G6" s="111"/>
      <c r="H6" s="112"/>
      <c r="I6" s="114"/>
      <c r="J6" s="114"/>
      <c r="K6" s="111"/>
      <c r="L6" s="113"/>
      <c r="M6" s="115"/>
      <c r="N6" s="116"/>
      <c r="O6" s="111"/>
      <c r="P6" s="112"/>
      <c r="Q6" s="114"/>
      <c r="R6" s="114"/>
      <c r="S6" s="114"/>
      <c r="T6" s="116"/>
      <c r="U6" s="267"/>
    </row>
    <row r="7" spans="1:27" ht="15.6" x14ac:dyDescent="0.3">
      <c r="A7"/>
      <c r="B7">
        <f>12744+187</f>
        <v>12931</v>
      </c>
      <c r="C7" s="917" t="s">
        <v>404</v>
      </c>
      <c r="D7" s="920"/>
      <c r="E7" s="920"/>
      <c r="F7" s="921"/>
      <c r="G7" s="154"/>
      <c r="H7" s="917" t="s">
        <v>403</v>
      </c>
      <c r="I7" s="918"/>
      <c r="J7" s="918"/>
      <c r="K7" s="918"/>
      <c r="L7" s="918"/>
      <c r="M7" s="918"/>
      <c r="N7" s="919"/>
      <c r="O7" s="154"/>
      <c r="P7" s="917" t="s">
        <v>400</v>
      </c>
      <c r="Q7" s="920"/>
      <c r="R7" s="920"/>
      <c r="S7" s="920"/>
      <c r="T7" s="921"/>
      <c r="U7"/>
    </row>
    <row r="8" spans="1:27" ht="13.8" x14ac:dyDescent="0.25">
      <c r="A8"/>
      <c r="B8"/>
      <c r="C8" s="124"/>
      <c r="D8" s="125"/>
      <c r="E8" s="125"/>
      <c r="F8" s="126"/>
      <c r="G8" s="79"/>
      <c r="H8" s="914" t="s">
        <v>413</v>
      </c>
      <c r="I8" s="915"/>
      <c r="J8" s="916"/>
      <c r="K8" s="134"/>
      <c r="L8" s="922" t="s">
        <v>412</v>
      </c>
      <c r="M8" s="923"/>
      <c r="N8" s="924"/>
      <c r="O8" s="654"/>
      <c r="P8" s="128">
        <f>+'1. Sülysáp összesen'!P8</f>
        <v>1</v>
      </c>
      <c r="Q8" s="128">
        <f>+' 2. Önk. Bevételek'!Q8</f>
        <v>1</v>
      </c>
      <c r="R8" s="128">
        <f>+'1. Sülysáp összesen'!R8</f>
        <v>0</v>
      </c>
      <c r="S8" s="125"/>
      <c r="T8" s="126"/>
      <c r="U8"/>
    </row>
    <row r="9" spans="1:27" ht="20.100000000000001" customHeight="1" x14ac:dyDescent="0.25">
      <c r="A9" s="76"/>
      <c r="B9" s="244" t="s">
        <v>372</v>
      </c>
      <c r="C9" s="591">
        <f>+C168</f>
        <v>1307317299</v>
      </c>
      <c r="D9" s="591">
        <f>+D168</f>
        <v>1369445299</v>
      </c>
      <c r="E9" s="591">
        <f>+E168</f>
        <v>1401721794</v>
      </c>
      <c r="F9" s="591">
        <f>+F168</f>
        <v>0</v>
      </c>
      <c r="G9" s="591"/>
      <c r="H9" s="591">
        <f>+H168</f>
        <v>621468813</v>
      </c>
      <c r="I9" s="591">
        <f>+I168</f>
        <v>970580800</v>
      </c>
      <c r="J9" s="245">
        <f>+J168</f>
        <v>0</v>
      </c>
      <c r="K9" s="231"/>
      <c r="L9" s="652">
        <f>H9/C9</f>
        <v>0.47537718155751263</v>
      </c>
      <c r="M9" s="646">
        <f>I9/D9</f>
        <v>0.70874010134522358</v>
      </c>
      <c r="N9" s="646">
        <f>+J9/E9</f>
        <v>0</v>
      </c>
      <c r="O9" s="653"/>
      <c r="P9" s="591">
        <f>IF(D9&gt;0,+D9-C9,0)</f>
        <v>62128000</v>
      </c>
      <c r="Q9" s="591">
        <f>IF(E9&gt;0,+E9-D9,0)</f>
        <v>32276495</v>
      </c>
      <c r="R9" s="591">
        <f>IF(F9&gt;0,+F9-E9,0)</f>
        <v>0</v>
      </c>
      <c r="S9" s="591">
        <f>SUM(P9:R9)</f>
        <v>94404495</v>
      </c>
      <c r="T9" s="246">
        <f>+S9/C9</f>
        <v>7.2212381089282907E-2</v>
      </c>
      <c r="U9" s="248"/>
      <c r="V9" s="232">
        <f>+S9-E9+C9</f>
        <v>0</v>
      </c>
    </row>
    <row r="10" spans="1:27" ht="13.8" x14ac:dyDescent="0.25">
      <c r="A10" s="77"/>
      <c r="B10" s="238"/>
      <c r="C10" s="79"/>
      <c r="D10" s="79"/>
      <c r="E10" s="79"/>
      <c r="F10" s="79"/>
      <c r="G10" s="79"/>
      <c r="H10" s="79"/>
      <c r="I10" s="79"/>
      <c r="J10" s="79"/>
      <c r="K10" s="79"/>
      <c r="L10" s="640"/>
      <c r="M10" s="647"/>
      <c r="N10" s="647"/>
      <c r="O10" s="654"/>
      <c r="P10" s="79"/>
      <c r="Q10" s="79"/>
      <c r="R10" s="79"/>
      <c r="S10" s="79"/>
      <c r="T10" s="239"/>
      <c r="U10" s="240"/>
      <c r="V10" s="241"/>
    </row>
    <row r="11" spans="1:27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7" x14ac:dyDescent="0.25">
      <c r="A12" s="43"/>
      <c r="B12" s="20"/>
      <c r="C12" s="68"/>
      <c r="D12" s="69"/>
      <c r="E12" s="69"/>
      <c r="F12" s="69"/>
      <c r="G12" s="69"/>
      <c r="H12" s="81"/>
      <c r="I12" s="81"/>
      <c r="J12" s="81"/>
      <c r="K12" s="69"/>
      <c r="L12" s="640"/>
      <c r="M12" s="640"/>
      <c r="N12" s="640"/>
      <c r="O12" s="655"/>
      <c r="P12" s="81"/>
      <c r="Q12" s="81"/>
      <c r="R12" s="81"/>
      <c r="S12" s="81"/>
      <c r="T12" s="152"/>
      <c r="U12" s="191"/>
      <c r="V12" s="195"/>
    </row>
    <row r="13" spans="1:27" x14ac:dyDescent="0.25">
      <c r="A13" s="4" t="s">
        <v>0</v>
      </c>
      <c r="B13" s="3" t="s">
        <v>3</v>
      </c>
      <c r="C13" s="67">
        <f t="shared" ref="C13" si="0">SUM(C14:C28)</f>
        <v>100510000</v>
      </c>
      <c r="D13" s="67">
        <f>SUM(D14:D28)</f>
        <v>112270000</v>
      </c>
      <c r="E13" s="67">
        <f>SUM(E14:E28)</f>
        <v>112270000</v>
      </c>
      <c r="F13" s="67">
        <f>SUM(F14:F28)</f>
        <v>0</v>
      </c>
      <c r="G13" s="67"/>
      <c r="H13" s="80">
        <f t="shared" ref="H13" si="1">SUM(H14:H28)</f>
        <v>46032044</v>
      </c>
      <c r="I13" s="80">
        <f>SUM(I14:I28)</f>
        <v>77087587</v>
      </c>
      <c r="J13" s="80">
        <f>SUM(J14:J28)</f>
        <v>0</v>
      </c>
      <c r="K13" s="67"/>
      <c r="L13" s="641">
        <f t="shared" ref="L13" si="2">IF(H13&gt;0,H13/C13,0)</f>
        <v>0.45798471793851359</v>
      </c>
      <c r="M13" s="641">
        <f t="shared" ref="M13" si="3">IF(I13&gt;0,I13/D13,0)</f>
        <v>0.68662676583236837</v>
      </c>
      <c r="N13" s="641">
        <f t="shared" ref="N13" si="4">IF(J13&gt;0,J13/E13,0)</f>
        <v>0</v>
      </c>
      <c r="O13" s="651"/>
      <c r="P13" s="80">
        <f>IF(D13&gt;0,+D13-C13,0)</f>
        <v>11760000</v>
      </c>
      <c r="Q13" s="80">
        <f>IF(E13&gt;0,+E13-D13,0)</f>
        <v>0</v>
      </c>
      <c r="R13" s="80">
        <f>IF(F13&gt;0,+F13-E13,0)</f>
        <v>0</v>
      </c>
      <c r="S13" s="80">
        <f t="shared" ref="S13:S14" si="5">+P13*P$8+Q13*Q$8+Q13*G$8</f>
        <v>11760000</v>
      </c>
      <c r="T13" s="85">
        <f>IF(C13=0,0,+S13/C13)</f>
        <v>0.11700328325539747</v>
      </c>
      <c r="U13" s="190"/>
      <c r="V13" s="195">
        <f t="shared" ref="V13:V44" si="6">+S13-E13+C13</f>
        <v>0</v>
      </c>
    </row>
    <row r="14" spans="1:27" x14ac:dyDescent="0.25">
      <c r="A14" s="43" t="s">
        <v>1</v>
      </c>
      <c r="B14" s="20"/>
      <c r="C14" s="68"/>
      <c r="D14" s="69"/>
      <c r="E14" s="69"/>
      <c r="F14" s="69"/>
      <c r="G14" s="69"/>
      <c r="H14" s="81"/>
      <c r="I14" s="81"/>
      <c r="J14" s="81"/>
      <c r="K14" s="69"/>
      <c r="L14" s="640"/>
      <c r="M14" s="640"/>
      <c r="N14" s="640"/>
      <c r="O14" s="655"/>
      <c r="P14" s="81"/>
      <c r="Q14" s="81"/>
      <c r="R14" s="81"/>
      <c r="S14" s="81">
        <f t="shared" si="5"/>
        <v>0</v>
      </c>
      <c r="T14" s="85"/>
      <c r="U14" s="191"/>
      <c r="V14" s="195">
        <f t="shared" si="6"/>
        <v>0</v>
      </c>
    </row>
    <row r="15" spans="1:27" x14ac:dyDescent="0.25">
      <c r="A15" s="43" t="s">
        <v>2</v>
      </c>
      <c r="B15" s="20" t="s">
        <v>357</v>
      </c>
      <c r="C15" s="68">
        <v>68000000</v>
      </c>
      <c r="D15" s="68">
        <v>67021000</v>
      </c>
      <c r="E15" s="68">
        <v>64666000</v>
      </c>
      <c r="F15" s="69"/>
      <c r="G15" s="69"/>
      <c r="H15" s="81">
        <v>28105498</v>
      </c>
      <c r="I15" s="81">
        <v>43982198</v>
      </c>
      <c r="J15" s="81"/>
      <c r="K15" s="69"/>
      <c r="L15" s="640">
        <f t="shared" ref="L15:N15" si="7">IF(H15&gt;0,H15/C15,0)</f>
        <v>0.41331614705882352</v>
      </c>
      <c r="M15" s="640">
        <f t="shared" si="7"/>
        <v>0.65624502767789206</v>
      </c>
      <c r="N15" s="640">
        <f t="shared" si="7"/>
        <v>0</v>
      </c>
      <c r="O15" s="655"/>
      <c r="P15" s="81">
        <f t="shared" ref="P15:P23" si="8">+(D15-C15)*P$8</f>
        <v>-979000</v>
      </c>
      <c r="Q15" s="81">
        <f t="shared" ref="Q15:Q23" si="9">+(E15-D15)*Q$8</f>
        <v>-2355000</v>
      </c>
      <c r="R15" s="81">
        <f t="shared" ref="R15:R23" si="10">+(F15-E15)*R$8</f>
        <v>0</v>
      </c>
      <c r="S15" s="81">
        <f>+P15*P$8+Q15*Q$8+Q15*G$8</f>
        <v>-3334000</v>
      </c>
      <c r="T15" s="85">
        <f t="shared" ref="T15:T23" si="11">IF(C15=0,0,+S15/C15)</f>
        <v>-4.9029411764705884E-2</v>
      </c>
      <c r="U15" s="191"/>
      <c r="V15" s="195">
        <f t="shared" si="6"/>
        <v>0</v>
      </c>
    </row>
    <row r="16" spans="1:27" x14ac:dyDescent="0.25">
      <c r="A16" s="43" t="s">
        <v>12</v>
      </c>
      <c r="B16" s="20" t="s">
        <v>4</v>
      </c>
      <c r="C16" s="68">
        <v>300000</v>
      </c>
      <c r="D16" s="68">
        <v>2300000</v>
      </c>
      <c r="E16" s="68">
        <f>175000+4300000</f>
        <v>4475000</v>
      </c>
      <c r="F16" s="69"/>
      <c r="G16" s="69"/>
      <c r="H16" s="81">
        <f>174200+1079164</f>
        <v>1253364</v>
      </c>
      <c r="I16" s="81">
        <f>174200+2634964</f>
        <v>2809164</v>
      </c>
      <c r="J16" s="81"/>
      <c r="K16" s="69"/>
      <c r="L16" s="640">
        <f t="shared" ref="L16:L27" si="12">IF(H16&gt;0,H16/C16,0)</f>
        <v>4.17788</v>
      </c>
      <c r="M16" s="640">
        <f t="shared" ref="M16:M27" si="13">IF(I16&gt;0,I16/D16,0)</f>
        <v>1.221375652173913</v>
      </c>
      <c r="N16" s="640">
        <f t="shared" ref="N16:N27" si="14">IF(J16&gt;0,J16/E16,0)</f>
        <v>0</v>
      </c>
      <c r="O16" s="655"/>
      <c r="P16" s="81">
        <f t="shared" si="8"/>
        <v>2000000</v>
      </c>
      <c r="Q16" s="81">
        <f t="shared" si="9"/>
        <v>2175000</v>
      </c>
      <c r="R16" s="81">
        <f t="shared" si="10"/>
        <v>0</v>
      </c>
      <c r="S16" s="81">
        <f t="shared" ref="S16:S27" si="15">+P16*P$8+Q16*Q$8+Q16*G$8</f>
        <v>4175000</v>
      </c>
      <c r="T16" s="85">
        <f t="shared" si="11"/>
        <v>13.916666666666666</v>
      </c>
      <c r="U16" s="191"/>
      <c r="V16" s="195">
        <f t="shared" si="6"/>
        <v>0</v>
      </c>
    </row>
    <row r="17" spans="1:22" x14ac:dyDescent="0.25">
      <c r="A17" s="43" t="s">
        <v>13</v>
      </c>
      <c r="B17" s="20" t="s">
        <v>5</v>
      </c>
      <c r="C17" s="68">
        <v>0</v>
      </c>
      <c r="D17" s="68">
        <v>0</v>
      </c>
      <c r="E17" s="68"/>
      <c r="F17" s="69"/>
      <c r="G17" s="69"/>
      <c r="H17" s="81">
        <v>0</v>
      </c>
      <c r="I17" s="81">
        <v>0</v>
      </c>
      <c r="J17" s="81"/>
      <c r="K17" s="69"/>
      <c r="L17" s="640">
        <f t="shared" si="12"/>
        <v>0</v>
      </c>
      <c r="M17" s="640">
        <f t="shared" si="13"/>
        <v>0</v>
      </c>
      <c r="N17" s="640">
        <f t="shared" si="14"/>
        <v>0</v>
      </c>
      <c r="O17" s="655"/>
      <c r="P17" s="81">
        <f t="shared" si="8"/>
        <v>0</v>
      </c>
      <c r="Q17" s="81">
        <f t="shared" si="9"/>
        <v>0</v>
      </c>
      <c r="R17" s="81">
        <f t="shared" si="10"/>
        <v>0</v>
      </c>
      <c r="S17" s="81">
        <f t="shared" si="15"/>
        <v>0</v>
      </c>
      <c r="T17" s="85">
        <f t="shared" si="11"/>
        <v>0</v>
      </c>
      <c r="U17" s="191"/>
      <c r="V17" s="195">
        <f t="shared" si="6"/>
        <v>0</v>
      </c>
    </row>
    <row r="18" spans="1:22" x14ac:dyDescent="0.25">
      <c r="A18" s="529" t="s">
        <v>380</v>
      </c>
      <c r="B18" s="20" t="s">
        <v>6</v>
      </c>
      <c r="C18" s="68">
        <v>0</v>
      </c>
      <c r="D18" s="68">
        <v>0</v>
      </c>
      <c r="E18" s="68"/>
      <c r="F18" s="69"/>
      <c r="G18" s="69"/>
      <c r="H18" s="81">
        <v>0</v>
      </c>
      <c r="I18" s="81">
        <v>0</v>
      </c>
      <c r="J18" s="81"/>
      <c r="K18" s="69"/>
      <c r="L18" s="640">
        <f t="shared" si="12"/>
        <v>0</v>
      </c>
      <c r="M18" s="640">
        <f t="shared" si="13"/>
        <v>0</v>
      </c>
      <c r="N18" s="640">
        <f t="shared" si="14"/>
        <v>0</v>
      </c>
      <c r="O18" s="655"/>
      <c r="P18" s="81">
        <f t="shared" si="8"/>
        <v>0</v>
      </c>
      <c r="Q18" s="81">
        <f t="shared" si="9"/>
        <v>0</v>
      </c>
      <c r="R18" s="81">
        <f t="shared" si="10"/>
        <v>0</v>
      </c>
      <c r="S18" s="81">
        <f t="shared" si="15"/>
        <v>0</v>
      </c>
      <c r="T18" s="85">
        <f t="shared" si="11"/>
        <v>0</v>
      </c>
      <c r="U18" s="191"/>
      <c r="V18" s="195">
        <f t="shared" si="6"/>
        <v>0</v>
      </c>
    </row>
    <row r="19" spans="1:22" x14ac:dyDescent="0.25">
      <c r="A19" s="43" t="s">
        <v>14</v>
      </c>
      <c r="B19" s="20" t="s">
        <v>7</v>
      </c>
      <c r="C19" s="68">
        <v>0</v>
      </c>
      <c r="D19" s="68">
        <v>1000000</v>
      </c>
      <c r="E19" s="68">
        <v>180000</v>
      </c>
      <c r="F19" s="69"/>
      <c r="G19" s="69"/>
      <c r="H19" s="81">
        <v>60000</v>
      </c>
      <c r="I19" s="81">
        <v>180000</v>
      </c>
      <c r="J19" s="81"/>
      <c r="K19" s="69"/>
      <c r="L19" s="640" t="e">
        <f t="shared" si="12"/>
        <v>#DIV/0!</v>
      </c>
      <c r="M19" s="640">
        <f t="shared" si="13"/>
        <v>0.18</v>
      </c>
      <c r="N19" s="640">
        <f t="shared" si="14"/>
        <v>0</v>
      </c>
      <c r="O19" s="655"/>
      <c r="P19" s="81">
        <f t="shared" si="8"/>
        <v>1000000</v>
      </c>
      <c r="Q19" s="81">
        <f t="shared" si="9"/>
        <v>-820000</v>
      </c>
      <c r="R19" s="81">
        <f t="shared" si="10"/>
        <v>0</v>
      </c>
      <c r="S19" s="81">
        <f t="shared" si="15"/>
        <v>180000</v>
      </c>
      <c r="T19" s="85">
        <f t="shared" si="11"/>
        <v>0</v>
      </c>
      <c r="U19" s="191"/>
      <c r="V19" s="195">
        <f t="shared" si="6"/>
        <v>0</v>
      </c>
    </row>
    <row r="20" spans="1:22" x14ac:dyDescent="0.25">
      <c r="A20" s="43" t="s">
        <v>15</v>
      </c>
      <c r="B20" s="482" t="s">
        <v>8</v>
      </c>
      <c r="C20" s="68">
        <v>400000</v>
      </c>
      <c r="D20" s="68">
        <v>0</v>
      </c>
      <c r="E20" s="68">
        <v>0</v>
      </c>
      <c r="F20" s="69"/>
      <c r="G20" s="69"/>
      <c r="H20" s="81">
        <v>0</v>
      </c>
      <c r="I20" s="81">
        <v>0</v>
      </c>
      <c r="J20" s="81"/>
      <c r="K20" s="69"/>
      <c r="L20" s="640">
        <f t="shared" si="12"/>
        <v>0</v>
      </c>
      <c r="M20" s="640">
        <f t="shared" si="13"/>
        <v>0</v>
      </c>
      <c r="N20" s="640">
        <f t="shared" si="14"/>
        <v>0</v>
      </c>
      <c r="O20" s="655"/>
      <c r="P20" s="81">
        <f t="shared" si="8"/>
        <v>-400000</v>
      </c>
      <c r="Q20" s="81">
        <f t="shared" si="9"/>
        <v>0</v>
      </c>
      <c r="R20" s="81">
        <f t="shared" si="10"/>
        <v>0</v>
      </c>
      <c r="S20" s="81">
        <f t="shared" si="15"/>
        <v>-400000</v>
      </c>
      <c r="T20" s="85">
        <f t="shared" si="11"/>
        <v>-1</v>
      </c>
      <c r="U20" s="191"/>
      <c r="V20" s="195">
        <f t="shared" si="6"/>
        <v>0</v>
      </c>
    </row>
    <row r="21" spans="1:22" x14ac:dyDescent="0.25">
      <c r="A21" s="43" t="s">
        <v>16</v>
      </c>
      <c r="B21" s="20" t="s">
        <v>9</v>
      </c>
      <c r="C21" s="68">
        <v>0</v>
      </c>
      <c r="D21" s="68">
        <v>139000</v>
      </c>
      <c r="E21" s="68">
        <v>139000</v>
      </c>
      <c r="F21" s="69"/>
      <c r="G21" s="69"/>
      <c r="H21" s="81">
        <v>0</v>
      </c>
      <c r="I21" s="81">
        <v>0</v>
      </c>
      <c r="J21" s="81"/>
      <c r="K21" s="69"/>
      <c r="L21" s="640">
        <f t="shared" si="12"/>
        <v>0</v>
      </c>
      <c r="M21" s="640">
        <f t="shared" si="13"/>
        <v>0</v>
      </c>
      <c r="N21" s="640">
        <f t="shared" si="14"/>
        <v>0</v>
      </c>
      <c r="O21" s="655"/>
      <c r="P21" s="81">
        <f t="shared" si="8"/>
        <v>139000</v>
      </c>
      <c r="Q21" s="81">
        <f t="shared" si="9"/>
        <v>0</v>
      </c>
      <c r="R21" s="81">
        <f t="shared" si="10"/>
        <v>0</v>
      </c>
      <c r="S21" s="81">
        <f t="shared" si="15"/>
        <v>139000</v>
      </c>
      <c r="T21" s="85">
        <f t="shared" si="11"/>
        <v>0</v>
      </c>
      <c r="U21" s="191"/>
      <c r="V21" s="195">
        <f t="shared" si="6"/>
        <v>0</v>
      </c>
    </row>
    <row r="22" spans="1:22" x14ac:dyDescent="0.25">
      <c r="A22" s="43" t="s">
        <v>17</v>
      </c>
      <c r="B22" s="20" t="s">
        <v>10</v>
      </c>
      <c r="C22" s="68">
        <v>0</v>
      </c>
      <c r="D22" s="68">
        <v>0</v>
      </c>
      <c r="E22" s="68">
        <v>0</v>
      </c>
      <c r="F22" s="69"/>
      <c r="G22" s="69"/>
      <c r="H22" s="81">
        <v>0</v>
      </c>
      <c r="I22" s="81">
        <v>0</v>
      </c>
      <c r="J22" s="81"/>
      <c r="K22" s="69"/>
      <c r="L22" s="640">
        <f t="shared" si="12"/>
        <v>0</v>
      </c>
      <c r="M22" s="640">
        <f t="shared" si="13"/>
        <v>0</v>
      </c>
      <c r="N22" s="640">
        <f t="shared" si="14"/>
        <v>0</v>
      </c>
      <c r="O22" s="655"/>
      <c r="P22" s="81">
        <f t="shared" si="8"/>
        <v>0</v>
      </c>
      <c r="Q22" s="81">
        <f t="shared" si="9"/>
        <v>0</v>
      </c>
      <c r="R22" s="81">
        <f t="shared" si="10"/>
        <v>0</v>
      </c>
      <c r="S22" s="81">
        <f t="shared" si="15"/>
        <v>0</v>
      </c>
      <c r="T22" s="85">
        <f t="shared" si="11"/>
        <v>0</v>
      </c>
      <c r="U22" s="191"/>
      <c r="V22" s="195">
        <f t="shared" si="6"/>
        <v>0</v>
      </c>
    </row>
    <row r="23" spans="1:22" x14ac:dyDescent="0.25">
      <c r="A23" s="43" t="s">
        <v>18</v>
      </c>
      <c r="B23" s="20" t="s">
        <v>11</v>
      </c>
      <c r="C23" s="68">
        <v>1370000</v>
      </c>
      <c r="D23" s="68">
        <v>1570000</v>
      </c>
      <c r="E23" s="68">
        <v>2570000</v>
      </c>
      <c r="F23" s="69"/>
      <c r="G23" s="69"/>
      <c r="H23" s="81">
        <v>1472024</v>
      </c>
      <c r="I23" s="81">
        <v>2126469</v>
      </c>
      <c r="J23" s="81"/>
      <c r="K23" s="69"/>
      <c r="L23" s="640">
        <f t="shared" si="12"/>
        <v>1.0744700729927008</v>
      </c>
      <c r="M23" s="640">
        <f t="shared" si="13"/>
        <v>1.3544388535031846</v>
      </c>
      <c r="N23" s="640">
        <f t="shared" si="14"/>
        <v>0</v>
      </c>
      <c r="O23" s="655"/>
      <c r="P23" s="81">
        <f t="shared" si="8"/>
        <v>200000</v>
      </c>
      <c r="Q23" s="81">
        <f t="shared" si="9"/>
        <v>1000000</v>
      </c>
      <c r="R23" s="81">
        <f t="shared" si="10"/>
        <v>0</v>
      </c>
      <c r="S23" s="81">
        <f t="shared" si="15"/>
        <v>1200000</v>
      </c>
      <c r="T23" s="85">
        <f t="shared" si="11"/>
        <v>0.87591240875912413</v>
      </c>
      <c r="U23" s="191"/>
      <c r="V23" s="195">
        <f t="shared" si="6"/>
        <v>0</v>
      </c>
    </row>
    <row r="24" spans="1:22" x14ac:dyDescent="0.25">
      <c r="A24" s="43" t="s">
        <v>19</v>
      </c>
      <c r="B24" s="20"/>
      <c r="C24" s="68"/>
      <c r="D24" s="68"/>
      <c r="E24" s="68"/>
      <c r="F24" s="69"/>
      <c r="G24" s="69"/>
      <c r="H24" s="81"/>
      <c r="I24" s="81"/>
      <c r="J24" s="81"/>
      <c r="K24" s="69"/>
      <c r="L24" s="640">
        <f t="shared" si="12"/>
        <v>0</v>
      </c>
      <c r="M24" s="640">
        <f t="shared" si="13"/>
        <v>0</v>
      </c>
      <c r="N24" s="640">
        <f t="shared" si="14"/>
        <v>0</v>
      </c>
      <c r="O24" s="655"/>
      <c r="P24" s="81"/>
      <c r="Q24" s="81"/>
      <c r="R24" s="81"/>
      <c r="S24" s="81">
        <f t="shared" si="15"/>
        <v>0</v>
      </c>
      <c r="T24" s="85"/>
      <c r="U24" s="191"/>
      <c r="V24" s="195">
        <f t="shared" si="6"/>
        <v>0</v>
      </c>
    </row>
    <row r="25" spans="1:22" x14ac:dyDescent="0.25">
      <c r="A25" s="14" t="s">
        <v>20</v>
      </c>
      <c r="B25" s="20" t="s">
        <v>21</v>
      </c>
      <c r="C25" s="68">
        <v>27000000</v>
      </c>
      <c r="D25" s="68">
        <v>27000000</v>
      </c>
      <c r="E25" s="68">
        <v>27000000</v>
      </c>
      <c r="F25" s="69"/>
      <c r="G25" s="69"/>
      <c r="H25" s="81">
        <v>13983870</v>
      </c>
      <c r="I25" s="81">
        <v>20826390</v>
      </c>
      <c r="J25" s="81"/>
      <c r="K25" s="69"/>
      <c r="L25" s="640">
        <f t="shared" si="12"/>
        <v>0.51792111111111117</v>
      </c>
      <c r="M25" s="640">
        <f t="shared" si="13"/>
        <v>0.77134777777777774</v>
      </c>
      <c r="N25" s="640">
        <f t="shared" si="14"/>
        <v>0</v>
      </c>
      <c r="O25" s="655"/>
      <c r="P25" s="81">
        <f t="shared" ref="P25:R27" si="16">+(D25-C25)*P$8</f>
        <v>0</v>
      </c>
      <c r="Q25" s="81">
        <f t="shared" si="16"/>
        <v>0</v>
      </c>
      <c r="R25" s="81">
        <f t="shared" si="16"/>
        <v>0</v>
      </c>
      <c r="S25" s="81">
        <f t="shared" si="15"/>
        <v>0</v>
      </c>
      <c r="T25" s="85">
        <f>IF(C25=0,0,+S25/C25)</f>
        <v>0</v>
      </c>
      <c r="U25" s="191"/>
      <c r="V25" s="195">
        <f t="shared" si="6"/>
        <v>0</v>
      </c>
    </row>
    <row r="26" spans="1:22" x14ac:dyDescent="0.25">
      <c r="A26" s="14" t="s">
        <v>22</v>
      </c>
      <c r="B26" s="20" t="s">
        <v>23</v>
      </c>
      <c r="C26" s="68">
        <v>0</v>
      </c>
      <c r="D26" s="68">
        <v>9800000</v>
      </c>
      <c r="E26" s="68">
        <v>9800000</v>
      </c>
      <c r="F26" s="69"/>
      <c r="G26" s="69"/>
      <c r="H26" s="81">
        <v>282600</v>
      </c>
      <c r="I26" s="81">
        <v>5923900</v>
      </c>
      <c r="J26" s="81"/>
      <c r="K26" s="69"/>
      <c r="L26" s="640" t="e">
        <f t="shared" si="12"/>
        <v>#DIV/0!</v>
      </c>
      <c r="M26" s="640">
        <f t="shared" si="13"/>
        <v>0.60447959183673472</v>
      </c>
      <c r="N26" s="640">
        <f t="shared" si="14"/>
        <v>0</v>
      </c>
      <c r="O26" s="655"/>
      <c r="P26" s="81">
        <f t="shared" si="16"/>
        <v>9800000</v>
      </c>
      <c r="Q26" s="81">
        <f t="shared" si="16"/>
        <v>0</v>
      </c>
      <c r="R26" s="81">
        <f t="shared" si="16"/>
        <v>0</v>
      </c>
      <c r="S26" s="81">
        <f t="shared" si="15"/>
        <v>9800000</v>
      </c>
      <c r="T26" s="85">
        <f>IF(C26=0,0,+S26/C26)</f>
        <v>0</v>
      </c>
      <c r="U26" s="191"/>
      <c r="V26" s="195">
        <f t="shared" si="6"/>
        <v>0</v>
      </c>
    </row>
    <row r="27" spans="1:22" x14ac:dyDescent="0.25">
      <c r="A27" s="14" t="s">
        <v>24</v>
      </c>
      <c r="B27" s="20" t="s">
        <v>25</v>
      </c>
      <c r="C27" s="68">
        <f>120000*12+2000000</f>
        <v>3440000</v>
      </c>
      <c r="D27" s="68">
        <v>3440000</v>
      </c>
      <c r="E27" s="68">
        <v>3440000</v>
      </c>
      <c r="F27" s="69"/>
      <c r="G27" s="69"/>
      <c r="H27" s="81">
        <v>874688</v>
      </c>
      <c r="I27" s="81">
        <v>1239466</v>
      </c>
      <c r="J27" s="81"/>
      <c r="K27" s="69"/>
      <c r="L27" s="640">
        <f t="shared" si="12"/>
        <v>0.25426976744186047</v>
      </c>
      <c r="M27" s="640">
        <f t="shared" si="13"/>
        <v>0.36030988372093026</v>
      </c>
      <c r="N27" s="640">
        <f t="shared" si="14"/>
        <v>0</v>
      </c>
      <c r="O27" s="655"/>
      <c r="P27" s="81">
        <f t="shared" si="16"/>
        <v>0</v>
      </c>
      <c r="Q27" s="81">
        <f t="shared" si="16"/>
        <v>0</v>
      </c>
      <c r="R27" s="81">
        <f t="shared" si="16"/>
        <v>0</v>
      </c>
      <c r="S27" s="81">
        <f t="shared" si="15"/>
        <v>0</v>
      </c>
      <c r="T27" s="85">
        <f>IF(C27=0,0,+S27/C27)</f>
        <v>0</v>
      </c>
      <c r="U27" s="191"/>
      <c r="V27" s="195">
        <f t="shared" si="6"/>
        <v>0</v>
      </c>
    </row>
    <row r="28" spans="1:22" x14ac:dyDescent="0.25">
      <c r="C28" s="68"/>
      <c r="D28" s="69"/>
      <c r="E28" s="69"/>
      <c r="F28" s="69"/>
      <c r="G28" s="69"/>
      <c r="H28" s="81"/>
      <c r="I28" s="81"/>
      <c r="J28" s="81"/>
      <c r="K28" s="69"/>
      <c r="L28" s="640"/>
      <c r="M28" s="640"/>
      <c r="N28" s="640"/>
      <c r="O28" s="655"/>
      <c r="P28" s="81"/>
      <c r="Q28" s="81"/>
      <c r="R28" s="81"/>
      <c r="S28" s="81"/>
      <c r="T28" s="85"/>
      <c r="U28" s="191"/>
      <c r="V28" s="195">
        <f t="shared" si="6"/>
        <v>0</v>
      </c>
    </row>
    <row r="29" spans="1:22" x14ac:dyDescent="0.25">
      <c r="A29" s="4" t="s">
        <v>26</v>
      </c>
      <c r="B29" s="3" t="s">
        <v>27</v>
      </c>
      <c r="C29" s="70">
        <f t="shared" ref="C29" si="17">SUM(C30:C31)</f>
        <v>13000000</v>
      </c>
      <c r="D29" s="70">
        <f>SUM(D30:D31)</f>
        <v>14415000</v>
      </c>
      <c r="E29" s="70">
        <f>SUM(E30:E31)</f>
        <v>14415000</v>
      </c>
      <c r="F29" s="70">
        <f>SUM(F30:F31)</f>
        <v>0</v>
      </c>
      <c r="G29" s="70"/>
      <c r="H29" s="82">
        <f t="shared" ref="H29:I29" si="18">SUM(H30:H31)</f>
        <v>5715394</v>
      </c>
      <c r="I29" s="82">
        <f t="shared" si="18"/>
        <v>9195251</v>
      </c>
      <c r="J29" s="82">
        <f t="shared" ref="J29" si="19">SUM(J30:J31)</f>
        <v>0</v>
      </c>
      <c r="K29" s="70"/>
      <c r="L29" s="641">
        <f>H29/C29</f>
        <v>0.43964569230769229</v>
      </c>
      <c r="M29" s="641">
        <f>I29/D29</f>
        <v>0.63789462365591398</v>
      </c>
      <c r="N29" s="641">
        <f>+J29/E29</f>
        <v>0</v>
      </c>
      <c r="O29" s="651"/>
      <c r="P29" s="82">
        <f>IF(D29&gt;0,+D29-C29,0)</f>
        <v>1415000</v>
      </c>
      <c r="Q29" s="82">
        <f>IF(E29&gt;0,+E29-D29,0)</f>
        <v>0</v>
      </c>
      <c r="R29" s="82">
        <f>IF(F29&gt;0,+F29-E29,0)</f>
        <v>0</v>
      </c>
      <c r="S29" s="82">
        <f t="shared" ref="S29:S30" si="20">+P29*P$8+Q29*Q$8+Q29*G$8</f>
        <v>1415000</v>
      </c>
      <c r="T29" s="85">
        <f>IF(C29=0,0,+S29/C29)</f>
        <v>0.10884615384615384</v>
      </c>
      <c r="U29" s="192"/>
      <c r="V29" s="195">
        <f t="shared" si="6"/>
        <v>0</v>
      </c>
    </row>
    <row r="30" spans="1:22" x14ac:dyDescent="0.25">
      <c r="B30" s="20" t="s">
        <v>28</v>
      </c>
      <c r="C30" s="71">
        <v>13000000</v>
      </c>
      <c r="D30" s="71">
        <v>14415000</v>
      </c>
      <c r="E30" s="69">
        <v>14415000</v>
      </c>
      <c r="F30" s="69"/>
      <c r="G30" s="69"/>
      <c r="H30" s="81">
        <v>5715394</v>
      </c>
      <c r="I30" s="81">
        <v>9195251</v>
      </c>
      <c r="J30" s="81"/>
      <c r="K30" s="69"/>
      <c r="L30" s="640">
        <f>H30/C30</f>
        <v>0.43964569230769229</v>
      </c>
      <c r="M30" s="640">
        <f>I30/D30</f>
        <v>0.63789462365591398</v>
      </c>
      <c r="N30" s="640">
        <f>+J30/E30</f>
        <v>0</v>
      </c>
      <c r="O30" s="655"/>
      <c r="P30" s="81">
        <f>+(D30-C30)*P$8</f>
        <v>1415000</v>
      </c>
      <c r="Q30" s="81">
        <f>+(E30-D30)*Q$8</f>
        <v>0</v>
      </c>
      <c r="R30" s="81">
        <f>+(F30-E30)*R$8</f>
        <v>0</v>
      </c>
      <c r="S30" s="81">
        <f t="shared" si="20"/>
        <v>1415000</v>
      </c>
      <c r="T30" s="85">
        <f>IF(C30=0,0,+S30/C30)</f>
        <v>0.10884615384615384</v>
      </c>
      <c r="U30" s="191"/>
      <c r="V30" s="195">
        <f t="shared" si="6"/>
        <v>0</v>
      </c>
    </row>
    <row r="31" spans="1:22" x14ac:dyDescent="0.25">
      <c r="C31" s="71"/>
      <c r="D31" s="69"/>
      <c r="E31" s="69"/>
      <c r="F31" s="69"/>
      <c r="G31" s="69"/>
      <c r="H31" s="81"/>
      <c r="I31" s="81"/>
      <c r="J31" s="81"/>
      <c r="K31" s="69"/>
      <c r="L31" s="640"/>
      <c r="M31" s="640"/>
      <c r="N31" s="640"/>
      <c r="O31" s="655"/>
      <c r="P31" s="81"/>
      <c r="Q31" s="81"/>
      <c r="R31" s="81"/>
      <c r="S31" s="81"/>
      <c r="T31" s="85"/>
      <c r="U31" s="191"/>
      <c r="V31" s="195">
        <f t="shared" si="6"/>
        <v>0</v>
      </c>
    </row>
    <row r="32" spans="1:22" x14ac:dyDescent="0.25">
      <c r="A32" s="4" t="s">
        <v>29</v>
      </c>
      <c r="B32" s="3" t="s">
        <v>30</v>
      </c>
      <c r="C32" s="66">
        <f t="shared" ref="C32" si="21">SUM(C33:C80)</f>
        <v>217700000</v>
      </c>
      <c r="D32" s="66">
        <f>SUM(D33:D80)</f>
        <v>207001305</v>
      </c>
      <c r="E32" s="66">
        <f>SUM(E33:E80)</f>
        <v>208680000</v>
      </c>
      <c r="F32" s="66">
        <f>SUM(F33:F80)</f>
        <v>0</v>
      </c>
      <c r="G32" s="66"/>
      <c r="H32" s="83">
        <f t="shared" ref="H32" si="22">SUM(H33:H80)</f>
        <v>87543418</v>
      </c>
      <c r="I32" s="83">
        <f>SUM(I33:I80)</f>
        <v>121417212</v>
      </c>
      <c r="J32" s="83">
        <f>SUM(J33:J80)</f>
        <v>0</v>
      </c>
      <c r="K32" s="66"/>
      <c r="L32" s="641">
        <f t="shared" ref="L32:L34" si="23">IF(H32&gt;0,H32/C32,0)</f>
        <v>0.40212870004593476</v>
      </c>
      <c r="M32" s="641">
        <f t="shared" ref="M32:M34" si="24">IF(I32&gt;0,I32/D32,0)</f>
        <v>0.58655288187675914</v>
      </c>
      <c r="N32" s="641">
        <f t="shared" ref="N32:N34" si="25">IF(J32&gt;0,J32/E32,0)</f>
        <v>0</v>
      </c>
      <c r="O32" s="656"/>
      <c r="P32" s="83">
        <f>IF(D32&gt;0,+D32-C32,0)</f>
        <v>-10698695</v>
      </c>
      <c r="Q32" s="83">
        <f>IF(E32&gt;0,+E32-D32,0)</f>
        <v>1678695</v>
      </c>
      <c r="R32" s="83">
        <f>IF(F32&gt;0,+F32-E32,0)</f>
        <v>0</v>
      </c>
      <c r="S32" s="83">
        <f t="shared" ref="S32:S79" si="26">+P32*P$8+Q32*Q$8+Q32*G$8</f>
        <v>-9020000</v>
      </c>
      <c r="T32" s="85">
        <f t="shared" ref="T32:T79" si="27">IF(C32=0,0,+S32/C32)</f>
        <v>-4.1433164905833715E-2</v>
      </c>
      <c r="U32" s="193"/>
      <c r="V32" s="195">
        <f t="shared" si="6"/>
        <v>0</v>
      </c>
    </row>
    <row r="33" spans="1:22" x14ac:dyDescent="0.25">
      <c r="A33" s="14" t="s">
        <v>31</v>
      </c>
      <c r="B33" s="20" t="s">
        <v>32</v>
      </c>
      <c r="C33" s="71"/>
      <c r="D33" s="69"/>
      <c r="E33" s="69">
        <v>0</v>
      </c>
      <c r="F33" s="69"/>
      <c r="G33" s="69"/>
      <c r="H33" s="81"/>
      <c r="I33" s="81"/>
      <c r="J33" s="81"/>
      <c r="K33" s="69"/>
      <c r="L33" s="640">
        <f t="shared" si="23"/>
        <v>0</v>
      </c>
      <c r="M33" s="640">
        <f t="shared" si="24"/>
        <v>0</v>
      </c>
      <c r="N33" s="640">
        <f t="shared" si="25"/>
        <v>0</v>
      </c>
      <c r="O33" s="655"/>
      <c r="P33" s="81">
        <f t="shared" ref="P33:P79" si="28">+(D33-C33)*P$8</f>
        <v>0</v>
      </c>
      <c r="Q33" s="81">
        <f t="shared" ref="Q33:Q79" si="29">+(E33-D33)*Q$8</f>
        <v>0</v>
      </c>
      <c r="R33" s="81">
        <f t="shared" ref="R33:R79" si="30">+(F33-E33)*R$8</f>
        <v>0</v>
      </c>
      <c r="S33" s="81">
        <f t="shared" si="26"/>
        <v>0</v>
      </c>
      <c r="T33" s="85">
        <f t="shared" si="27"/>
        <v>0</v>
      </c>
      <c r="U33" s="191"/>
      <c r="V33" s="195">
        <f t="shared" si="6"/>
        <v>0</v>
      </c>
    </row>
    <row r="34" spans="1:22" x14ac:dyDescent="0.25">
      <c r="A34" s="14" t="s">
        <v>33</v>
      </c>
      <c r="B34" s="20" t="s">
        <v>35</v>
      </c>
      <c r="C34" s="71">
        <v>1000000</v>
      </c>
      <c r="D34" s="71">
        <v>1000000</v>
      </c>
      <c r="E34" s="69">
        <v>1000000</v>
      </c>
      <c r="F34" s="69"/>
      <c r="G34" s="69"/>
      <c r="H34" s="81">
        <v>494111</v>
      </c>
      <c r="I34" s="81">
        <v>580221</v>
      </c>
      <c r="J34" s="81"/>
      <c r="K34" s="69"/>
      <c r="L34" s="640">
        <f t="shared" si="23"/>
        <v>0.49411100000000002</v>
      </c>
      <c r="M34" s="640">
        <f t="shared" si="24"/>
        <v>0.58022099999999999</v>
      </c>
      <c r="N34" s="640">
        <f t="shared" si="25"/>
        <v>0</v>
      </c>
      <c r="O34" s="655"/>
      <c r="P34" s="81">
        <f t="shared" si="28"/>
        <v>0</v>
      </c>
      <c r="Q34" s="81">
        <f t="shared" si="29"/>
        <v>0</v>
      </c>
      <c r="R34" s="81">
        <f t="shared" si="30"/>
        <v>0</v>
      </c>
      <c r="S34" s="81">
        <f t="shared" si="26"/>
        <v>0</v>
      </c>
      <c r="T34" s="85">
        <f t="shared" si="27"/>
        <v>0</v>
      </c>
      <c r="U34" s="191"/>
      <c r="V34" s="195">
        <f t="shared" si="6"/>
        <v>0</v>
      </c>
    </row>
    <row r="35" spans="1:22" x14ac:dyDescent="0.25">
      <c r="B35" s="20" t="s">
        <v>359</v>
      </c>
      <c r="C35" s="71"/>
      <c r="D35" s="71"/>
      <c r="E35" s="69"/>
      <c r="F35" s="69"/>
      <c r="G35" s="69"/>
      <c r="H35" s="81"/>
      <c r="I35" s="81"/>
      <c r="J35" s="81"/>
      <c r="K35" s="69"/>
      <c r="L35" s="640"/>
      <c r="M35" s="640"/>
      <c r="N35" s="640"/>
      <c r="O35" s="655"/>
      <c r="P35" s="81">
        <f t="shared" si="28"/>
        <v>0</v>
      </c>
      <c r="Q35" s="81">
        <f t="shared" si="29"/>
        <v>0</v>
      </c>
      <c r="R35" s="81">
        <f t="shared" si="30"/>
        <v>0</v>
      </c>
      <c r="S35" s="81">
        <f t="shared" si="26"/>
        <v>0</v>
      </c>
      <c r="T35" s="85">
        <f t="shared" si="27"/>
        <v>0</v>
      </c>
      <c r="U35" s="191"/>
      <c r="V35" s="195">
        <f t="shared" si="6"/>
        <v>0</v>
      </c>
    </row>
    <row r="36" spans="1:22" x14ac:dyDescent="0.25">
      <c r="A36" s="14" t="s">
        <v>34</v>
      </c>
      <c r="B36" s="20" t="s">
        <v>36</v>
      </c>
      <c r="C36" s="71">
        <v>28500000</v>
      </c>
      <c r="D36" s="71">
        <v>24427198</v>
      </c>
      <c r="E36" s="69">
        <v>24428000</v>
      </c>
      <c r="F36" s="69"/>
      <c r="G36" s="69"/>
      <c r="H36" s="81">
        <v>10025762</v>
      </c>
      <c r="I36" s="81">
        <v>14441358</v>
      </c>
      <c r="J36" s="81"/>
      <c r="K36" s="69"/>
      <c r="L36" s="640">
        <f t="shared" ref="L36" si="31">IF(H36&gt;0,H36/C36,0)</f>
        <v>0.35178112280701757</v>
      </c>
      <c r="M36" s="640">
        <f t="shared" ref="M36" si="32">IF(I36&gt;0,I36/D36,0)</f>
        <v>0.59119994032880885</v>
      </c>
      <c r="N36" s="640">
        <f t="shared" ref="N36" si="33">IF(J36&gt;0,J36/E36,0)</f>
        <v>0</v>
      </c>
      <c r="O36" s="655"/>
      <c r="P36" s="81">
        <f t="shared" si="28"/>
        <v>-4072802</v>
      </c>
      <c r="Q36" s="81">
        <f t="shared" si="29"/>
        <v>802</v>
      </c>
      <c r="R36" s="81">
        <f t="shared" si="30"/>
        <v>0</v>
      </c>
      <c r="S36" s="81">
        <f t="shared" si="26"/>
        <v>-4072000</v>
      </c>
      <c r="T36" s="85">
        <f t="shared" si="27"/>
        <v>-0.14287719298245613</v>
      </c>
      <c r="U36" s="191"/>
      <c r="V36" s="195">
        <f t="shared" si="6"/>
        <v>0</v>
      </c>
    </row>
    <row r="37" spans="1:22" ht="17.25" customHeight="1" x14ac:dyDescent="0.25">
      <c r="B37" s="595" t="s">
        <v>360</v>
      </c>
      <c r="C37" s="71"/>
      <c r="D37" s="71"/>
      <c r="E37" s="69"/>
      <c r="F37" s="69"/>
      <c r="G37" s="69"/>
      <c r="H37" s="81"/>
      <c r="I37" s="81"/>
      <c r="J37" s="81"/>
      <c r="K37" s="69"/>
      <c r="L37" s="640"/>
      <c r="M37" s="640"/>
      <c r="N37" s="640"/>
      <c r="O37" s="655"/>
      <c r="P37" s="81">
        <f t="shared" si="28"/>
        <v>0</v>
      </c>
      <c r="Q37" s="81">
        <f t="shared" si="29"/>
        <v>0</v>
      </c>
      <c r="R37" s="81">
        <f t="shared" si="30"/>
        <v>0</v>
      </c>
      <c r="S37" s="81">
        <f t="shared" si="26"/>
        <v>0</v>
      </c>
      <c r="T37" s="85">
        <f t="shared" si="27"/>
        <v>0</v>
      </c>
      <c r="U37" s="191"/>
      <c r="V37" s="195">
        <f t="shared" si="6"/>
        <v>0</v>
      </c>
    </row>
    <row r="38" spans="1:22" x14ac:dyDescent="0.25">
      <c r="B38" s="20" t="s">
        <v>108</v>
      </c>
      <c r="C38" s="71"/>
      <c r="D38" s="71"/>
      <c r="E38" s="69"/>
      <c r="F38" s="69"/>
      <c r="G38" s="69"/>
      <c r="H38" s="81"/>
      <c r="I38" s="81"/>
      <c r="J38" s="81"/>
      <c r="K38" s="69"/>
      <c r="L38" s="640"/>
      <c r="M38" s="640"/>
      <c r="N38" s="640"/>
      <c r="O38" s="655"/>
      <c r="P38" s="81">
        <f t="shared" si="28"/>
        <v>0</v>
      </c>
      <c r="Q38" s="81">
        <f t="shared" si="29"/>
        <v>0</v>
      </c>
      <c r="R38" s="81">
        <f t="shared" si="30"/>
        <v>0</v>
      </c>
      <c r="S38" s="81">
        <f t="shared" si="26"/>
        <v>0</v>
      </c>
      <c r="T38" s="85">
        <f t="shared" si="27"/>
        <v>0</v>
      </c>
      <c r="U38" s="191"/>
      <c r="V38" s="195">
        <f t="shared" si="6"/>
        <v>0</v>
      </c>
    </row>
    <row r="39" spans="1:22" x14ac:dyDescent="0.25">
      <c r="A39" s="14" t="s">
        <v>37</v>
      </c>
      <c r="B39" s="20" t="s">
        <v>38</v>
      </c>
      <c r="C39" s="71"/>
      <c r="D39" s="71"/>
      <c r="E39" s="69"/>
      <c r="F39" s="69"/>
      <c r="G39" s="69"/>
      <c r="H39" s="81"/>
      <c r="I39" s="81"/>
      <c r="J39" s="81"/>
      <c r="K39" s="69"/>
      <c r="L39" s="640"/>
      <c r="M39" s="640"/>
      <c r="N39" s="640"/>
      <c r="O39" s="655"/>
      <c r="P39" s="81">
        <f t="shared" si="28"/>
        <v>0</v>
      </c>
      <c r="Q39" s="81">
        <f t="shared" si="29"/>
        <v>0</v>
      </c>
      <c r="R39" s="81">
        <f t="shared" si="30"/>
        <v>0</v>
      </c>
      <c r="S39" s="81">
        <f t="shared" si="26"/>
        <v>0</v>
      </c>
      <c r="T39" s="85">
        <f t="shared" si="27"/>
        <v>0</v>
      </c>
      <c r="U39" s="191"/>
      <c r="V39" s="195">
        <f t="shared" si="6"/>
        <v>0</v>
      </c>
    </row>
    <row r="40" spans="1:22" x14ac:dyDescent="0.25">
      <c r="A40" s="14" t="s">
        <v>39</v>
      </c>
      <c r="B40" s="20" t="s">
        <v>40</v>
      </c>
      <c r="C40" s="71">
        <v>3500000</v>
      </c>
      <c r="D40" s="71">
        <v>3500000</v>
      </c>
      <c r="E40" s="69">
        <v>3500000</v>
      </c>
      <c r="F40" s="69"/>
      <c r="G40" s="69"/>
      <c r="H40" s="81">
        <v>1478438</v>
      </c>
      <c r="I40" s="81">
        <v>2295278</v>
      </c>
      <c r="J40" s="81"/>
      <c r="K40" s="69"/>
      <c r="L40" s="640">
        <f t="shared" ref="L40:L44" si="34">IF(H40&gt;0,H40/C40,0)</f>
        <v>0.42241085714285714</v>
      </c>
      <c r="M40" s="640">
        <f t="shared" ref="M40:M44" si="35">IF(I40&gt;0,I40/D40,0)</f>
        <v>0.65579371428571431</v>
      </c>
      <c r="N40" s="640">
        <f t="shared" ref="N40:N44" si="36">IF(J40&gt;0,J40/E40,0)</f>
        <v>0</v>
      </c>
      <c r="O40" s="655"/>
      <c r="P40" s="81">
        <f t="shared" si="28"/>
        <v>0</v>
      </c>
      <c r="Q40" s="81">
        <f t="shared" si="29"/>
        <v>0</v>
      </c>
      <c r="R40" s="81">
        <f t="shared" si="30"/>
        <v>0</v>
      </c>
      <c r="S40" s="81">
        <f t="shared" si="26"/>
        <v>0</v>
      </c>
      <c r="T40" s="85">
        <f t="shared" si="27"/>
        <v>0</v>
      </c>
      <c r="U40" s="191"/>
      <c r="V40" s="195">
        <f t="shared" si="6"/>
        <v>0</v>
      </c>
    </row>
    <row r="41" spans="1:22" hidden="1" x14ac:dyDescent="0.25">
      <c r="B41" s="20" t="s">
        <v>41</v>
      </c>
      <c r="C41" s="71"/>
      <c r="D41" s="71"/>
      <c r="E41" s="69"/>
      <c r="F41" s="69"/>
      <c r="G41" s="69"/>
      <c r="H41" s="81"/>
      <c r="I41" s="81"/>
      <c r="J41" s="81"/>
      <c r="K41" s="69"/>
      <c r="L41" s="640">
        <f t="shared" si="34"/>
        <v>0</v>
      </c>
      <c r="M41" s="640">
        <f t="shared" si="35"/>
        <v>0</v>
      </c>
      <c r="N41" s="640">
        <f t="shared" si="36"/>
        <v>0</v>
      </c>
      <c r="O41" s="655"/>
      <c r="P41" s="81">
        <f t="shared" si="28"/>
        <v>0</v>
      </c>
      <c r="Q41" s="81">
        <f t="shared" si="29"/>
        <v>0</v>
      </c>
      <c r="R41" s="81">
        <f t="shared" si="30"/>
        <v>0</v>
      </c>
      <c r="S41" s="81">
        <f t="shared" si="26"/>
        <v>0</v>
      </c>
      <c r="T41" s="85">
        <f t="shared" si="27"/>
        <v>0</v>
      </c>
      <c r="U41" s="191"/>
      <c r="V41" s="195">
        <f t="shared" si="6"/>
        <v>0</v>
      </c>
    </row>
    <row r="42" spans="1:22" hidden="1" x14ac:dyDescent="0.25">
      <c r="B42" s="20" t="s">
        <v>42</v>
      </c>
      <c r="C42" s="71"/>
      <c r="D42" s="71"/>
      <c r="E42" s="69"/>
      <c r="F42" s="69"/>
      <c r="G42" s="69"/>
      <c r="H42" s="81"/>
      <c r="I42" s="81"/>
      <c r="J42" s="81"/>
      <c r="K42" s="69"/>
      <c r="L42" s="640">
        <f t="shared" si="34"/>
        <v>0</v>
      </c>
      <c r="M42" s="640">
        <f t="shared" si="35"/>
        <v>0</v>
      </c>
      <c r="N42" s="640">
        <f t="shared" si="36"/>
        <v>0</v>
      </c>
      <c r="O42" s="655"/>
      <c r="P42" s="81">
        <f t="shared" si="28"/>
        <v>0</v>
      </c>
      <c r="Q42" s="81">
        <f t="shared" si="29"/>
        <v>0</v>
      </c>
      <c r="R42" s="81">
        <f t="shared" si="30"/>
        <v>0</v>
      </c>
      <c r="S42" s="81">
        <f t="shared" si="26"/>
        <v>0</v>
      </c>
      <c r="T42" s="85">
        <f t="shared" si="27"/>
        <v>0</v>
      </c>
      <c r="U42" s="191"/>
      <c r="V42" s="195">
        <f t="shared" si="6"/>
        <v>0</v>
      </c>
    </row>
    <row r="43" spans="1:22" hidden="1" x14ac:dyDescent="0.25">
      <c r="B43" s="20" t="s">
        <v>43</v>
      </c>
      <c r="C43" s="71"/>
      <c r="D43" s="71"/>
      <c r="E43" s="69"/>
      <c r="F43" s="69"/>
      <c r="G43" s="69"/>
      <c r="H43" s="81"/>
      <c r="I43" s="81"/>
      <c r="J43" s="81"/>
      <c r="K43" s="69"/>
      <c r="L43" s="640">
        <f t="shared" si="34"/>
        <v>0</v>
      </c>
      <c r="M43" s="640">
        <f t="shared" si="35"/>
        <v>0</v>
      </c>
      <c r="N43" s="640">
        <f t="shared" si="36"/>
        <v>0</v>
      </c>
      <c r="O43" s="655"/>
      <c r="P43" s="81">
        <f t="shared" si="28"/>
        <v>0</v>
      </c>
      <c r="Q43" s="81">
        <f t="shared" si="29"/>
        <v>0</v>
      </c>
      <c r="R43" s="81">
        <f t="shared" si="30"/>
        <v>0</v>
      </c>
      <c r="S43" s="81">
        <f t="shared" si="26"/>
        <v>0</v>
      </c>
      <c r="T43" s="85">
        <f t="shared" si="27"/>
        <v>0</v>
      </c>
      <c r="U43" s="191"/>
      <c r="V43" s="195">
        <f t="shared" si="6"/>
        <v>0</v>
      </c>
    </row>
    <row r="44" spans="1:22" x14ac:dyDescent="0.25">
      <c r="A44" s="14" t="s">
        <v>44</v>
      </c>
      <c r="B44" s="20" t="s">
        <v>45</v>
      </c>
      <c r="C44" s="71">
        <v>2000000</v>
      </c>
      <c r="D44" s="71">
        <v>2000000</v>
      </c>
      <c r="E44" s="69">
        <v>2202000</v>
      </c>
      <c r="F44" s="69"/>
      <c r="G44" s="69"/>
      <c r="H44" s="81">
        <v>948459</v>
      </c>
      <c r="I44" s="81">
        <v>1488185</v>
      </c>
      <c r="J44" s="81"/>
      <c r="K44" s="69"/>
      <c r="L44" s="640">
        <f t="shared" si="34"/>
        <v>0.47422950000000003</v>
      </c>
      <c r="M44" s="640">
        <f t="shared" si="35"/>
        <v>0.74409250000000005</v>
      </c>
      <c r="N44" s="640">
        <f t="shared" si="36"/>
        <v>0</v>
      </c>
      <c r="O44" s="655"/>
      <c r="P44" s="81">
        <f t="shared" si="28"/>
        <v>0</v>
      </c>
      <c r="Q44" s="81">
        <f t="shared" si="29"/>
        <v>202000</v>
      </c>
      <c r="R44" s="81">
        <f t="shared" si="30"/>
        <v>0</v>
      </c>
      <c r="S44" s="81">
        <f t="shared" si="26"/>
        <v>202000</v>
      </c>
      <c r="T44" s="85">
        <f t="shared" si="27"/>
        <v>0.10100000000000001</v>
      </c>
      <c r="U44" s="191"/>
      <c r="V44" s="195">
        <f t="shared" si="6"/>
        <v>0</v>
      </c>
    </row>
    <row r="45" spans="1:22" x14ac:dyDescent="0.25">
      <c r="B45" s="20" t="s">
        <v>46</v>
      </c>
      <c r="C45" s="71"/>
      <c r="D45" s="71"/>
      <c r="E45" s="69"/>
      <c r="F45" s="69"/>
      <c r="G45" s="69"/>
      <c r="H45" s="81"/>
      <c r="I45" s="81"/>
      <c r="J45" s="81"/>
      <c r="K45" s="69"/>
      <c r="L45" s="640"/>
      <c r="M45" s="640"/>
      <c r="N45" s="640"/>
      <c r="O45" s="655"/>
      <c r="P45" s="81">
        <f t="shared" si="28"/>
        <v>0</v>
      </c>
      <c r="Q45" s="81">
        <f t="shared" si="29"/>
        <v>0</v>
      </c>
      <c r="R45" s="81">
        <f t="shared" si="30"/>
        <v>0</v>
      </c>
      <c r="S45" s="81">
        <f t="shared" si="26"/>
        <v>0</v>
      </c>
      <c r="T45" s="85">
        <f t="shared" si="27"/>
        <v>0</v>
      </c>
      <c r="U45" s="191"/>
      <c r="V45" s="195">
        <f t="shared" ref="V45:V76" si="37">+S45-E45+C45</f>
        <v>0</v>
      </c>
    </row>
    <row r="46" spans="1:22" x14ac:dyDescent="0.25">
      <c r="A46" s="14" t="s">
        <v>47</v>
      </c>
      <c r="B46" s="20" t="s">
        <v>48</v>
      </c>
      <c r="C46" s="71"/>
      <c r="D46" s="69"/>
      <c r="E46" s="69"/>
      <c r="F46" s="69"/>
      <c r="G46" s="69"/>
      <c r="H46" s="81"/>
      <c r="I46" s="81"/>
      <c r="J46" s="81"/>
      <c r="K46" s="69"/>
      <c r="L46" s="640"/>
      <c r="M46" s="640"/>
      <c r="N46" s="640"/>
      <c r="O46" s="655"/>
      <c r="P46" s="81">
        <f t="shared" si="28"/>
        <v>0</v>
      </c>
      <c r="Q46" s="81">
        <f t="shared" si="29"/>
        <v>0</v>
      </c>
      <c r="R46" s="81">
        <f t="shared" si="30"/>
        <v>0</v>
      </c>
      <c r="S46" s="81">
        <f t="shared" si="26"/>
        <v>0</v>
      </c>
      <c r="T46" s="85">
        <f t="shared" si="27"/>
        <v>0</v>
      </c>
      <c r="U46" s="191"/>
      <c r="V46" s="195">
        <f t="shared" si="37"/>
        <v>0</v>
      </c>
    </row>
    <row r="47" spans="1:22" x14ac:dyDescent="0.25">
      <c r="A47" s="14" t="s">
        <v>49</v>
      </c>
      <c r="B47" s="20" t="s">
        <v>50</v>
      </c>
      <c r="C47" s="71">
        <v>21000000</v>
      </c>
      <c r="D47" s="69">
        <v>21000000</v>
      </c>
      <c r="E47" s="69">
        <v>21000000</v>
      </c>
      <c r="F47" s="69"/>
      <c r="G47" s="69"/>
      <c r="H47" s="81">
        <v>11226943</v>
      </c>
      <c r="I47" s="81">
        <v>15983376</v>
      </c>
      <c r="J47" s="81"/>
      <c r="K47" s="69"/>
      <c r="L47" s="640">
        <f t="shared" ref="L47" si="38">IF(H47&gt;0,H47/C47,0)</f>
        <v>0.53461633333333336</v>
      </c>
      <c r="M47" s="640">
        <f t="shared" ref="M47" si="39">IF(I47&gt;0,I47/D47,0)</f>
        <v>0.76111314285714282</v>
      </c>
      <c r="N47" s="640">
        <f t="shared" ref="N47" si="40">IF(J47&gt;0,J47/E47,0)</f>
        <v>0</v>
      </c>
      <c r="O47" s="655"/>
      <c r="P47" s="81">
        <f t="shared" si="28"/>
        <v>0</v>
      </c>
      <c r="Q47" s="81">
        <f t="shared" si="29"/>
        <v>0</v>
      </c>
      <c r="R47" s="81">
        <f t="shared" si="30"/>
        <v>0</v>
      </c>
      <c r="S47" s="81">
        <f t="shared" si="26"/>
        <v>0</v>
      </c>
      <c r="T47" s="85">
        <f t="shared" si="27"/>
        <v>0</v>
      </c>
      <c r="U47" s="191"/>
      <c r="V47" s="195">
        <f t="shared" si="37"/>
        <v>0</v>
      </c>
    </row>
    <row r="48" spans="1:22" x14ac:dyDescent="0.25">
      <c r="B48" s="20" t="s">
        <v>97</v>
      </c>
      <c r="C48" s="71"/>
      <c r="D48" s="69"/>
      <c r="E48" s="69"/>
      <c r="F48" s="69"/>
      <c r="G48" s="69"/>
      <c r="H48" s="81"/>
      <c r="I48" s="81"/>
      <c r="J48" s="81"/>
      <c r="K48" s="69"/>
      <c r="L48" s="640"/>
      <c r="M48" s="640"/>
      <c r="N48" s="640"/>
      <c r="O48" s="655"/>
      <c r="P48" s="81">
        <f t="shared" si="28"/>
        <v>0</v>
      </c>
      <c r="Q48" s="81">
        <f t="shared" si="29"/>
        <v>0</v>
      </c>
      <c r="R48" s="81">
        <f t="shared" si="30"/>
        <v>0</v>
      </c>
      <c r="S48" s="81">
        <f t="shared" si="26"/>
        <v>0</v>
      </c>
      <c r="T48" s="85">
        <f t="shared" si="27"/>
        <v>0</v>
      </c>
      <c r="U48" s="191"/>
      <c r="V48" s="195">
        <f t="shared" si="37"/>
        <v>0</v>
      </c>
    </row>
    <row r="49" spans="1:22" x14ac:dyDescent="0.25">
      <c r="B49" s="20" t="s">
        <v>98</v>
      </c>
      <c r="C49" s="71"/>
      <c r="D49" s="69"/>
      <c r="E49" s="69"/>
      <c r="F49" s="69"/>
      <c r="G49" s="69"/>
      <c r="H49" s="81"/>
      <c r="I49" s="81"/>
      <c r="J49" s="81"/>
      <c r="K49" s="69"/>
      <c r="L49" s="640"/>
      <c r="M49" s="640"/>
      <c r="N49" s="640"/>
      <c r="O49" s="655"/>
      <c r="P49" s="81">
        <f t="shared" si="28"/>
        <v>0</v>
      </c>
      <c r="Q49" s="81">
        <f t="shared" si="29"/>
        <v>0</v>
      </c>
      <c r="R49" s="81">
        <f t="shared" si="30"/>
        <v>0</v>
      </c>
      <c r="S49" s="81">
        <f t="shared" si="26"/>
        <v>0</v>
      </c>
      <c r="T49" s="85">
        <f t="shared" si="27"/>
        <v>0</v>
      </c>
      <c r="U49" s="191"/>
      <c r="V49" s="195">
        <f t="shared" si="37"/>
        <v>0</v>
      </c>
    </row>
    <row r="50" spans="1:22" x14ac:dyDescent="0.25">
      <c r="B50" s="20" t="s">
        <v>99</v>
      </c>
      <c r="C50" s="71"/>
      <c r="D50" s="69"/>
      <c r="E50" s="69"/>
      <c r="F50" s="69"/>
      <c r="G50" s="69"/>
      <c r="H50" s="81"/>
      <c r="I50" s="81"/>
      <c r="J50" s="81"/>
      <c r="K50" s="69"/>
      <c r="L50" s="640"/>
      <c r="M50" s="640"/>
      <c r="N50" s="640"/>
      <c r="O50" s="655"/>
      <c r="P50" s="81">
        <f t="shared" si="28"/>
        <v>0</v>
      </c>
      <c r="Q50" s="81">
        <f t="shared" si="29"/>
        <v>0</v>
      </c>
      <c r="R50" s="81">
        <f t="shared" si="30"/>
        <v>0</v>
      </c>
      <c r="S50" s="81">
        <f t="shared" si="26"/>
        <v>0</v>
      </c>
      <c r="T50" s="85">
        <f t="shared" si="27"/>
        <v>0</v>
      </c>
      <c r="U50" s="191"/>
      <c r="V50" s="195">
        <f t="shared" si="37"/>
        <v>0</v>
      </c>
    </row>
    <row r="51" spans="1:22" x14ac:dyDescent="0.25">
      <c r="A51" s="14" t="s">
        <v>51</v>
      </c>
      <c r="B51" s="20" t="s">
        <v>52</v>
      </c>
      <c r="C51" s="71">
        <v>0</v>
      </c>
      <c r="D51" s="71">
        <v>0</v>
      </c>
      <c r="E51" s="69">
        <v>0</v>
      </c>
      <c r="F51" s="69"/>
      <c r="G51" s="69"/>
      <c r="H51" s="81">
        <v>0</v>
      </c>
      <c r="I51" s="81">
        <v>0</v>
      </c>
      <c r="J51" s="81"/>
      <c r="K51" s="69"/>
      <c r="L51" s="640">
        <f t="shared" ref="L51" si="41">IF(H51&gt;0,H51/C51,0)</f>
        <v>0</v>
      </c>
      <c r="M51" s="640">
        <f t="shared" ref="M51" si="42">IF(I51&gt;0,I51/D51,0)</f>
        <v>0</v>
      </c>
      <c r="N51" s="640">
        <f t="shared" ref="N51" si="43">IF(J51&gt;0,J51/E51,0)</f>
        <v>0</v>
      </c>
      <c r="O51" s="655"/>
      <c r="P51" s="81">
        <f t="shared" si="28"/>
        <v>0</v>
      </c>
      <c r="Q51" s="81">
        <f t="shared" si="29"/>
        <v>0</v>
      </c>
      <c r="R51" s="81">
        <f t="shared" si="30"/>
        <v>0</v>
      </c>
      <c r="S51" s="81">
        <f t="shared" si="26"/>
        <v>0</v>
      </c>
      <c r="T51" s="85">
        <f t="shared" si="27"/>
        <v>0</v>
      </c>
      <c r="U51" s="191"/>
      <c r="V51" s="195">
        <f t="shared" si="37"/>
        <v>0</v>
      </c>
    </row>
    <row r="52" spans="1:22" x14ac:dyDescent="0.25">
      <c r="B52" s="20" t="s">
        <v>90</v>
      </c>
      <c r="C52" s="71"/>
      <c r="D52" s="69"/>
      <c r="E52" s="69"/>
      <c r="F52" s="69"/>
      <c r="G52" s="69"/>
      <c r="H52" s="81"/>
      <c r="I52" s="81"/>
      <c r="J52" s="81"/>
      <c r="K52" s="69"/>
      <c r="L52" s="640"/>
      <c r="M52" s="640"/>
      <c r="N52" s="640"/>
      <c r="O52" s="655"/>
      <c r="P52" s="81">
        <f t="shared" si="28"/>
        <v>0</v>
      </c>
      <c r="Q52" s="81">
        <f t="shared" si="29"/>
        <v>0</v>
      </c>
      <c r="R52" s="81">
        <f t="shared" si="30"/>
        <v>0</v>
      </c>
      <c r="S52" s="81">
        <f t="shared" si="26"/>
        <v>0</v>
      </c>
      <c r="T52" s="85">
        <f t="shared" si="27"/>
        <v>0</v>
      </c>
      <c r="U52" s="191"/>
      <c r="V52" s="195">
        <f t="shared" si="37"/>
        <v>0</v>
      </c>
    </row>
    <row r="53" spans="1:22" x14ac:dyDescent="0.25">
      <c r="B53" s="20" t="s">
        <v>53</v>
      </c>
      <c r="C53" s="71"/>
      <c r="D53" s="69"/>
      <c r="E53" s="69"/>
      <c r="F53" s="69"/>
      <c r="G53" s="69"/>
      <c r="H53" s="81"/>
      <c r="I53" s="81"/>
      <c r="J53" s="81"/>
      <c r="K53" s="69"/>
      <c r="L53" s="640"/>
      <c r="M53" s="640"/>
      <c r="N53" s="640"/>
      <c r="O53" s="655"/>
      <c r="P53" s="81">
        <f t="shared" si="28"/>
        <v>0</v>
      </c>
      <c r="Q53" s="81">
        <f t="shared" si="29"/>
        <v>0</v>
      </c>
      <c r="R53" s="81">
        <f t="shared" si="30"/>
        <v>0</v>
      </c>
      <c r="S53" s="81">
        <f t="shared" si="26"/>
        <v>0</v>
      </c>
      <c r="T53" s="85">
        <f t="shared" si="27"/>
        <v>0</v>
      </c>
      <c r="U53" s="191"/>
      <c r="V53" s="195">
        <f t="shared" si="37"/>
        <v>0</v>
      </c>
    </row>
    <row r="54" spans="1:22" x14ac:dyDescent="0.25">
      <c r="A54" s="14" t="s">
        <v>54</v>
      </c>
      <c r="B54" s="20" t="s">
        <v>55</v>
      </c>
      <c r="C54" s="71">
        <v>1700000</v>
      </c>
      <c r="D54" s="69">
        <v>1764000</v>
      </c>
      <c r="E54" s="69">
        <v>1764000</v>
      </c>
      <c r="F54" s="69"/>
      <c r="G54" s="69"/>
      <c r="H54" s="81">
        <v>722400</v>
      </c>
      <c r="I54" s="81">
        <v>1083600</v>
      </c>
      <c r="J54" s="81"/>
      <c r="K54" s="69"/>
      <c r="L54" s="640">
        <f t="shared" ref="L54" si="44">IF(H54&gt;0,H54/C54,0)</f>
        <v>0.42494117647058821</v>
      </c>
      <c r="M54" s="640">
        <f t="shared" ref="M54" si="45">IF(I54&gt;0,I54/D54,0)</f>
        <v>0.61428571428571432</v>
      </c>
      <c r="N54" s="640">
        <f t="shared" ref="N54" si="46">IF(J54&gt;0,J54/E54,0)</f>
        <v>0</v>
      </c>
      <c r="O54" s="655"/>
      <c r="P54" s="81">
        <f t="shared" si="28"/>
        <v>64000</v>
      </c>
      <c r="Q54" s="81">
        <f t="shared" si="29"/>
        <v>0</v>
      </c>
      <c r="R54" s="81">
        <f t="shared" si="30"/>
        <v>0</v>
      </c>
      <c r="S54" s="81">
        <f t="shared" si="26"/>
        <v>64000</v>
      </c>
      <c r="T54" s="85">
        <f t="shared" si="27"/>
        <v>3.7647058823529408E-2</v>
      </c>
      <c r="U54" s="191"/>
      <c r="V54" s="195">
        <f t="shared" si="37"/>
        <v>0</v>
      </c>
    </row>
    <row r="55" spans="1:22" x14ac:dyDescent="0.25">
      <c r="B55" s="20" t="s">
        <v>56</v>
      </c>
      <c r="C55" s="71"/>
      <c r="D55" s="69"/>
      <c r="E55" s="69"/>
      <c r="F55" s="69"/>
      <c r="G55" s="69"/>
      <c r="H55" s="81"/>
      <c r="I55" s="81"/>
      <c r="J55" s="81"/>
      <c r="K55" s="69"/>
      <c r="L55" s="640"/>
      <c r="M55" s="640"/>
      <c r="N55" s="640"/>
      <c r="O55" s="655"/>
      <c r="P55" s="81">
        <f t="shared" si="28"/>
        <v>0</v>
      </c>
      <c r="Q55" s="81">
        <f t="shared" si="29"/>
        <v>0</v>
      </c>
      <c r="R55" s="81">
        <f t="shared" si="30"/>
        <v>0</v>
      </c>
      <c r="S55" s="81">
        <f t="shared" si="26"/>
        <v>0</v>
      </c>
      <c r="T55" s="85">
        <f t="shared" si="27"/>
        <v>0</v>
      </c>
      <c r="U55" s="191"/>
      <c r="V55" s="195">
        <f t="shared" si="37"/>
        <v>0</v>
      </c>
    </row>
    <row r="56" spans="1:22" x14ac:dyDescent="0.25">
      <c r="A56" s="14" t="s">
        <v>57</v>
      </c>
      <c r="B56" s="20" t="s">
        <v>91</v>
      </c>
      <c r="C56" s="71">
        <v>8000000</v>
      </c>
      <c r="D56" s="69">
        <v>18289802</v>
      </c>
      <c r="E56" s="69">
        <v>23036000</v>
      </c>
      <c r="F56" s="69"/>
      <c r="G56" s="69"/>
      <c r="H56" s="81">
        <v>15136525</v>
      </c>
      <c r="I56" s="81">
        <v>21844870</v>
      </c>
      <c r="J56" s="81"/>
      <c r="K56" s="69"/>
      <c r="L56" s="640">
        <f t="shared" ref="L56" si="47">IF(H56&gt;0,H56/C56,0)</f>
        <v>1.8920656250000001</v>
      </c>
      <c r="M56" s="640">
        <f t="shared" ref="M56" si="48">IF(I56&gt;0,I56/D56,0)</f>
        <v>1.1943743294760654</v>
      </c>
      <c r="N56" s="640">
        <f t="shared" ref="N56" si="49">IF(J56&gt;0,J56/E56,0)</f>
        <v>0</v>
      </c>
      <c r="O56" s="655"/>
      <c r="P56" s="81">
        <f t="shared" si="28"/>
        <v>10289802</v>
      </c>
      <c r="Q56" s="81">
        <f t="shared" si="29"/>
        <v>4746198</v>
      </c>
      <c r="R56" s="81">
        <f t="shared" si="30"/>
        <v>0</v>
      </c>
      <c r="S56" s="81">
        <f t="shared" si="26"/>
        <v>15036000</v>
      </c>
      <c r="T56" s="85">
        <f t="shared" si="27"/>
        <v>1.8794999999999999</v>
      </c>
      <c r="U56" s="191"/>
      <c r="V56" s="195">
        <f t="shared" si="37"/>
        <v>0</v>
      </c>
    </row>
    <row r="57" spans="1:22" x14ac:dyDescent="0.25">
      <c r="B57" s="20" t="s">
        <v>58</v>
      </c>
      <c r="C57" s="71"/>
      <c r="D57" s="69"/>
      <c r="E57" s="69"/>
      <c r="F57" s="69"/>
      <c r="G57" s="69"/>
      <c r="H57" s="81"/>
      <c r="I57" s="81"/>
      <c r="J57" s="81"/>
      <c r="K57" s="69"/>
      <c r="L57" s="640"/>
      <c r="M57" s="640"/>
      <c r="N57" s="640"/>
      <c r="O57" s="655"/>
      <c r="P57" s="81">
        <f t="shared" si="28"/>
        <v>0</v>
      </c>
      <c r="Q57" s="81">
        <f t="shared" si="29"/>
        <v>0</v>
      </c>
      <c r="R57" s="81">
        <f t="shared" si="30"/>
        <v>0</v>
      </c>
      <c r="S57" s="81">
        <f t="shared" si="26"/>
        <v>0</v>
      </c>
      <c r="T57" s="85">
        <f t="shared" si="27"/>
        <v>0</v>
      </c>
      <c r="U57" s="191"/>
      <c r="V57" s="195">
        <f t="shared" si="37"/>
        <v>0</v>
      </c>
    </row>
    <row r="58" spans="1:22" x14ac:dyDescent="0.25">
      <c r="A58" s="14" t="s">
        <v>59</v>
      </c>
      <c r="B58" s="20" t="s">
        <v>60</v>
      </c>
      <c r="C58" s="71">
        <v>20000000</v>
      </c>
      <c r="D58" s="71">
        <v>20000000</v>
      </c>
      <c r="E58" s="69">
        <v>20000000</v>
      </c>
      <c r="F58" s="69"/>
      <c r="G58" s="69"/>
      <c r="H58" s="81">
        <v>6446388</v>
      </c>
      <c r="I58" s="81">
        <v>8341789</v>
      </c>
      <c r="J58" s="81"/>
      <c r="K58" s="69"/>
      <c r="L58" s="640">
        <f t="shared" ref="L58:L72" si="50">IF(H58&gt;0,H58/C58,0)</f>
        <v>0.32231939999999998</v>
      </c>
      <c r="M58" s="640">
        <f t="shared" ref="M58:M72" si="51">IF(I58&gt;0,I58/D58,0)</f>
        <v>0.41708944999999997</v>
      </c>
      <c r="N58" s="640">
        <f t="shared" ref="N58:N72" si="52">IF(J58&gt;0,J58/E58,0)</f>
        <v>0</v>
      </c>
      <c r="O58" s="655"/>
      <c r="P58" s="81">
        <f t="shared" si="28"/>
        <v>0</v>
      </c>
      <c r="Q58" s="81">
        <f t="shared" si="29"/>
        <v>0</v>
      </c>
      <c r="R58" s="81">
        <f t="shared" si="30"/>
        <v>0</v>
      </c>
      <c r="S58" s="81">
        <f t="shared" si="26"/>
        <v>0</v>
      </c>
      <c r="T58" s="85">
        <f t="shared" si="27"/>
        <v>0</v>
      </c>
      <c r="U58" s="191"/>
      <c r="V58" s="195">
        <f t="shared" si="37"/>
        <v>0</v>
      </c>
    </row>
    <row r="59" spans="1:22" ht="26.4" hidden="1" x14ac:dyDescent="0.25">
      <c r="A59" s="20"/>
      <c r="B59" s="20" t="s">
        <v>61</v>
      </c>
      <c r="C59" s="71"/>
      <c r="D59" s="69"/>
      <c r="E59" s="69"/>
      <c r="F59" s="69"/>
      <c r="G59" s="69"/>
      <c r="H59" s="81"/>
      <c r="I59" s="81"/>
      <c r="J59" s="81"/>
      <c r="K59" s="69"/>
      <c r="L59" s="640">
        <f t="shared" si="50"/>
        <v>0</v>
      </c>
      <c r="M59" s="640">
        <f t="shared" si="51"/>
        <v>0</v>
      </c>
      <c r="N59" s="640">
        <f t="shared" si="52"/>
        <v>0</v>
      </c>
      <c r="O59" s="655"/>
      <c r="P59" s="81">
        <f t="shared" si="28"/>
        <v>0</v>
      </c>
      <c r="Q59" s="81">
        <f t="shared" si="29"/>
        <v>0</v>
      </c>
      <c r="R59" s="81">
        <f t="shared" si="30"/>
        <v>0</v>
      </c>
      <c r="S59" s="81">
        <f t="shared" si="26"/>
        <v>0</v>
      </c>
      <c r="T59" s="85">
        <f t="shared" si="27"/>
        <v>0</v>
      </c>
      <c r="U59" s="191"/>
      <c r="V59" s="195">
        <f t="shared" si="37"/>
        <v>0</v>
      </c>
    </row>
    <row r="60" spans="1:22" x14ac:dyDescent="0.25">
      <c r="A60" s="14" t="s">
        <v>62</v>
      </c>
      <c r="B60" s="20" t="s">
        <v>63</v>
      </c>
      <c r="C60" s="71">
        <v>1000000</v>
      </c>
      <c r="D60" s="71">
        <v>1000000</v>
      </c>
      <c r="E60" s="69">
        <v>1000000</v>
      </c>
      <c r="F60" s="69"/>
      <c r="G60" s="69"/>
      <c r="H60" s="81">
        <v>262700</v>
      </c>
      <c r="I60" s="81">
        <v>352400</v>
      </c>
      <c r="J60" s="81"/>
      <c r="K60" s="69"/>
      <c r="L60" s="640">
        <f t="shared" si="50"/>
        <v>0.26269999999999999</v>
      </c>
      <c r="M60" s="640">
        <f t="shared" si="51"/>
        <v>0.35239999999999999</v>
      </c>
      <c r="N60" s="640">
        <f t="shared" si="52"/>
        <v>0</v>
      </c>
      <c r="O60" s="655"/>
      <c r="P60" s="81">
        <f t="shared" si="28"/>
        <v>0</v>
      </c>
      <c r="Q60" s="81">
        <f t="shared" si="29"/>
        <v>0</v>
      </c>
      <c r="R60" s="81">
        <f t="shared" si="30"/>
        <v>0</v>
      </c>
      <c r="S60" s="81">
        <f t="shared" si="26"/>
        <v>0</v>
      </c>
      <c r="T60" s="85">
        <f t="shared" si="27"/>
        <v>0</v>
      </c>
      <c r="U60" s="191"/>
      <c r="V60" s="195">
        <f t="shared" si="37"/>
        <v>0</v>
      </c>
    </row>
    <row r="61" spans="1:22" ht="66" hidden="1" x14ac:dyDescent="0.25">
      <c r="B61" s="20" t="s">
        <v>358</v>
      </c>
      <c r="C61" s="71"/>
      <c r="D61" s="69"/>
      <c r="E61" s="69"/>
      <c r="F61" s="69"/>
      <c r="G61" s="69"/>
      <c r="H61" s="81"/>
      <c r="I61" s="81"/>
      <c r="J61" s="81"/>
      <c r="K61" s="69"/>
      <c r="L61" s="640">
        <f t="shared" si="50"/>
        <v>0</v>
      </c>
      <c r="M61" s="640">
        <f t="shared" si="51"/>
        <v>0</v>
      </c>
      <c r="N61" s="640">
        <f t="shared" si="52"/>
        <v>0</v>
      </c>
      <c r="O61" s="655"/>
      <c r="P61" s="81">
        <f t="shared" si="28"/>
        <v>0</v>
      </c>
      <c r="Q61" s="81">
        <f t="shared" si="29"/>
        <v>0</v>
      </c>
      <c r="R61" s="81">
        <f t="shared" si="30"/>
        <v>0</v>
      </c>
      <c r="S61" s="81">
        <f t="shared" si="26"/>
        <v>0</v>
      </c>
      <c r="T61" s="85">
        <f t="shared" si="27"/>
        <v>0</v>
      </c>
      <c r="U61" s="191"/>
      <c r="V61" s="195">
        <f t="shared" si="37"/>
        <v>0</v>
      </c>
    </row>
    <row r="62" spans="1:22" x14ac:dyDescent="0.25">
      <c r="A62" s="14" t="s">
        <v>64</v>
      </c>
      <c r="B62" s="20" t="s">
        <v>65</v>
      </c>
      <c r="C62" s="71">
        <v>70000000</v>
      </c>
      <c r="D62" s="71">
        <v>55101305</v>
      </c>
      <c r="E62" s="69">
        <v>53312000</v>
      </c>
      <c r="F62" s="69"/>
      <c r="G62" s="69"/>
      <c r="H62" s="81">
        <v>24702303</v>
      </c>
      <c r="I62" s="81">
        <v>33644688</v>
      </c>
      <c r="J62" s="81"/>
      <c r="K62" s="69"/>
      <c r="L62" s="640">
        <f t="shared" si="50"/>
        <v>0.35289004285714287</v>
      </c>
      <c r="M62" s="640">
        <f t="shared" si="51"/>
        <v>0.6105969359527873</v>
      </c>
      <c r="N62" s="640">
        <f t="shared" si="52"/>
        <v>0</v>
      </c>
      <c r="O62" s="655"/>
      <c r="P62" s="81">
        <f t="shared" si="28"/>
        <v>-14898695</v>
      </c>
      <c r="Q62" s="81">
        <f t="shared" si="29"/>
        <v>-1789305</v>
      </c>
      <c r="R62" s="81">
        <f t="shared" si="30"/>
        <v>0</v>
      </c>
      <c r="S62" s="81">
        <f t="shared" si="26"/>
        <v>-16688000</v>
      </c>
      <c r="T62" s="85">
        <f t="shared" si="27"/>
        <v>-0.2384</v>
      </c>
      <c r="U62" s="191"/>
      <c r="V62" s="195">
        <f t="shared" si="37"/>
        <v>0</v>
      </c>
    </row>
    <row r="63" spans="1:22" ht="39.6" hidden="1" x14ac:dyDescent="0.25">
      <c r="B63" s="20" t="s">
        <v>66</v>
      </c>
      <c r="C63" s="71"/>
      <c r="D63" s="69"/>
      <c r="E63" s="69"/>
      <c r="F63" s="69"/>
      <c r="G63" s="69"/>
      <c r="H63" s="81"/>
      <c r="I63" s="81"/>
      <c r="J63" s="81"/>
      <c r="K63" s="69"/>
      <c r="L63" s="640">
        <f t="shared" si="50"/>
        <v>0</v>
      </c>
      <c r="M63" s="640">
        <f t="shared" si="51"/>
        <v>0</v>
      </c>
      <c r="N63" s="640">
        <f t="shared" si="52"/>
        <v>0</v>
      </c>
      <c r="O63" s="655"/>
      <c r="P63" s="81">
        <f t="shared" si="28"/>
        <v>0</v>
      </c>
      <c r="Q63" s="81">
        <f t="shared" si="29"/>
        <v>0</v>
      </c>
      <c r="R63" s="81">
        <f t="shared" si="30"/>
        <v>0</v>
      </c>
      <c r="S63" s="81">
        <f t="shared" si="26"/>
        <v>0</v>
      </c>
      <c r="T63" s="85">
        <f t="shared" si="27"/>
        <v>0</v>
      </c>
      <c r="U63" s="191"/>
      <c r="V63" s="195">
        <f t="shared" si="37"/>
        <v>0</v>
      </c>
    </row>
    <row r="64" spans="1:22" x14ac:dyDescent="0.25">
      <c r="A64" s="14" t="s">
        <v>67</v>
      </c>
      <c r="B64" s="20" t="s">
        <v>68</v>
      </c>
      <c r="C64" s="71"/>
      <c r="D64" s="69"/>
      <c r="E64" s="69"/>
      <c r="F64" s="69"/>
      <c r="G64" s="69"/>
      <c r="H64" s="81"/>
      <c r="I64" s="81"/>
      <c r="J64" s="81"/>
      <c r="K64" s="69"/>
      <c r="L64" s="640">
        <f t="shared" si="50"/>
        <v>0</v>
      </c>
      <c r="M64" s="640">
        <f t="shared" si="51"/>
        <v>0</v>
      </c>
      <c r="N64" s="640">
        <f t="shared" si="52"/>
        <v>0</v>
      </c>
      <c r="O64" s="655"/>
      <c r="P64" s="81">
        <f t="shared" si="28"/>
        <v>0</v>
      </c>
      <c r="Q64" s="81">
        <f t="shared" si="29"/>
        <v>0</v>
      </c>
      <c r="R64" s="81">
        <f t="shared" si="30"/>
        <v>0</v>
      </c>
      <c r="S64" s="81">
        <f t="shared" si="26"/>
        <v>0</v>
      </c>
      <c r="T64" s="85">
        <f t="shared" si="27"/>
        <v>0</v>
      </c>
      <c r="U64" s="191"/>
      <c r="V64" s="195">
        <f t="shared" si="37"/>
        <v>0</v>
      </c>
    </row>
    <row r="65" spans="1:22" x14ac:dyDescent="0.25">
      <c r="A65" s="14" t="s">
        <v>69</v>
      </c>
      <c r="B65" s="20" t="s">
        <v>70</v>
      </c>
      <c r="C65" s="71">
        <v>500000</v>
      </c>
      <c r="D65" s="69">
        <v>500000</v>
      </c>
      <c r="E65" s="69">
        <v>500000</v>
      </c>
      <c r="F65" s="69"/>
      <c r="G65" s="69"/>
      <c r="H65" s="81">
        <v>222915</v>
      </c>
      <c r="I65" s="81">
        <v>368825</v>
      </c>
      <c r="J65" s="81"/>
      <c r="K65" s="69"/>
      <c r="L65" s="640">
        <f t="shared" si="50"/>
        <v>0.44583</v>
      </c>
      <c r="M65" s="640">
        <f t="shared" si="51"/>
        <v>0.73765000000000003</v>
      </c>
      <c r="N65" s="640">
        <f t="shared" si="52"/>
        <v>0</v>
      </c>
      <c r="O65" s="655"/>
      <c r="P65" s="81">
        <f t="shared" si="28"/>
        <v>0</v>
      </c>
      <c r="Q65" s="81">
        <f t="shared" si="29"/>
        <v>0</v>
      </c>
      <c r="R65" s="81">
        <f t="shared" si="30"/>
        <v>0</v>
      </c>
      <c r="S65" s="81">
        <f t="shared" si="26"/>
        <v>0</v>
      </c>
      <c r="T65" s="85">
        <f t="shared" si="27"/>
        <v>0</v>
      </c>
      <c r="U65" s="191"/>
      <c r="V65" s="195">
        <f t="shared" si="37"/>
        <v>0</v>
      </c>
    </row>
    <row r="66" spans="1:22" ht="39.6" hidden="1" x14ac:dyDescent="0.25">
      <c r="B66" s="20" t="s">
        <v>71</v>
      </c>
      <c r="C66" s="71"/>
      <c r="D66" s="69"/>
      <c r="E66" s="69"/>
      <c r="F66" s="69"/>
      <c r="G66" s="69"/>
      <c r="H66" s="81"/>
      <c r="I66" s="81"/>
      <c r="J66" s="81"/>
      <c r="K66" s="69"/>
      <c r="L66" s="640">
        <f t="shared" si="50"/>
        <v>0</v>
      </c>
      <c r="M66" s="640">
        <f t="shared" si="51"/>
        <v>0</v>
      </c>
      <c r="N66" s="640">
        <f t="shared" si="52"/>
        <v>0</v>
      </c>
      <c r="O66" s="655"/>
      <c r="P66" s="81">
        <f t="shared" si="28"/>
        <v>0</v>
      </c>
      <c r="Q66" s="81">
        <f t="shared" si="29"/>
        <v>0</v>
      </c>
      <c r="R66" s="81">
        <f t="shared" si="30"/>
        <v>0</v>
      </c>
      <c r="S66" s="81">
        <f t="shared" si="26"/>
        <v>0</v>
      </c>
      <c r="T66" s="85">
        <f t="shared" si="27"/>
        <v>0</v>
      </c>
      <c r="U66" s="191"/>
      <c r="V66" s="195">
        <f t="shared" si="37"/>
        <v>0</v>
      </c>
    </row>
    <row r="67" spans="1:22" x14ac:dyDescent="0.25">
      <c r="A67" s="14" t="s">
        <v>72</v>
      </c>
      <c r="B67" s="20" t="s">
        <v>109</v>
      </c>
      <c r="C67" s="71">
        <v>0</v>
      </c>
      <c r="D67" s="69">
        <v>0</v>
      </c>
      <c r="E67" s="69">
        <v>0</v>
      </c>
      <c r="F67" s="69"/>
      <c r="G67" s="69"/>
      <c r="H67" s="81">
        <v>0</v>
      </c>
      <c r="I67" s="81">
        <v>0</v>
      </c>
      <c r="J67" s="81"/>
      <c r="K67" s="69"/>
      <c r="L67" s="640">
        <f t="shared" si="50"/>
        <v>0</v>
      </c>
      <c r="M67" s="640">
        <f t="shared" si="51"/>
        <v>0</v>
      </c>
      <c r="N67" s="640">
        <f t="shared" si="52"/>
        <v>0</v>
      </c>
      <c r="O67" s="655"/>
      <c r="P67" s="81">
        <f t="shared" si="28"/>
        <v>0</v>
      </c>
      <c r="Q67" s="81">
        <f t="shared" si="29"/>
        <v>0</v>
      </c>
      <c r="R67" s="81">
        <f t="shared" si="30"/>
        <v>0</v>
      </c>
      <c r="S67" s="81">
        <f t="shared" si="26"/>
        <v>0</v>
      </c>
      <c r="T67" s="85">
        <f t="shared" si="27"/>
        <v>0</v>
      </c>
      <c r="U67" s="191"/>
      <c r="V67" s="195">
        <f t="shared" si="37"/>
        <v>0</v>
      </c>
    </row>
    <row r="68" spans="1:22" ht="39.6" hidden="1" x14ac:dyDescent="0.25">
      <c r="B68" s="20" t="s">
        <v>73</v>
      </c>
      <c r="C68" s="71"/>
      <c r="D68" s="69"/>
      <c r="E68" s="69"/>
      <c r="F68" s="69"/>
      <c r="G68" s="69"/>
      <c r="H68" s="81"/>
      <c r="I68" s="81"/>
      <c r="J68" s="81"/>
      <c r="K68" s="69"/>
      <c r="L68" s="640">
        <f t="shared" si="50"/>
        <v>0</v>
      </c>
      <c r="M68" s="640">
        <f t="shared" si="51"/>
        <v>0</v>
      </c>
      <c r="N68" s="640">
        <f t="shared" si="52"/>
        <v>0</v>
      </c>
      <c r="O68" s="655"/>
      <c r="P68" s="81">
        <f t="shared" si="28"/>
        <v>0</v>
      </c>
      <c r="Q68" s="81">
        <f t="shared" si="29"/>
        <v>0</v>
      </c>
      <c r="R68" s="81">
        <f t="shared" si="30"/>
        <v>0</v>
      </c>
      <c r="S68" s="81">
        <f t="shared" si="26"/>
        <v>0</v>
      </c>
      <c r="T68" s="85">
        <f t="shared" si="27"/>
        <v>0</v>
      </c>
      <c r="U68" s="191"/>
      <c r="V68" s="195">
        <f t="shared" si="37"/>
        <v>0</v>
      </c>
    </row>
    <row r="69" spans="1:22" x14ac:dyDescent="0.25">
      <c r="A69" s="14" t="s">
        <v>74</v>
      </c>
      <c r="B69" s="20" t="s">
        <v>75</v>
      </c>
      <c r="C69" s="71"/>
      <c r="D69" s="69"/>
      <c r="E69" s="69"/>
      <c r="F69" s="69"/>
      <c r="G69" s="69"/>
      <c r="H69" s="81"/>
      <c r="I69" s="81"/>
      <c r="J69" s="81"/>
      <c r="K69" s="69"/>
      <c r="L69" s="640">
        <f t="shared" si="50"/>
        <v>0</v>
      </c>
      <c r="M69" s="640">
        <f t="shared" si="51"/>
        <v>0</v>
      </c>
      <c r="N69" s="640">
        <f t="shared" si="52"/>
        <v>0</v>
      </c>
      <c r="O69" s="655"/>
      <c r="P69" s="81">
        <f t="shared" si="28"/>
        <v>0</v>
      </c>
      <c r="Q69" s="81">
        <f t="shared" si="29"/>
        <v>0</v>
      </c>
      <c r="R69" s="81">
        <f t="shared" si="30"/>
        <v>0</v>
      </c>
      <c r="S69" s="81">
        <f t="shared" si="26"/>
        <v>0</v>
      </c>
      <c r="T69" s="85">
        <f t="shared" si="27"/>
        <v>0</v>
      </c>
      <c r="U69" s="191"/>
      <c r="V69" s="195">
        <f t="shared" si="37"/>
        <v>0</v>
      </c>
    </row>
    <row r="70" spans="1:22" x14ac:dyDescent="0.25">
      <c r="A70" s="14" t="s">
        <v>76</v>
      </c>
      <c r="B70" s="20" t="s">
        <v>77</v>
      </c>
      <c r="C70" s="71">
        <v>42000000</v>
      </c>
      <c r="D70" s="69">
        <v>39919000</v>
      </c>
      <c r="E70" s="69">
        <v>38438000</v>
      </c>
      <c r="F70" s="69"/>
      <c r="G70" s="69"/>
      <c r="H70" s="81">
        <v>13795054</v>
      </c>
      <c r="I70" s="81">
        <v>18439963</v>
      </c>
      <c r="J70" s="81"/>
      <c r="K70" s="69"/>
      <c r="L70" s="640">
        <f t="shared" si="50"/>
        <v>0.32845366666666664</v>
      </c>
      <c r="M70" s="640">
        <f t="shared" si="51"/>
        <v>0.46193449234700268</v>
      </c>
      <c r="N70" s="640">
        <f t="shared" si="52"/>
        <v>0</v>
      </c>
      <c r="O70" s="655"/>
      <c r="P70" s="81">
        <f t="shared" si="28"/>
        <v>-2081000</v>
      </c>
      <c r="Q70" s="81">
        <f t="shared" si="29"/>
        <v>-1481000</v>
      </c>
      <c r="R70" s="81">
        <f t="shared" si="30"/>
        <v>0</v>
      </c>
      <c r="S70" s="81">
        <f t="shared" si="26"/>
        <v>-3562000</v>
      </c>
      <c r="T70" s="85">
        <f t="shared" si="27"/>
        <v>-8.4809523809523807E-2</v>
      </c>
      <c r="U70" s="191"/>
      <c r="V70" s="195">
        <f t="shared" si="37"/>
        <v>0</v>
      </c>
    </row>
    <row r="71" spans="1:22" x14ac:dyDescent="0.25">
      <c r="B71" s="20" t="s">
        <v>78</v>
      </c>
      <c r="C71" s="71"/>
      <c r="D71" s="69"/>
      <c r="E71" s="69"/>
      <c r="F71" s="69"/>
      <c r="G71" s="69"/>
      <c r="H71" s="81"/>
      <c r="I71" s="81"/>
      <c r="J71" s="81"/>
      <c r="K71" s="69"/>
      <c r="L71" s="640">
        <f t="shared" si="50"/>
        <v>0</v>
      </c>
      <c r="M71" s="640">
        <f t="shared" si="51"/>
        <v>0</v>
      </c>
      <c r="N71" s="640">
        <f t="shared" si="52"/>
        <v>0</v>
      </c>
      <c r="O71" s="655"/>
      <c r="P71" s="81">
        <f t="shared" si="28"/>
        <v>0</v>
      </c>
      <c r="Q71" s="81">
        <f t="shared" si="29"/>
        <v>0</v>
      </c>
      <c r="R71" s="81">
        <f t="shared" si="30"/>
        <v>0</v>
      </c>
      <c r="S71" s="81">
        <f t="shared" si="26"/>
        <v>0</v>
      </c>
      <c r="T71" s="85">
        <f t="shared" si="27"/>
        <v>0</v>
      </c>
      <c r="U71" s="191"/>
      <c r="V71" s="195">
        <f t="shared" si="37"/>
        <v>0</v>
      </c>
    </row>
    <row r="72" spans="1:22" x14ac:dyDescent="0.25">
      <c r="A72" s="14" t="s">
        <v>79</v>
      </c>
      <c r="B72" s="20" t="s">
        <v>80</v>
      </c>
      <c r="C72" s="71">
        <v>15500000</v>
      </c>
      <c r="D72" s="69">
        <v>15500000</v>
      </c>
      <c r="E72" s="69">
        <v>15500000</v>
      </c>
      <c r="F72" s="69"/>
      <c r="G72" s="69"/>
      <c r="H72" s="81">
        <v>1442000</v>
      </c>
      <c r="I72" s="81">
        <v>1479000</v>
      </c>
      <c r="J72" s="81"/>
      <c r="K72" s="69"/>
      <c r="L72" s="640">
        <f t="shared" si="50"/>
        <v>9.3032258064516135E-2</v>
      </c>
      <c r="M72" s="640">
        <f t="shared" si="51"/>
        <v>9.5419354838709683E-2</v>
      </c>
      <c r="N72" s="640">
        <f t="shared" si="52"/>
        <v>0</v>
      </c>
      <c r="O72" s="655"/>
      <c r="P72" s="81">
        <f t="shared" si="28"/>
        <v>0</v>
      </c>
      <c r="Q72" s="81">
        <f t="shared" si="29"/>
        <v>0</v>
      </c>
      <c r="R72" s="81">
        <f t="shared" si="30"/>
        <v>0</v>
      </c>
      <c r="S72" s="81">
        <f t="shared" si="26"/>
        <v>0</v>
      </c>
      <c r="T72" s="85">
        <f t="shared" si="27"/>
        <v>0</v>
      </c>
      <c r="U72" s="191"/>
      <c r="V72" s="195">
        <f t="shared" si="37"/>
        <v>0</v>
      </c>
    </row>
    <row r="73" spans="1:22" ht="26.4" x14ac:dyDescent="0.25">
      <c r="B73" s="20" t="s">
        <v>110</v>
      </c>
      <c r="C73" s="71"/>
      <c r="D73" s="69"/>
      <c r="E73" s="69"/>
      <c r="F73" s="69"/>
      <c r="G73" s="69"/>
      <c r="H73" s="81"/>
      <c r="I73" s="81"/>
      <c r="J73" s="81"/>
      <c r="K73" s="69"/>
      <c r="L73" s="640"/>
      <c r="M73" s="640"/>
      <c r="N73" s="640"/>
      <c r="O73" s="655"/>
      <c r="P73" s="81">
        <f t="shared" si="28"/>
        <v>0</v>
      </c>
      <c r="Q73" s="81">
        <f t="shared" si="29"/>
        <v>0</v>
      </c>
      <c r="R73" s="81">
        <f t="shared" si="30"/>
        <v>0</v>
      </c>
      <c r="S73" s="81">
        <f t="shared" si="26"/>
        <v>0</v>
      </c>
      <c r="T73" s="85">
        <f t="shared" si="27"/>
        <v>0</v>
      </c>
      <c r="U73" s="191"/>
      <c r="V73" s="195">
        <f t="shared" si="37"/>
        <v>0</v>
      </c>
    </row>
    <row r="74" spans="1:22" x14ac:dyDescent="0.25">
      <c r="A74" s="14" t="s">
        <v>81</v>
      </c>
      <c r="B74" s="20" t="s">
        <v>82</v>
      </c>
      <c r="C74" s="71">
        <v>0</v>
      </c>
      <c r="D74" s="69">
        <v>0</v>
      </c>
      <c r="E74" s="69">
        <v>0</v>
      </c>
      <c r="F74" s="69"/>
      <c r="G74" s="69"/>
      <c r="H74" s="81"/>
      <c r="I74" s="81">
        <v>0</v>
      </c>
      <c r="J74" s="81"/>
      <c r="K74" s="69"/>
      <c r="L74" s="640">
        <f t="shared" ref="L74:L78" si="53">IF(H74&gt;0,H74/C74,0)</f>
        <v>0</v>
      </c>
      <c r="M74" s="640">
        <f t="shared" ref="M74:M78" si="54">IF(I74&gt;0,I74/D74,0)</f>
        <v>0</v>
      </c>
      <c r="N74" s="640">
        <f t="shared" ref="N74:N78" si="55">IF(J74&gt;0,J74/E74,0)</f>
        <v>0</v>
      </c>
      <c r="O74" s="655"/>
      <c r="P74" s="81">
        <f t="shared" si="28"/>
        <v>0</v>
      </c>
      <c r="Q74" s="81">
        <f t="shared" si="29"/>
        <v>0</v>
      </c>
      <c r="R74" s="81">
        <f t="shared" si="30"/>
        <v>0</v>
      </c>
      <c r="S74" s="81">
        <f t="shared" si="26"/>
        <v>0</v>
      </c>
      <c r="T74" s="85">
        <f t="shared" si="27"/>
        <v>0</v>
      </c>
      <c r="U74" s="191"/>
      <c r="V74" s="195">
        <f t="shared" si="37"/>
        <v>0</v>
      </c>
    </row>
    <row r="75" spans="1:22" ht="26.4" hidden="1" x14ac:dyDescent="0.25">
      <c r="B75" s="20" t="s">
        <v>83</v>
      </c>
      <c r="C75" s="71"/>
      <c r="D75" s="69"/>
      <c r="E75" s="69"/>
      <c r="F75" s="69"/>
      <c r="G75" s="69"/>
      <c r="H75" s="81"/>
      <c r="I75" s="81"/>
      <c r="J75" s="81"/>
      <c r="K75" s="69"/>
      <c r="L75" s="640">
        <f t="shared" si="53"/>
        <v>0</v>
      </c>
      <c r="M75" s="640">
        <f t="shared" si="54"/>
        <v>0</v>
      </c>
      <c r="N75" s="640">
        <f t="shared" si="55"/>
        <v>0</v>
      </c>
      <c r="O75" s="655"/>
      <c r="P75" s="81">
        <f t="shared" si="28"/>
        <v>0</v>
      </c>
      <c r="Q75" s="81">
        <f t="shared" si="29"/>
        <v>0</v>
      </c>
      <c r="R75" s="81">
        <f t="shared" si="30"/>
        <v>0</v>
      </c>
      <c r="S75" s="81">
        <f t="shared" si="26"/>
        <v>0</v>
      </c>
      <c r="T75" s="85">
        <f t="shared" si="27"/>
        <v>0</v>
      </c>
      <c r="U75" s="191"/>
      <c r="V75" s="195">
        <f t="shared" si="37"/>
        <v>0</v>
      </c>
    </row>
    <row r="76" spans="1:22" x14ac:dyDescent="0.25">
      <c r="A76" s="14" t="s">
        <v>84</v>
      </c>
      <c r="B76" s="20" t="s">
        <v>85</v>
      </c>
      <c r="C76" s="71">
        <v>0</v>
      </c>
      <c r="D76" s="69">
        <v>0</v>
      </c>
      <c r="E76" s="69">
        <v>0</v>
      </c>
      <c r="F76" s="69"/>
      <c r="G76" s="69"/>
      <c r="H76" s="81"/>
      <c r="I76" s="81">
        <v>0</v>
      </c>
      <c r="J76" s="81"/>
      <c r="K76" s="69"/>
      <c r="L76" s="640">
        <f t="shared" si="53"/>
        <v>0</v>
      </c>
      <c r="M76" s="640">
        <f t="shared" si="54"/>
        <v>0</v>
      </c>
      <c r="N76" s="640">
        <f t="shared" si="55"/>
        <v>0</v>
      </c>
      <c r="O76" s="655"/>
      <c r="P76" s="81">
        <f t="shared" si="28"/>
        <v>0</v>
      </c>
      <c r="Q76" s="81">
        <f t="shared" si="29"/>
        <v>0</v>
      </c>
      <c r="R76" s="81">
        <f t="shared" si="30"/>
        <v>0</v>
      </c>
      <c r="S76" s="81">
        <f t="shared" si="26"/>
        <v>0</v>
      </c>
      <c r="T76" s="85">
        <f t="shared" si="27"/>
        <v>0</v>
      </c>
      <c r="U76" s="191"/>
      <c r="V76" s="195">
        <f t="shared" si="37"/>
        <v>0</v>
      </c>
    </row>
    <row r="77" spans="1:22" x14ac:dyDescent="0.25">
      <c r="B77" s="20" t="s">
        <v>86</v>
      </c>
      <c r="C77" s="71"/>
      <c r="D77" s="69"/>
      <c r="E77" s="69"/>
      <c r="F77" s="69"/>
      <c r="G77" s="69"/>
      <c r="H77" s="81"/>
      <c r="I77" s="81"/>
      <c r="J77" s="81"/>
      <c r="K77" s="69"/>
      <c r="L77" s="640">
        <f t="shared" si="53"/>
        <v>0</v>
      </c>
      <c r="M77" s="640">
        <f t="shared" si="54"/>
        <v>0</v>
      </c>
      <c r="N77" s="640">
        <f t="shared" si="55"/>
        <v>0</v>
      </c>
      <c r="O77" s="655"/>
      <c r="P77" s="81">
        <f t="shared" si="28"/>
        <v>0</v>
      </c>
      <c r="Q77" s="81">
        <f t="shared" si="29"/>
        <v>0</v>
      </c>
      <c r="R77" s="81">
        <f t="shared" si="30"/>
        <v>0</v>
      </c>
      <c r="S77" s="81">
        <f t="shared" si="26"/>
        <v>0</v>
      </c>
      <c r="T77" s="85">
        <f t="shared" si="27"/>
        <v>0</v>
      </c>
      <c r="U77" s="191"/>
      <c r="V77" s="195">
        <f t="shared" ref="V77:V104" si="56">+S77-E77+C77</f>
        <v>0</v>
      </c>
    </row>
    <row r="78" spans="1:22" x14ac:dyDescent="0.25">
      <c r="A78" s="14" t="s">
        <v>87</v>
      </c>
      <c r="B78" s="20" t="s">
        <v>88</v>
      </c>
      <c r="C78" s="142">
        <v>3000000</v>
      </c>
      <c r="D78" s="69">
        <v>3000000</v>
      </c>
      <c r="E78" s="69">
        <v>3000000</v>
      </c>
      <c r="F78" s="69"/>
      <c r="G78" s="69"/>
      <c r="H78" s="81">
        <v>639420</v>
      </c>
      <c r="I78" s="81">
        <v>1073659</v>
      </c>
      <c r="J78" s="81"/>
      <c r="K78" s="69"/>
      <c r="L78" s="640">
        <f t="shared" si="53"/>
        <v>0.21314</v>
      </c>
      <c r="M78" s="640">
        <f t="shared" si="54"/>
        <v>0.35788633333333331</v>
      </c>
      <c r="N78" s="640">
        <f t="shared" si="55"/>
        <v>0</v>
      </c>
      <c r="O78" s="655"/>
      <c r="P78" s="81">
        <f t="shared" si="28"/>
        <v>0</v>
      </c>
      <c r="Q78" s="81">
        <f t="shared" si="29"/>
        <v>0</v>
      </c>
      <c r="R78" s="81">
        <f t="shared" si="30"/>
        <v>0</v>
      </c>
      <c r="S78" s="81">
        <f t="shared" si="26"/>
        <v>0</v>
      </c>
      <c r="T78" s="85">
        <f t="shared" si="27"/>
        <v>0</v>
      </c>
      <c r="U78" s="191"/>
      <c r="V78" s="195">
        <f t="shared" si="56"/>
        <v>0</v>
      </c>
    </row>
    <row r="79" spans="1:22" ht="41.4" x14ac:dyDescent="0.25">
      <c r="B79" s="596" t="s">
        <v>92</v>
      </c>
      <c r="C79" s="71"/>
      <c r="D79" s="69"/>
      <c r="E79" s="69"/>
      <c r="F79" s="69"/>
      <c r="G79" s="69"/>
      <c r="H79" s="81"/>
      <c r="I79" s="81"/>
      <c r="J79" s="81"/>
      <c r="K79" s="69"/>
      <c r="L79" s="640"/>
      <c r="M79" s="640"/>
      <c r="N79" s="640"/>
      <c r="O79" s="655"/>
      <c r="P79" s="81">
        <f t="shared" si="28"/>
        <v>0</v>
      </c>
      <c r="Q79" s="81">
        <f t="shared" si="29"/>
        <v>0</v>
      </c>
      <c r="R79" s="81">
        <f t="shared" si="30"/>
        <v>0</v>
      </c>
      <c r="S79" s="81">
        <f t="shared" si="26"/>
        <v>0</v>
      </c>
      <c r="T79" s="85">
        <f t="shared" si="27"/>
        <v>0</v>
      </c>
      <c r="U79" s="191"/>
      <c r="V79" s="195">
        <f t="shared" si="56"/>
        <v>0</v>
      </c>
    </row>
    <row r="80" spans="1:22" x14ac:dyDescent="0.25">
      <c r="A80" s="29"/>
      <c r="B80" s="21"/>
      <c r="C80" s="71"/>
      <c r="D80" s="69"/>
      <c r="E80" s="69"/>
      <c r="F80" s="69"/>
      <c r="G80" s="69"/>
      <c r="H80" s="81"/>
      <c r="I80" s="81"/>
      <c r="J80" s="81"/>
      <c r="K80" s="69"/>
      <c r="L80" s="640"/>
      <c r="M80" s="640"/>
      <c r="N80" s="640"/>
      <c r="O80" s="655"/>
      <c r="P80" s="81"/>
      <c r="Q80" s="81"/>
      <c r="R80" s="81"/>
      <c r="S80" s="81"/>
      <c r="T80" s="85"/>
      <c r="U80" s="191"/>
      <c r="V80" s="195">
        <f t="shared" si="56"/>
        <v>0</v>
      </c>
    </row>
    <row r="81" spans="1:22" x14ac:dyDescent="0.25">
      <c r="A81" s="4" t="s">
        <v>111</v>
      </c>
      <c r="B81" s="3" t="s">
        <v>112</v>
      </c>
      <c r="C81" s="66">
        <f t="shared" ref="C81" si="57">SUM(C82:C105)</f>
        <v>16000000</v>
      </c>
      <c r="D81" s="66">
        <f>SUM(D82:D105)</f>
        <v>16000000</v>
      </c>
      <c r="E81" s="66">
        <f>SUM(E82:E105)</f>
        <v>16000000</v>
      </c>
      <c r="F81" s="66">
        <f>SUM(F82:F105)</f>
        <v>0</v>
      </c>
      <c r="G81" s="66"/>
      <c r="H81" s="83">
        <f>SUM(H82:H105)</f>
        <v>4998433</v>
      </c>
      <c r="I81" s="83">
        <f>SUM(I82:I105)</f>
        <v>8147040</v>
      </c>
      <c r="J81" s="83">
        <f>SUM(J82:J105)</f>
        <v>0</v>
      </c>
      <c r="K81" s="66"/>
      <c r="L81" s="641">
        <f t="shared" ref="L81:L92" si="58">IF(H81&gt;0,H81/C81,0)</f>
        <v>0.31240206250000002</v>
      </c>
      <c r="M81" s="641">
        <f t="shared" ref="M81:M92" si="59">IF(I81&gt;0,I81/D81,0)</f>
        <v>0.50919000000000003</v>
      </c>
      <c r="N81" s="641">
        <f t="shared" ref="N81:N92" si="60">IF(J81&gt;0,J81/E81,0)</f>
        <v>0</v>
      </c>
      <c r="O81" s="656"/>
      <c r="P81" s="83">
        <f t="shared" ref="P81:R82" si="61">IF(D81&gt;0,+D81-C81,0)</f>
        <v>0</v>
      </c>
      <c r="Q81" s="83">
        <f t="shared" si="61"/>
        <v>0</v>
      </c>
      <c r="R81" s="83">
        <f t="shared" si="61"/>
        <v>0</v>
      </c>
      <c r="S81" s="83">
        <f t="shared" ref="S81:S103" si="62">+P81*P$8+Q81*Q$8+Q81*G$8</f>
        <v>0</v>
      </c>
      <c r="T81" s="85">
        <f t="shared" ref="T81:T104" si="63">IF(C81=0,0,+S81/C81)</f>
        <v>0</v>
      </c>
      <c r="U81" s="193"/>
      <c r="V81" s="195">
        <f t="shared" si="56"/>
        <v>0</v>
      </c>
    </row>
    <row r="82" spans="1:22" x14ac:dyDescent="0.25">
      <c r="A82" s="14" t="s">
        <v>113</v>
      </c>
      <c r="B82" s="20" t="s">
        <v>114</v>
      </c>
      <c r="C82" s="71"/>
      <c r="D82" s="69"/>
      <c r="E82" s="269"/>
      <c r="F82" s="69"/>
      <c r="G82" s="69"/>
      <c r="H82" s="81"/>
      <c r="I82" s="81"/>
      <c r="J82" s="81"/>
      <c r="K82" s="69"/>
      <c r="L82" s="640">
        <f t="shared" si="58"/>
        <v>0</v>
      </c>
      <c r="M82" s="640">
        <f t="shared" si="59"/>
        <v>0</v>
      </c>
      <c r="N82" s="640">
        <f t="shared" si="60"/>
        <v>0</v>
      </c>
      <c r="O82" s="655"/>
      <c r="P82" s="81">
        <f t="shared" si="61"/>
        <v>0</v>
      </c>
      <c r="Q82" s="81">
        <f t="shared" si="61"/>
        <v>0</v>
      </c>
      <c r="R82" s="81">
        <f t="shared" si="61"/>
        <v>0</v>
      </c>
      <c r="S82" s="81">
        <f t="shared" si="62"/>
        <v>0</v>
      </c>
      <c r="T82" s="85">
        <f t="shared" si="63"/>
        <v>0</v>
      </c>
      <c r="U82" s="191"/>
      <c r="V82" s="195">
        <f t="shared" si="56"/>
        <v>0</v>
      </c>
    </row>
    <row r="83" spans="1:22" ht="41.4" x14ac:dyDescent="0.25">
      <c r="B83" s="596" t="s">
        <v>361</v>
      </c>
      <c r="C83" s="71"/>
      <c r="D83" s="69">
        <v>0</v>
      </c>
      <c r="E83" s="69">
        <v>0</v>
      </c>
      <c r="F83" s="69"/>
      <c r="G83" s="69"/>
      <c r="H83" s="81">
        <v>0</v>
      </c>
      <c r="I83" s="81">
        <v>0</v>
      </c>
      <c r="J83" s="81"/>
      <c r="K83" s="69"/>
      <c r="L83" s="640">
        <f t="shared" si="58"/>
        <v>0</v>
      </c>
      <c r="M83" s="640">
        <f t="shared" si="59"/>
        <v>0</v>
      </c>
      <c r="N83" s="640">
        <f t="shared" si="60"/>
        <v>0</v>
      </c>
      <c r="O83" s="655"/>
      <c r="P83" s="81">
        <f t="shared" ref="P83:P104" si="64">+(D83-C83)*P$8</f>
        <v>0</v>
      </c>
      <c r="Q83" s="81">
        <f t="shared" ref="Q83:Q104" si="65">+(E83-D83)*Q$8</f>
        <v>0</v>
      </c>
      <c r="R83" s="81">
        <f t="shared" ref="R83:R104" si="66">+(F83-E83)*R$8</f>
        <v>0</v>
      </c>
      <c r="S83" s="81">
        <f t="shared" si="62"/>
        <v>0</v>
      </c>
      <c r="T83" s="85">
        <f t="shared" si="63"/>
        <v>0</v>
      </c>
      <c r="U83" s="191"/>
      <c r="V83" s="195">
        <f t="shared" si="56"/>
        <v>0</v>
      </c>
    </row>
    <row r="84" spans="1:22" x14ac:dyDescent="0.25">
      <c r="A84" s="14" t="s">
        <v>115</v>
      </c>
      <c r="B84" s="20" t="s">
        <v>116</v>
      </c>
      <c r="C84" s="71">
        <v>0</v>
      </c>
      <c r="D84" s="69">
        <v>0</v>
      </c>
      <c r="E84" s="69">
        <f>I84*1.13</f>
        <v>0</v>
      </c>
      <c r="F84" s="69"/>
      <c r="G84" s="69"/>
      <c r="H84" s="81">
        <v>0</v>
      </c>
      <c r="I84" s="81"/>
      <c r="J84" s="81"/>
      <c r="K84" s="69"/>
      <c r="L84" s="640">
        <f t="shared" si="58"/>
        <v>0</v>
      </c>
      <c r="M84" s="640">
        <f t="shared" si="59"/>
        <v>0</v>
      </c>
      <c r="N84" s="640">
        <f t="shared" si="60"/>
        <v>0</v>
      </c>
      <c r="O84" s="655"/>
      <c r="P84" s="81">
        <f t="shared" si="64"/>
        <v>0</v>
      </c>
      <c r="Q84" s="81">
        <f t="shared" si="65"/>
        <v>0</v>
      </c>
      <c r="R84" s="81">
        <f t="shared" si="66"/>
        <v>0</v>
      </c>
      <c r="S84" s="81">
        <f t="shared" si="62"/>
        <v>0</v>
      </c>
      <c r="T84" s="85">
        <f t="shared" si="63"/>
        <v>0</v>
      </c>
      <c r="U84" s="191"/>
      <c r="V84" s="195">
        <f t="shared" si="56"/>
        <v>0</v>
      </c>
    </row>
    <row r="85" spans="1:22" x14ac:dyDescent="0.25">
      <c r="B85" s="20" t="s">
        <v>117</v>
      </c>
      <c r="C85" s="71"/>
      <c r="D85" s="69"/>
      <c r="E85" s="69">
        <f>I85*1.13</f>
        <v>0</v>
      </c>
      <c r="F85" s="69"/>
      <c r="G85" s="69"/>
      <c r="H85" s="81"/>
      <c r="I85" s="81"/>
      <c r="J85" s="81"/>
      <c r="K85" s="69"/>
      <c r="L85" s="640">
        <f t="shared" si="58"/>
        <v>0</v>
      </c>
      <c r="M85" s="640">
        <f t="shared" si="59"/>
        <v>0</v>
      </c>
      <c r="N85" s="640">
        <f t="shared" si="60"/>
        <v>0</v>
      </c>
      <c r="O85" s="655"/>
      <c r="P85" s="81">
        <f t="shared" si="64"/>
        <v>0</v>
      </c>
      <c r="Q85" s="81">
        <f t="shared" si="65"/>
        <v>0</v>
      </c>
      <c r="R85" s="81">
        <f t="shared" si="66"/>
        <v>0</v>
      </c>
      <c r="S85" s="81">
        <f t="shared" si="62"/>
        <v>0</v>
      </c>
      <c r="T85" s="85">
        <f t="shared" si="63"/>
        <v>0</v>
      </c>
      <c r="U85" s="191"/>
      <c r="V85" s="195">
        <f t="shared" si="56"/>
        <v>0</v>
      </c>
    </row>
    <row r="86" spans="1:22" x14ac:dyDescent="0.25">
      <c r="B86" s="20" t="s">
        <v>118</v>
      </c>
      <c r="C86" s="71"/>
      <c r="D86" s="69"/>
      <c r="E86" s="69">
        <f>I86*1.13</f>
        <v>0</v>
      </c>
      <c r="F86" s="69"/>
      <c r="G86" s="69"/>
      <c r="H86" s="81">
        <v>0</v>
      </c>
      <c r="I86" s="81"/>
      <c r="J86" s="81"/>
      <c r="K86" s="69"/>
      <c r="L86" s="640">
        <f t="shared" si="58"/>
        <v>0</v>
      </c>
      <c r="M86" s="640">
        <f t="shared" si="59"/>
        <v>0</v>
      </c>
      <c r="N86" s="640">
        <f t="shared" si="60"/>
        <v>0</v>
      </c>
      <c r="O86" s="655"/>
      <c r="P86" s="81">
        <f t="shared" si="64"/>
        <v>0</v>
      </c>
      <c r="Q86" s="81">
        <f t="shared" si="65"/>
        <v>0</v>
      </c>
      <c r="R86" s="81">
        <f t="shared" si="66"/>
        <v>0</v>
      </c>
      <c r="S86" s="81">
        <f t="shared" si="62"/>
        <v>0</v>
      </c>
      <c r="T86" s="85">
        <f t="shared" si="63"/>
        <v>0</v>
      </c>
      <c r="U86" s="191"/>
      <c r="V86" s="195">
        <f t="shared" si="56"/>
        <v>0</v>
      </c>
    </row>
    <row r="87" spans="1:22" x14ac:dyDescent="0.25">
      <c r="B87" s="20" t="s">
        <v>119</v>
      </c>
      <c r="C87" s="71"/>
      <c r="D87" s="69">
        <v>0</v>
      </c>
      <c r="E87" s="69">
        <v>0</v>
      </c>
      <c r="F87" s="69"/>
      <c r="G87" s="69"/>
      <c r="H87" s="81">
        <v>0</v>
      </c>
      <c r="I87" s="81">
        <v>0</v>
      </c>
      <c r="J87" s="81"/>
      <c r="K87" s="69"/>
      <c r="L87" s="640">
        <f t="shared" si="58"/>
        <v>0</v>
      </c>
      <c r="M87" s="640">
        <f t="shared" si="59"/>
        <v>0</v>
      </c>
      <c r="N87" s="640">
        <f t="shared" si="60"/>
        <v>0</v>
      </c>
      <c r="O87" s="655"/>
      <c r="P87" s="81">
        <f t="shared" si="64"/>
        <v>0</v>
      </c>
      <c r="Q87" s="81">
        <f t="shared" si="65"/>
        <v>0</v>
      </c>
      <c r="R87" s="81">
        <f t="shared" si="66"/>
        <v>0</v>
      </c>
      <c r="S87" s="81">
        <f t="shared" si="62"/>
        <v>0</v>
      </c>
      <c r="T87" s="85">
        <f t="shared" si="63"/>
        <v>0</v>
      </c>
      <c r="U87" s="191"/>
      <c r="V87" s="195">
        <f t="shared" si="56"/>
        <v>0</v>
      </c>
    </row>
    <row r="88" spans="1:22" x14ac:dyDescent="0.25">
      <c r="A88" s="14" t="s">
        <v>120</v>
      </c>
      <c r="B88" s="20" t="s">
        <v>121</v>
      </c>
      <c r="C88" s="71">
        <v>0</v>
      </c>
      <c r="D88" s="69">
        <v>0</v>
      </c>
      <c r="E88" s="69">
        <v>0</v>
      </c>
      <c r="F88" s="69"/>
      <c r="G88" s="69"/>
      <c r="H88" s="81">
        <v>0</v>
      </c>
      <c r="I88" s="81">
        <v>0</v>
      </c>
      <c r="J88" s="81"/>
      <c r="K88" s="69"/>
      <c r="L88" s="640">
        <f t="shared" si="58"/>
        <v>0</v>
      </c>
      <c r="M88" s="640">
        <f t="shared" si="59"/>
        <v>0</v>
      </c>
      <c r="N88" s="640">
        <f t="shared" si="60"/>
        <v>0</v>
      </c>
      <c r="O88" s="655"/>
      <c r="P88" s="81">
        <f t="shared" si="64"/>
        <v>0</v>
      </c>
      <c r="Q88" s="81">
        <f t="shared" si="65"/>
        <v>0</v>
      </c>
      <c r="R88" s="81">
        <f t="shared" si="66"/>
        <v>0</v>
      </c>
      <c r="S88" s="81">
        <f t="shared" si="62"/>
        <v>0</v>
      </c>
      <c r="T88" s="85">
        <f t="shared" si="63"/>
        <v>0</v>
      </c>
      <c r="U88" s="191"/>
      <c r="V88" s="195">
        <f t="shared" si="56"/>
        <v>0</v>
      </c>
    </row>
    <row r="89" spans="1:22" x14ac:dyDescent="0.25">
      <c r="B89" s="20" t="s">
        <v>122</v>
      </c>
      <c r="C89" s="71"/>
      <c r="D89" s="69"/>
      <c r="E89" s="69"/>
      <c r="F89" s="69"/>
      <c r="G89" s="69"/>
      <c r="H89" s="81"/>
      <c r="I89" s="81"/>
      <c r="J89" s="81"/>
      <c r="K89" s="69"/>
      <c r="L89" s="640">
        <f t="shared" si="58"/>
        <v>0</v>
      </c>
      <c r="M89" s="640">
        <f t="shared" si="59"/>
        <v>0</v>
      </c>
      <c r="N89" s="640">
        <f t="shared" si="60"/>
        <v>0</v>
      </c>
      <c r="O89" s="655"/>
      <c r="P89" s="81">
        <f t="shared" si="64"/>
        <v>0</v>
      </c>
      <c r="Q89" s="81">
        <f t="shared" si="65"/>
        <v>0</v>
      </c>
      <c r="R89" s="81">
        <f t="shared" si="66"/>
        <v>0</v>
      </c>
      <c r="S89" s="81">
        <f t="shared" si="62"/>
        <v>0</v>
      </c>
      <c r="T89" s="85">
        <f t="shared" si="63"/>
        <v>0</v>
      </c>
      <c r="U89" s="191"/>
      <c r="V89" s="195">
        <f t="shared" si="56"/>
        <v>0</v>
      </c>
    </row>
    <row r="90" spans="1:22" x14ac:dyDescent="0.25">
      <c r="A90" s="14" t="s">
        <v>123</v>
      </c>
      <c r="B90" s="20" t="s">
        <v>124</v>
      </c>
      <c r="C90" s="71">
        <v>0</v>
      </c>
      <c r="D90" s="69"/>
      <c r="E90" s="69">
        <v>0</v>
      </c>
      <c r="F90" s="69"/>
      <c r="G90" s="69"/>
      <c r="H90" s="81"/>
      <c r="I90" s="81">
        <v>0</v>
      </c>
      <c r="J90" s="81"/>
      <c r="K90" s="69"/>
      <c r="L90" s="640">
        <f t="shared" si="58"/>
        <v>0</v>
      </c>
      <c r="M90" s="640">
        <f t="shared" si="59"/>
        <v>0</v>
      </c>
      <c r="N90" s="640">
        <f t="shared" si="60"/>
        <v>0</v>
      </c>
      <c r="O90" s="655"/>
      <c r="P90" s="81">
        <f t="shared" si="64"/>
        <v>0</v>
      </c>
      <c r="Q90" s="81">
        <f t="shared" si="65"/>
        <v>0</v>
      </c>
      <c r="R90" s="81">
        <f t="shared" si="66"/>
        <v>0</v>
      </c>
      <c r="S90" s="81">
        <f t="shared" si="62"/>
        <v>0</v>
      </c>
      <c r="T90" s="85">
        <f t="shared" si="63"/>
        <v>0</v>
      </c>
      <c r="U90" s="191"/>
      <c r="V90" s="195">
        <f t="shared" si="56"/>
        <v>0</v>
      </c>
    </row>
    <row r="91" spans="1:22" x14ac:dyDescent="0.25">
      <c r="B91" s="20" t="s">
        <v>125</v>
      </c>
      <c r="C91" s="71"/>
      <c r="D91" s="69"/>
      <c r="E91" s="69">
        <v>0</v>
      </c>
      <c r="F91" s="69"/>
      <c r="G91" s="69"/>
      <c r="H91" s="81">
        <v>0</v>
      </c>
      <c r="I91" s="81">
        <v>0</v>
      </c>
      <c r="J91" s="81"/>
      <c r="K91" s="69"/>
      <c r="L91" s="640">
        <f t="shared" si="58"/>
        <v>0</v>
      </c>
      <c r="M91" s="640">
        <f t="shared" si="59"/>
        <v>0</v>
      </c>
      <c r="N91" s="640">
        <f t="shared" si="60"/>
        <v>0</v>
      </c>
      <c r="O91" s="655"/>
      <c r="P91" s="81">
        <f t="shared" si="64"/>
        <v>0</v>
      </c>
      <c r="Q91" s="81">
        <f t="shared" si="65"/>
        <v>0</v>
      </c>
      <c r="R91" s="81">
        <f t="shared" si="66"/>
        <v>0</v>
      </c>
      <c r="S91" s="81">
        <f t="shared" si="62"/>
        <v>0</v>
      </c>
      <c r="T91" s="85">
        <f t="shared" si="63"/>
        <v>0</v>
      </c>
      <c r="U91" s="191"/>
      <c r="V91" s="195">
        <f t="shared" si="56"/>
        <v>0</v>
      </c>
    </row>
    <row r="92" spans="1:22" x14ac:dyDescent="0.25">
      <c r="A92" s="14" t="s">
        <v>126</v>
      </c>
      <c r="B92" s="20" t="s">
        <v>127</v>
      </c>
      <c r="C92" s="71">
        <v>16000000</v>
      </c>
      <c r="D92" s="69">
        <v>16000000</v>
      </c>
      <c r="E92" s="69">
        <v>16000000</v>
      </c>
      <c r="F92" s="69"/>
      <c r="G92" s="69"/>
      <c r="H92" s="81">
        <v>4998433</v>
      </c>
      <c r="I92" s="81">
        <v>8147040</v>
      </c>
      <c r="J92" s="81"/>
      <c r="K92" s="69"/>
      <c r="L92" s="640">
        <f t="shared" si="58"/>
        <v>0.31240206250000002</v>
      </c>
      <c r="M92" s="640">
        <f t="shared" si="59"/>
        <v>0.50919000000000003</v>
      </c>
      <c r="N92" s="640">
        <f t="shared" si="60"/>
        <v>0</v>
      </c>
      <c r="O92" s="655"/>
      <c r="P92" s="81">
        <f t="shared" si="64"/>
        <v>0</v>
      </c>
      <c r="Q92" s="81">
        <f t="shared" si="65"/>
        <v>0</v>
      </c>
      <c r="R92" s="81">
        <f t="shared" si="66"/>
        <v>0</v>
      </c>
      <c r="S92" s="81">
        <f t="shared" si="62"/>
        <v>0</v>
      </c>
      <c r="T92" s="85">
        <f t="shared" si="63"/>
        <v>0</v>
      </c>
      <c r="U92" s="191"/>
      <c r="V92" s="195">
        <f t="shared" si="56"/>
        <v>0</v>
      </c>
    </row>
    <row r="93" spans="1:22" ht="21" x14ac:dyDescent="0.25">
      <c r="B93" s="596" t="s">
        <v>128</v>
      </c>
      <c r="C93" s="597"/>
      <c r="D93" s="598"/>
      <c r="E93" s="69"/>
      <c r="F93" s="69"/>
      <c r="G93" s="69"/>
      <c r="H93" s="81"/>
      <c r="I93" s="81"/>
      <c r="J93" s="81"/>
      <c r="K93" s="69"/>
      <c r="L93" s="640"/>
      <c r="M93" s="640"/>
      <c r="N93" s="640"/>
      <c r="O93" s="655"/>
      <c r="P93" s="81">
        <f t="shared" si="64"/>
        <v>0</v>
      </c>
      <c r="Q93" s="81">
        <f t="shared" si="65"/>
        <v>0</v>
      </c>
      <c r="R93" s="81">
        <f t="shared" si="66"/>
        <v>0</v>
      </c>
      <c r="S93" s="81">
        <f t="shared" si="62"/>
        <v>0</v>
      </c>
      <c r="T93" s="85">
        <f t="shared" si="63"/>
        <v>0</v>
      </c>
      <c r="U93" s="191"/>
      <c r="V93" s="195">
        <f t="shared" si="56"/>
        <v>0</v>
      </c>
    </row>
    <row r="94" spans="1:22" x14ac:dyDescent="0.25">
      <c r="B94" s="20" t="s">
        <v>129</v>
      </c>
      <c r="C94" s="71"/>
      <c r="D94" s="69"/>
      <c r="E94" s="69"/>
      <c r="F94" s="69"/>
      <c r="G94" s="69"/>
      <c r="H94" s="81"/>
      <c r="I94" s="81"/>
      <c r="J94" s="81"/>
      <c r="K94" s="69"/>
      <c r="L94" s="640"/>
      <c r="M94" s="640"/>
      <c r="N94" s="640"/>
      <c r="O94" s="655"/>
      <c r="P94" s="81">
        <f t="shared" si="64"/>
        <v>0</v>
      </c>
      <c r="Q94" s="81">
        <f t="shared" si="65"/>
        <v>0</v>
      </c>
      <c r="R94" s="81">
        <f t="shared" si="66"/>
        <v>0</v>
      </c>
      <c r="S94" s="81">
        <f t="shared" si="62"/>
        <v>0</v>
      </c>
      <c r="T94" s="85">
        <f t="shared" si="63"/>
        <v>0</v>
      </c>
      <c r="U94" s="191"/>
      <c r="V94" s="195">
        <f t="shared" si="56"/>
        <v>0</v>
      </c>
    </row>
    <row r="95" spans="1:22" x14ac:dyDescent="0.25">
      <c r="B95" s="20" t="s">
        <v>130</v>
      </c>
      <c r="C95" s="71"/>
      <c r="D95" s="69"/>
      <c r="E95" s="69"/>
      <c r="F95" s="69"/>
      <c r="G95" s="69"/>
      <c r="H95" s="81"/>
      <c r="I95" s="81"/>
      <c r="J95" s="81"/>
      <c r="K95" s="69"/>
      <c r="L95" s="640"/>
      <c r="M95" s="640"/>
      <c r="N95" s="640"/>
      <c r="O95" s="655"/>
      <c r="P95" s="81">
        <f t="shared" si="64"/>
        <v>0</v>
      </c>
      <c r="Q95" s="81">
        <f t="shared" si="65"/>
        <v>0</v>
      </c>
      <c r="R95" s="81">
        <f t="shared" si="66"/>
        <v>0</v>
      </c>
      <c r="S95" s="81">
        <f t="shared" si="62"/>
        <v>0</v>
      </c>
      <c r="T95" s="85">
        <f t="shared" si="63"/>
        <v>0</v>
      </c>
      <c r="U95" s="191"/>
      <c r="V95" s="195">
        <f t="shared" si="56"/>
        <v>0</v>
      </c>
    </row>
    <row r="96" spans="1:22" x14ac:dyDescent="0.25">
      <c r="B96" s="20" t="s">
        <v>131</v>
      </c>
      <c r="C96" s="71"/>
      <c r="D96" s="69"/>
      <c r="E96" s="69"/>
      <c r="F96" s="69"/>
      <c r="G96" s="69"/>
      <c r="H96" s="81"/>
      <c r="I96" s="81"/>
      <c r="J96" s="81"/>
      <c r="K96" s="69"/>
      <c r="L96" s="640"/>
      <c r="M96" s="640"/>
      <c r="N96" s="640"/>
      <c r="O96" s="655"/>
      <c r="P96" s="81">
        <f t="shared" si="64"/>
        <v>0</v>
      </c>
      <c r="Q96" s="81">
        <f t="shared" si="65"/>
        <v>0</v>
      </c>
      <c r="R96" s="81">
        <f t="shared" si="66"/>
        <v>0</v>
      </c>
      <c r="S96" s="81">
        <f t="shared" si="62"/>
        <v>0</v>
      </c>
      <c r="T96" s="85">
        <f t="shared" si="63"/>
        <v>0</v>
      </c>
      <c r="U96" s="191"/>
      <c r="V96" s="195">
        <f t="shared" si="56"/>
        <v>0</v>
      </c>
    </row>
    <row r="97" spans="1:22" x14ac:dyDescent="0.25">
      <c r="B97" s="20" t="s">
        <v>132</v>
      </c>
      <c r="C97" s="71"/>
      <c r="D97" s="69"/>
      <c r="E97" s="69"/>
      <c r="F97" s="69"/>
      <c r="G97" s="69"/>
      <c r="H97" s="81"/>
      <c r="I97" s="81"/>
      <c r="J97" s="81"/>
      <c r="K97" s="69"/>
      <c r="L97" s="640"/>
      <c r="M97" s="640"/>
      <c r="N97" s="640"/>
      <c r="O97" s="655"/>
      <c r="P97" s="81">
        <f t="shared" si="64"/>
        <v>0</v>
      </c>
      <c r="Q97" s="81">
        <f t="shared" si="65"/>
        <v>0</v>
      </c>
      <c r="R97" s="81">
        <f t="shared" si="66"/>
        <v>0</v>
      </c>
      <c r="S97" s="81">
        <f t="shared" si="62"/>
        <v>0</v>
      </c>
      <c r="T97" s="85">
        <f t="shared" si="63"/>
        <v>0</v>
      </c>
      <c r="U97" s="191"/>
      <c r="V97" s="195">
        <f t="shared" si="56"/>
        <v>0</v>
      </c>
    </row>
    <row r="98" spans="1:22" x14ac:dyDescent="0.25">
      <c r="B98" s="20" t="s">
        <v>133</v>
      </c>
      <c r="C98" s="71"/>
      <c r="D98" s="69"/>
      <c r="E98" s="69"/>
      <c r="F98" s="69"/>
      <c r="G98" s="69"/>
      <c r="H98" s="81"/>
      <c r="I98" s="81"/>
      <c r="J98" s="81"/>
      <c r="K98" s="69"/>
      <c r="L98" s="640"/>
      <c r="M98" s="640"/>
      <c r="N98" s="640"/>
      <c r="O98" s="655"/>
      <c r="P98" s="81">
        <f t="shared" si="64"/>
        <v>0</v>
      </c>
      <c r="Q98" s="81">
        <f t="shared" si="65"/>
        <v>0</v>
      </c>
      <c r="R98" s="81">
        <f t="shared" si="66"/>
        <v>0</v>
      </c>
      <c r="S98" s="81">
        <f t="shared" si="62"/>
        <v>0</v>
      </c>
      <c r="T98" s="85">
        <f t="shared" si="63"/>
        <v>0</v>
      </c>
      <c r="U98" s="191"/>
      <c r="V98" s="195">
        <f t="shared" si="56"/>
        <v>0</v>
      </c>
    </row>
    <row r="99" spans="1:22" x14ac:dyDescent="0.25">
      <c r="B99" s="20" t="s">
        <v>134</v>
      </c>
      <c r="C99" s="71"/>
      <c r="D99" s="69"/>
      <c r="E99" s="69"/>
      <c r="F99" s="69"/>
      <c r="G99" s="69"/>
      <c r="H99" s="81"/>
      <c r="I99" s="81"/>
      <c r="J99" s="81"/>
      <c r="K99" s="69"/>
      <c r="L99" s="640"/>
      <c r="M99" s="640"/>
      <c r="N99" s="640"/>
      <c r="O99" s="655"/>
      <c r="P99" s="81">
        <f t="shared" si="64"/>
        <v>0</v>
      </c>
      <c r="Q99" s="81">
        <f t="shared" si="65"/>
        <v>0</v>
      </c>
      <c r="R99" s="81">
        <f t="shared" si="66"/>
        <v>0</v>
      </c>
      <c r="S99" s="81">
        <f t="shared" si="62"/>
        <v>0</v>
      </c>
      <c r="T99" s="85">
        <f t="shared" si="63"/>
        <v>0</v>
      </c>
      <c r="U99" s="191"/>
      <c r="V99" s="195">
        <f t="shared" si="56"/>
        <v>0</v>
      </c>
    </row>
    <row r="100" spans="1:22" x14ac:dyDescent="0.25">
      <c r="B100" s="20" t="s">
        <v>135</v>
      </c>
      <c r="C100" s="71"/>
      <c r="D100" s="69"/>
      <c r="E100" s="69"/>
      <c r="F100" s="69"/>
      <c r="G100" s="69"/>
      <c r="H100" s="81"/>
      <c r="I100" s="81"/>
      <c r="J100" s="81"/>
      <c r="K100" s="69"/>
      <c r="L100" s="640"/>
      <c r="M100" s="640"/>
      <c r="N100" s="640"/>
      <c r="O100" s="655"/>
      <c r="P100" s="81">
        <f t="shared" si="64"/>
        <v>0</v>
      </c>
      <c r="Q100" s="81">
        <f t="shared" si="65"/>
        <v>0</v>
      </c>
      <c r="R100" s="81">
        <f t="shared" si="66"/>
        <v>0</v>
      </c>
      <c r="S100" s="81">
        <f t="shared" si="62"/>
        <v>0</v>
      </c>
      <c r="T100" s="85">
        <f t="shared" si="63"/>
        <v>0</v>
      </c>
      <c r="U100" s="191"/>
      <c r="V100" s="195">
        <f t="shared" si="56"/>
        <v>0</v>
      </c>
    </row>
    <row r="101" spans="1:22" x14ac:dyDescent="0.25">
      <c r="B101" s="20" t="s">
        <v>136</v>
      </c>
      <c r="C101" s="71"/>
      <c r="D101" s="69"/>
      <c r="E101" s="69"/>
      <c r="F101" s="69"/>
      <c r="G101" s="69"/>
      <c r="H101" s="81"/>
      <c r="I101" s="81"/>
      <c r="J101" s="81"/>
      <c r="K101" s="69"/>
      <c r="L101" s="640"/>
      <c r="M101" s="640"/>
      <c r="N101" s="640"/>
      <c r="O101" s="655"/>
      <c r="P101" s="81">
        <f t="shared" si="64"/>
        <v>0</v>
      </c>
      <c r="Q101" s="81">
        <f t="shared" si="65"/>
        <v>0</v>
      </c>
      <c r="R101" s="81">
        <f t="shared" si="66"/>
        <v>0</v>
      </c>
      <c r="S101" s="81">
        <f t="shared" si="62"/>
        <v>0</v>
      </c>
      <c r="T101" s="85">
        <f t="shared" si="63"/>
        <v>0</v>
      </c>
      <c r="U101" s="191"/>
      <c r="V101" s="195">
        <f t="shared" si="56"/>
        <v>0</v>
      </c>
    </row>
    <row r="102" spans="1:22" x14ac:dyDescent="0.25">
      <c r="B102" s="20" t="s">
        <v>137</v>
      </c>
      <c r="C102" s="71"/>
      <c r="D102" s="69"/>
      <c r="E102" s="69"/>
      <c r="F102" s="69"/>
      <c r="G102" s="69"/>
      <c r="H102" s="81"/>
      <c r="I102" s="81"/>
      <c r="J102" s="81"/>
      <c r="K102" s="69"/>
      <c r="L102" s="640"/>
      <c r="M102" s="640"/>
      <c r="N102" s="640"/>
      <c r="O102" s="655"/>
      <c r="P102" s="81">
        <f t="shared" si="64"/>
        <v>0</v>
      </c>
      <c r="Q102" s="81">
        <f t="shared" si="65"/>
        <v>0</v>
      </c>
      <c r="R102" s="81">
        <f t="shared" si="66"/>
        <v>0</v>
      </c>
      <c r="S102" s="81">
        <f t="shared" si="62"/>
        <v>0</v>
      </c>
      <c r="T102" s="85">
        <f t="shared" si="63"/>
        <v>0</v>
      </c>
      <c r="U102" s="191"/>
      <c r="V102" s="195">
        <f t="shared" si="56"/>
        <v>0</v>
      </c>
    </row>
    <row r="103" spans="1:22" ht="26.4" x14ac:dyDescent="0.25">
      <c r="B103" s="20" t="s">
        <v>138</v>
      </c>
      <c r="C103" s="71"/>
      <c r="D103" s="69"/>
      <c r="E103" s="69"/>
      <c r="F103" s="69"/>
      <c r="G103" s="69"/>
      <c r="H103" s="81"/>
      <c r="I103" s="81"/>
      <c r="J103" s="81"/>
      <c r="K103" s="69"/>
      <c r="L103" s="640"/>
      <c r="M103" s="640"/>
      <c r="N103" s="640"/>
      <c r="O103" s="655"/>
      <c r="P103" s="81">
        <f t="shared" si="64"/>
        <v>0</v>
      </c>
      <c r="Q103" s="81">
        <f t="shared" si="65"/>
        <v>0</v>
      </c>
      <c r="R103" s="81">
        <f t="shared" si="66"/>
        <v>0</v>
      </c>
      <c r="S103" s="81">
        <f t="shared" si="62"/>
        <v>0</v>
      </c>
      <c r="T103" s="85">
        <f t="shared" si="63"/>
        <v>0</v>
      </c>
      <c r="U103" s="191"/>
      <c r="V103" s="195">
        <f t="shared" si="56"/>
        <v>0</v>
      </c>
    </row>
    <row r="104" spans="1:22" ht="26.4" hidden="1" x14ac:dyDescent="0.25">
      <c r="B104" s="20" t="s">
        <v>139</v>
      </c>
      <c r="C104" s="71"/>
      <c r="D104" s="69"/>
      <c r="E104" s="69"/>
      <c r="F104" s="69"/>
      <c r="G104" s="69"/>
      <c r="H104" s="81"/>
      <c r="I104" s="81"/>
      <c r="J104" s="81"/>
      <c r="K104" s="69"/>
      <c r="L104" s="640"/>
      <c r="M104" s="640"/>
      <c r="N104" s="640"/>
      <c r="O104" s="655"/>
      <c r="P104" s="81">
        <f t="shared" si="64"/>
        <v>0</v>
      </c>
      <c r="Q104" s="81">
        <f t="shared" si="65"/>
        <v>0</v>
      </c>
      <c r="R104" s="81">
        <f t="shared" si="66"/>
        <v>0</v>
      </c>
      <c r="S104" s="81">
        <f t="shared" ref="S104" si="67">SUM(P104:R104)</f>
        <v>0</v>
      </c>
      <c r="T104" s="85">
        <f t="shared" si="63"/>
        <v>0</v>
      </c>
      <c r="U104" s="191"/>
      <c r="V104" s="195">
        <f t="shared" si="56"/>
        <v>0</v>
      </c>
    </row>
    <row r="105" spans="1:22" x14ac:dyDescent="0.25">
      <c r="C105" s="71"/>
      <c r="D105" s="69"/>
      <c r="E105" s="69"/>
      <c r="F105" s="69"/>
      <c r="G105" s="69"/>
      <c r="H105" s="81"/>
      <c r="I105" s="81"/>
      <c r="J105" s="81"/>
      <c r="K105" s="69"/>
      <c r="L105" s="640"/>
      <c r="M105" s="640"/>
      <c r="N105" s="640"/>
      <c r="O105" s="655"/>
      <c r="P105" s="81"/>
      <c r="Q105" s="81"/>
      <c r="R105" s="81"/>
      <c r="S105" s="81"/>
      <c r="T105" s="85"/>
      <c r="U105" s="191"/>
      <c r="V105" s="195"/>
    </row>
    <row r="106" spans="1:22" x14ac:dyDescent="0.25">
      <c r="A106" s="4" t="s">
        <v>140</v>
      </c>
      <c r="B106" s="3" t="s">
        <v>141</v>
      </c>
      <c r="C106" s="66">
        <f>SUM(C107:C119)</f>
        <v>151426315</v>
      </c>
      <c r="D106" s="66">
        <f>SUM(D107:D119)</f>
        <v>221879015</v>
      </c>
      <c r="E106" s="66">
        <f t="shared" ref="E106:F106" si="68">SUM(E107:E118)</f>
        <v>225231315</v>
      </c>
      <c r="F106" s="66">
        <f t="shared" si="68"/>
        <v>0</v>
      </c>
      <c r="G106" s="66"/>
      <c r="H106" s="83">
        <f>SUM(H107:H119)</f>
        <v>91594087</v>
      </c>
      <c r="I106" s="83">
        <f>SUM(I107:I118)</f>
        <v>153439419</v>
      </c>
      <c r="J106" s="83">
        <f>SUM(J107:J118)</f>
        <v>0</v>
      </c>
      <c r="K106" s="66"/>
      <c r="L106" s="641">
        <f t="shared" ref="L106:L118" si="69">IF(H106&gt;0,H106/C106,0)</f>
        <v>0.604875625481608</v>
      </c>
      <c r="M106" s="641">
        <f t="shared" ref="M106:M118" si="70">IF(I106&gt;0,I106/D106,0)</f>
        <v>0.69154543073845898</v>
      </c>
      <c r="N106" s="641">
        <f t="shared" ref="N106:N118" si="71">IF(J106&gt;0,J106/E106,0)</f>
        <v>0</v>
      </c>
      <c r="O106" s="656"/>
      <c r="P106" s="83">
        <f>IF(D106&gt;0,+D106-C106,0)</f>
        <v>70452700</v>
      </c>
      <c r="Q106" s="83">
        <f>IF(E106&gt;0,+E106-D106,0)</f>
        <v>3352300</v>
      </c>
      <c r="R106" s="83">
        <f>IF(F106&gt;0,+F106-E106,0)</f>
        <v>0</v>
      </c>
      <c r="S106" s="83">
        <f t="shared" ref="S106:S118" si="72">+P106*P$8+Q106*Q$8+Q106*G$8</f>
        <v>73805000</v>
      </c>
      <c r="T106" s="85">
        <f t="shared" ref="T106:T118" si="73">IF(C106=0,0,+S106/C106)</f>
        <v>0.48739877213547722</v>
      </c>
      <c r="U106" s="193"/>
      <c r="V106" s="195">
        <f t="shared" ref="V106:V137" si="74">+S106-E106+C106</f>
        <v>0</v>
      </c>
    </row>
    <row r="107" spans="1:22" x14ac:dyDescent="0.25">
      <c r="A107" s="14" t="s">
        <v>142</v>
      </c>
      <c r="B107" s="20" t="s">
        <v>143</v>
      </c>
      <c r="C107" s="71">
        <v>1450000</v>
      </c>
      <c r="D107" s="69">
        <f>1450000+2865000</f>
        <v>4315000</v>
      </c>
      <c r="E107" s="69">
        <v>2984000</v>
      </c>
      <c r="F107" s="69"/>
      <c r="G107" s="69"/>
      <c r="H107" s="81">
        <v>1551621</v>
      </c>
      <c r="I107" s="81">
        <v>2267754</v>
      </c>
      <c r="J107" s="81"/>
      <c r="K107" s="69"/>
      <c r="L107" s="640">
        <f t="shared" si="69"/>
        <v>1.0700834482758621</v>
      </c>
      <c r="M107" s="640">
        <f t="shared" si="70"/>
        <v>0.52555133256083431</v>
      </c>
      <c r="N107" s="640">
        <f t="shared" si="71"/>
        <v>0</v>
      </c>
      <c r="O107" s="655"/>
      <c r="P107" s="81">
        <f t="shared" ref="P107:P118" si="75">+(D107-C107)*P$8</f>
        <v>2865000</v>
      </c>
      <c r="Q107" s="81">
        <f t="shared" ref="Q107:Q118" si="76">+(E107-D107)*Q$8</f>
        <v>-1331000</v>
      </c>
      <c r="R107" s="81">
        <f t="shared" ref="R107:R118" si="77">+(F107-E107)*R$8</f>
        <v>0</v>
      </c>
      <c r="S107" s="81">
        <f t="shared" si="72"/>
        <v>1534000</v>
      </c>
      <c r="T107" s="85">
        <f t="shared" si="73"/>
        <v>1.0579310344827586</v>
      </c>
      <c r="U107" s="191"/>
      <c r="V107" s="195">
        <f t="shared" si="74"/>
        <v>0</v>
      </c>
    </row>
    <row r="108" spans="1:22" hidden="1" x14ac:dyDescent="0.25">
      <c r="B108" s="20" t="s">
        <v>144</v>
      </c>
      <c r="C108" s="71"/>
      <c r="D108" s="69"/>
      <c r="E108" s="69">
        <v>0</v>
      </c>
      <c r="F108" s="69"/>
      <c r="G108" s="69"/>
      <c r="H108" s="81"/>
      <c r="I108" s="81">
        <v>0</v>
      </c>
      <c r="J108" s="81"/>
      <c r="K108" s="69"/>
      <c r="L108" s="640">
        <f t="shared" si="69"/>
        <v>0</v>
      </c>
      <c r="M108" s="640">
        <f t="shared" si="70"/>
        <v>0</v>
      </c>
      <c r="N108" s="640">
        <f t="shared" si="71"/>
        <v>0</v>
      </c>
      <c r="O108" s="655"/>
      <c r="P108" s="81">
        <f t="shared" si="75"/>
        <v>0</v>
      </c>
      <c r="Q108" s="81">
        <f t="shared" si="76"/>
        <v>0</v>
      </c>
      <c r="R108" s="81">
        <f t="shared" si="77"/>
        <v>0</v>
      </c>
      <c r="S108" s="81">
        <f t="shared" si="72"/>
        <v>0</v>
      </c>
      <c r="T108" s="85">
        <f t="shared" si="73"/>
        <v>0</v>
      </c>
      <c r="U108" s="191"/>
      <c r="V108" s="195">
        <f t="shared" si="74"/>
        <v>0</v>
      </c>
    </row>
    <row r="109" spans="1:22" ht="26.4" x14ac:dyDescent="0.25">
      <c r="A109" s="14" t="s">
        <v>145</v>
      </c>
      <c r="B109" s="20" t="s">
        <v>147</v>
      </c>
      <c r="C109" s="71"/>
      <c r="D109" s="69"/>
      <c r="E109" s="69">
        <v>0</v>
      </c>
      <c r="F109" s="69"/>
      <c r="G109" s="69"/>
      <c r="H109" s="81"/>
      <c r="I109" s="81"/>
      <c r="J109" s="81"/>
      <c r="K109" s="69"/>
      <c r="L109" s="640">
        <f t="shared" si="69"/>
        <v>0</v>
      </c>
      <c r="M109" s="640">
        <f t="shared" si="70"/>
        <v>0</v>
      </c>
      <c r="N109" s="640">
        <f t="shared" si="71"/>
        <v>0</v>
      </c>
      <c r="O109" s="655"/>
      <c r="P109" s="81">
        <f t="shared" si="75"/>
        <v>0</v>
      </c>
      <c r="Q109" s="81">
        <f t="shared" si="76"/>
        <v>0</v>
      </c>
      <c r="R109" s="81">
        <f t="shared" si="77"/>
        <v>0</v>
      </c>
      <c r="S109" s="81">
        <f t="shared" si="72"/>
        <v>0</v>
      </c>
      <c r="T109" s="85">
        <f t="shared" si="73"/>
        <v>0</v>
      </c>
      <c r="U109" s="191"/>
      <c r="V109" s="195">
        <f t="shared" si="74"/>
        <v>0</v>
      </c>
    </row>
    <row r="110" spans="1:22" ht="26.4" x14ac:dyDescent="0.25">
      <c r="A110" s="14" t="s">
        <v>146</v>
      </c>
      <c r="B110" s="20" t="s">
        <v>148</v>
      </c>
      <c r="C110" s="71"/>
      <c r="D110" s="69"/>
      <c r="E110" s="69">
        <v>0</v>
      </c>
      <c r="F110" s="69"/>
      <c r="G110" s="69"/>
      <c r="H110" s="81"/>
      <c r="I110" s="81"/>
      <c r="J110" s="81"/>
      <c r="K110" s="69"/>
      <c r="L110" s="640">
        <f t="shared" si="69"/>
        <v>0</v>
      </c>
      <c r="M110" s="640">
        <f t="shared" si="70"/>
        <v>0</v>
      </c>
      <c r="N110" s="640">
        <f t="shared" si="71"/>
        <v>0</v>
      </c>
      <c r="O110" s="655"/>
      <c r="P110" s="81">
        <f t="shared" si="75"/>
        <v>0</v>
      </c>
      <c r="Q110" s="81">
        <f t="shared" si="76"/>
        <v>0</v>
      </c>
      <c r="R110" s="81">
        <f t="shared" si="77"/>
        <v>0</v>
      </c>
      <c r="S110" s="81">
        <f t="shared" si="72"/>
        <v>0</v>
      </c>
      <c r="T110" s="85">
        <f t="shared" si="73"/>
        <v>0</v>
      </c>
      <c r="U110" s="191"/>
      <c r="V110" s="195">
        <f t="shared" si="74"/>
        <v>0</v>
      </c>
    </row>
    <row r="111" spans="1:22" ht="26.4" x14ac:dyDescent="0.25">
      <c r="A111" s="14" t="s">
        <v>149</v>
      </c>
      <c r="B111" s="20" t="s">
        <v>150</v>
      </c>
      <c r="C111" s="71"/>
      <c r="D111" s="69"/>
      <c r="E111" s="69">
        <v>0</v>
      </c>
      <c r="F111" s="69"/>
      <c r="G111" s="69"/>
      <c r="H111" s="81"/>
      <c r="I111" s="81"/>
      <c r="J111" s="81"/>
      <c r="K111" s="69"/>
      <c r="L111" s="640">
        <f t="shared" si="69"/>
        <v>0</v>
      </c>
      <c r="M111" s="640">
        <f t="shared" si="70"/>
        <v>0</v>
      </c>
      <c r="N111" s="640">
        <f t="shared" si="71"/>
        <v>0</v>
      </c>
      <c r="O111" s="655"/>
      <c r="P111" s="81">
        <f t="shared" si="75"/>
        <v>0</v>
      </c>
      <c r="Q111" s="81">
        <f t="shared" si="76"/>
        <v>0</v>
      </c>
      <c r="R111" s="81">
        <f t="shared" si="77"/>
        <v>0</v>
      </c>
      <c r="S111" s="81">
        <f t="shared" si="72"/>
        <v>0</v>
      </c>
      <c r="T111" s="85">
        <f t="shared" si="73"/>
        <v>0</v>
      </c>
      <c r="U111" s="191"/>
      <c r="V111" s="195">
        <f t="shared" si="74"/>
        <v>0</v>
      </c>
    </row>
    <row r="112" spans="1:22" x14ac:dyDescent="0.25">
      <c r="A112" s="14" t="s">
        <v>151</v>
      </c>
      <c r="B112" s="20" t="s">
        <v>152</v>
      </c>
      <c r="C112" s="71">
        <v>650000</v>
      </c>
      <c r="D112" s="69">
        <v>650000</v>
      </c>
      <c r="E112" s="69">
        <v>930000</v>
      </c>
      <c r="F112" s="69"/>
      <c r="G112" s="69"/>
      <c r="H112" s="81">
        <v>450000</v>
      </c>
      <c r="I112" s="81">
        <v>880000</v>
      </c>
      <c r="J112" s="81"/>
      <c r="K112" s="69"/>
      <c r="L112" s="640">
        <f t="shared" si="69"/>
        <v>0.69230769230769229</v>
      </c>
      <c r="M112" s="640">
        <f t="shared" si="70"/>
        <v>1.3538461538461539</v>
      </c>
      <c r="N112" s="640">
        <f t="shared" si="71"/>
        <v>0</v>
      </c>
      <c r="O112" s="655"/>
      <c r="P112" s="81">
        <f t="shared" si="75"/>
        <v>0</v>
      </c>
      <c r="Q112" s="81">
        <f t="shared" si="76"/>
        <v>280000</v>
      </c>
      <c r="R112" s="81">
        <f t="shared" si="77"/>
        <v>0</v>
      </c>
      <c r="S112" s="81">
        <f t="shared" si="72"/>
        <v>280000</v>
      </c>
      <c r="T112" s="85">
        <f t="shared" si="73"/>
        <v>0.43076923076923079</v>
      </c>
      <c r="U112" s="191"/>
      <c r="V112" s="195">
        <f t="shared" si="74"/>
        <v>0</v>
      </c>
    </row>
    <row r="113" spans="1:22" ht="39.6" hidden="1" x14ac:dyDescent="0.25">
      <c r="B113" s="20" t="s">
        <v>153</v>
      </c>
      <c r="C113" s="71"/>
      <c r="D113" s="69"/>
      <c r="E113" s="69"/>
      <c r="F113" s="69"/>
      <c r="G113" s="69"/>
      <c r="H113" s="81"/>
      <c r="I113" s="81"/>
      <c r="J113" s="81"/>
      <c r="K113" s="69"/>
      <c r="L113" s="640">
        <f t="shared" si="69"/>
        <v>0</v>
      </c>
      <c r="M113" s="640">
        <f t="shared" si="70"/>
        <v>0</v>
      </c>
      <c r="N113" s="640">
        <f t="shared" si="71"/>
        <v>0</v>
      </c>
      <c r="O113" s="655"/>
      <c r="P113" s="81">
        <f t="shared" si="75"/>
        <v>0</v>
      </c>
      <c r="Q113" s="81">
        <f t="shared" si="76"/>
        <v>0</v>
      </c>
      <c r="R113" s="81">
        <f t="shared" si="77"/>
        <v>0</v>
      </c>
      <c r="S113" s="81">
        <f t="shared" si="72"/>
        <v>0</v>
      </c>
      <c r="T113" s="85">
        <f t="shared" si="73"/>
        <v>0</v>
      </c>
      <c r="U113" s="191"/>
      <c r="V113" s="195">
        <f t="shared" si="74"/>
        <v>0</v>
      </c>
    </row>
    <row r="114" spans="1:22" ht="52.8" hidden="1" x14ac:dyDescent="0.25">
      <c r="A114" s="14" t="s">
        <v>154</v>
      </c>
      <c r="B114" s="20" t="s">
        <v>155</v>
      </c>
      <c r="C114" s="71">
        <v>0</v>
      </c>
      <c r="D114" s="69">
        <f>+C114</f>
        <v>0</v>
      </c>
      <c r="E114" s="69">
        <v>0</v>
      </c>
      <c r="F114" s="69"/>
      <c r="G114" s="69"/>
      <c r="H114" s="81">
        <v>0</v>
      </c>
      <c r="I114" s="81">
        <v>0</v>
      </c>
      <c r="J114" s="81"/>
      <c r="K114" s="69"/>
      <c r="L114" s="640">
        <f t="shared" si="69"/>
        <v>0</v>
      </c>
      <c r="M114" s="640">
        <f t="shared" si="70"/>
        <v>0</v>
      </c>
      <c r="N114" s="640">
        <f t="shared" si="71"/>
        <v>0</v>
      </c>
      <c r="O114" s="655"/>
      <c r="P114" s="81">
        <f t="shared" si="75"/>
        <v>0</v>
      </c>
      <c r="Q114" s="81">
        <f t="shared" si="76"/>
        <v>0</v>
      </c>
      <c r="R114" s="81">
        <f t="shared" si="77"/>
        <v>0</v>
      </c>
      <c r="S114" s="81">
        <f t="shared" si="72"/>
        <v>0</v>
      </c>
      <c r="T114" s="85">
        <f t="shared" si="73"/>
        <v>0</v>
      </c>
      <c r="U114" s="191"/>
      <c r="V114" s="195">
        <f t="shared" si="74"/>
        <v>0</v>
      </c>
    </row>
    <row r="115" spans="1:22" ht="34.799999999999997" x14ac:dyDescent="0.25">
      <c r="A115" s="14" t="s">
        <v>156</v>
      </c>
      <c r="B115" s="595" t="s">
        <v>157</v>
      </c>
      <c r="C115" s="71"/>
      <c r="D115" s="856">
        <v>25000000</v>
      </c>
      <c r="E115" s="856">
        <v>25000000</v>
      </c>
      <c r="F115" s="856"/>
      <c r="G115" s="856"/>
      <c r="H115" s="855">
        <v>10000000</v>
      </c>
      <c r="I115" s="81">
        <v>25000000</v>
      </c>
      <c r="J115" s="81"/>
      <c r="K115" s="69"/>
      <c r="L115" s="640" t="e">
        <f t="shared" si="69"/>
        <v>#DIV/0!</v>
      </c>
      <c r="M115" s="640">
        <f t="shared" si="70"/>
        <v>1</v>
      </c>
      <c r="N115" s="640">
        <f t="shared" si="71"/>
        <v>0</v>
      </c>
      <c r="O115" s="655"/>
      <c r="P115" s="81">
        <f t="shared" si="75"/>
        <v>25000000</v>
      </c>
      <c r="Q115" s="81">
        <f t="shared" si="76"/>
        <v>0</v>
      </c>
      <c r="R115" s="81">
        <f t="shared" si="77"/>
        <v>0</v>
      </c>
      <c r="S115" s="81">
        <f t="shared" si="72"/>
        <v>25000000</v>
      </c>
      <c r="T115" s="85">
        <f t="shared" si="73"/>
        <v>0</v>
      </c>
      <c r="U115" s="191"/>
      <c r="V115" s="195">
        <f t="shared" si="74"/>
        <v>0</v>
      </c>
    </row>
    <row r="116" spans="1:22" x14ac:dyDescent="0.25">
      <c r="A116" s="43" t="s">
        <v>364</v>
      </c>
      <c r="B116" s="20" t="s">
        <v>362</v>
      </c>
      <c r="C116" s="71">
        <f>'10_Egyéb műk. tám.'!D6</f>
        <v>115830000</v>
      </c>
      <c r="D116" s="69">
        <v>158417700</v>
      </c>
      <c r="E116" s="69">
        <v>162821000</v>
      </c>
      <c r="F116" s="69"/>
      <c r="G116" s="69"/>
      <c r="H116" s="81">
        <v>79592466</v>
      </c>
      <c r="I116" s="81">
        <v>125291665</v>
      </c>
      <c r="J116" s="81"/>
      <c r="K116" s="69"/>
      <c r="L116" s="640">
        <f t="shared" si="69"/>
        <v>0.68714897694897692</v>
      </c>
      <c r="M116" s="640">
        <f t="shared" si="70"/>
        <v>0.79089435713307288</v>
      </c>
      <c r="N116" s="640">
        <f t="shared" si="71"/>
        <v>0</v>
      </c>
      <c r="O116" s="655"/>
      <c r="P116" s="81">
        <f t="shared" si="75"/>
        <v>42587700</v>
      </c>
      <c r="Q116" s="81">
        <f t="shared" si="76"/>
        <v>4403300</v>
      </c>
      <c r="R116" s="81">
        <f t="shared" si="77"/>
        <v>0</v>
      </c>
      <c r="S116" s="81">
        <f t="shared" si="72"/>
        <v>46991000</v>
      </c>
      <c r="T116" s="85">
        <f t="shared" si="73"/>
        <v>0.40568937235603902</v>
      </c>
      <c r="U116" s="191"/>
      <c r="V116" s="195">
        <f t="shared" si="74"/>
        <v>0</v>
      </c>
    </row>
    <row r="117" spans="1:22" x14ac:dyDescent="0.25">
      <c r="B117" s="20" t="s">
        <v>363</v>
      </c>
      <c r="C117" s="71"/>
      <c r="D117" s="69"/>
      <c r="E117" s="69">
        <v>0</v>
      </c>
      <c r="F117" s="69"/>
      <c r="G117" s="69"/>
      <c r="H117" s="81"/>
      <c r="I117" s="81"/>
      <c r="J117" s="81"/>
      <c r="K117" s="69"/>
      <c r="L117" s="640">
        <f t="shared" si="69"/>
        <v>0</v>
      </c>
      <c r="M117" s="640">
        <f t="shared" si="70"/>
        <v>0</v>
      </c>
      <c r="N117" s="640">
        <f t="shared" si="71"/>
        <v>0</v>
      </c>
      <c r="O117" s="655"/>
      <c r="P117" s="81">
        <f t="shared" si="75"/>
        <v>0</v>
      </c>
      <c r="Q117" s="81">
        <f t="shared" si="76"/>
        <v>0</v>
      </c>
      <c r="R117" s="81">
        <f t="shared" si="77"/>
        <v>0</v>
      </c>
      <c r="S117" s="81">
        <f t="shared" si="72"/>
        <v>0</v>
      </c>
      <c r="T117" s="85">
        <f t="shared" si="73"/>
        <v>0</v>
      </c>
      <c r="U117" s="191"/>
      <c r="V117" s="195">
        <f t="shared" si="74"/>
        <v>0</v>
      </c>
    </row>
    <row r="118" spans="1:22" x14ac:dyDescent="0.25">
      <c r="A118" s="43" t="s">
        <v>384</v>
      </c>
      <c r="B118" s="482" t="s">
        <v>511</v>
      </c>
      <c r="C118" s="71">
        <f>5000000+28496315</f>
        <v>33496315</v>
      </c>
      <c r="D118" s="69">
        <v>33496315</v>
      </c>
      <c r="E118" s="175">
        <v>33496315</v>
      </c>
      <c r="F118" s="69"/>
      <c r="G118" s="69"/>
      <c r="H118" s="81">
        <v>0</v>
      </c>
      <c r="I118" s="81">
        <v>0</v>
      </c>
      <c r="J118" s="81"/>
      <c r="K118" s="69"/>
      <c r="L118" s="640">
        <f t="shared" si="69"/>
        <v>0</v>
      </c>
      <c r="M118" s="640">
        <f t="shared" si="70"/>
        <v>0</v>
      </c>
      <c r="N118" s="640">
        <f t="shared" si="71"/>
        <v>0</v>
      </c>
      <c r="O118" s="655"/>
      <c r="P118" s="81">
        <f t="shared" si="75"/>
        <v>0</v>
      </c>
      <c r="Q118" s="81">
        <f t="shared" si="76"/>
        <v>0</v>
      </c>
      <c r="R118" s="81">
        <f t="shared" si="77"/>
        <v>0</v>
      </c>
      <c r="S118" s="81">
        <f t="shared" si="72"/>
        <v>0</v>
      </c>
      <c r="T118" s="85">
        <f t="shared" si="73"/>
        <v>0</v>
      </c>
      <c r="U118" s="191"/>
      <c r="V118" s="195">
        <f t="shared" si="74"/>
        <v>0</v>
      </c>
    </row>
    <row r="119" spans="1:22" x14ac:dyDescent="0.25">
      <c r="A119" s="43"/>
      <c r="B119" s="20"/>
      <c r="C119" s="71"/>
      <c r="D119" s="69"/>
      <c r="E119" s="175"/>
      <c r="F119" s="69"/>
      <c r="G119" s="69"/>
      <c r="H119" s="81"/>
      <c r="I119" s="81"/>
      <c r="J119" s="81"/>
      <c r="K119" s="69"/>
      <c r="L119" s="640"/>
      <c r="M119" s="640"/>
      <c r="N119" s="640"/>
      <c r="O119" s="655"/>
      <c r="P119" s="81"/>
      <c r="Q119" s="81"/>
      <c r="R119" s="81"/>
      <c r="S119" s="81"/>
      <c r="T119" s="85"/>
      <c r="U119" s="191"/>
      <c r="V119" s="195">
        <f t="shared" si="74"/>
        <v>0</v>
      </c>
    </row>
    <row r="120" spans="1:22" x14ac:dyDescent="0.25">
      <c r="A120" s="4" t="s">
        <v>158</v>
      </c>
      <c r="B120" s="3" t="s">
        <v>159</v>
      </c>
      <c r="C120" s="66">
        <f>SUM(C121:C128)</f>
        <v>49230500</v>
      </c>
      <c r="D120" s="66">
        <f>SUM(D121:D128)</f>
        <v>37731000</v>
      </c>
      <c r="E120" s="66">
        <f>SUM(E121:E127)</f>
        <v>58830500</v>
      </c>
      <c r="F120" s="66">
        <f>SUM(F121:F127)</f>
        <v>0</v>
      </c>
      <c r="G120" s="66"/>
      <c r="H120" s="83">
        <f>SUM(H121:H128)</f>
        <v>5033909</v>
      </c>
      <c r="I120" s="83">
        <f>SUM(I121:I127)</f>
        <v>50216919</v>
      </c>
      <c r="J120" s="83">
        <f>SUM(J121:J127)</f>
        <v>0</v>
      </c>
      <c r="K120" s="66"/>
      <c r="L120" s="641">
        <f t="shared" ref="L120:L127" si="78">IF(H120&gt;0,H120/C120,0)</f>
        <v>0.10225183575222677</v>
      </c>
      <c r="M120" s="641">
        <f t="shared" ref="M120:M127" si="79">IF(I120&gt;0,I120/D120,0)</f>
        <v>1.3309193766398981</v>
      </c>
      <c r="N120" s="641">
        <f t="shared" ref="N120:N127" si="80">IF(J120&gt;0,J120/E120,0)</f>
        <v>0</v>
      </c>
      <c r="O120" s="656"/>
      <c r="P120" s="83">
        <f>IF(D120&gt;0,+D120-C120,0)</f>
        <v>-11499500</v>
      </c>
      <c r="Q120" s="83">
        <f>IF(E120&gt;0,+E120-D120,0)</f>
        <v>21099500</v>
      </c>
      <c r="R120" s="83">
        <f>IF(F120&gt;0,+F120-E120,0)</f>
        <v>0</v>
      </c>
      <c r="S120" s="83">
        <f t="shared" ref="S120:S127" si="81">+P120*P$8+Q120*Q$8+Q120*G$8</f>
        <v>9600000</v>
      </c>
      <c r="T120" s="85">
        <f t="shared" ref="T120:T127" si="82">IF(C120=0,0,+S120/C120)</f>
        <v>0.19500106641208195</v>
      </c>
      <c r="U120" s="193"/>
      <c r="V120" s="195">
        <f t="shared" si="74"/>
        <v>0</v>
      </c>
    </row>
    <row r="121" spans="1:22" x14ac:dyDescent="0.25">
      <c r="A121" s="14" t="s">
        <v>160</v>
      </c>
      <c r="B121" s="20" t="s">
        <v>161</v>
      </c>
      <c r="C121" s="71"/>
      <c r="D121" s="69"/>
      <c r="E121" s="69"/>
      <c r="F121" s="69"/>
      <c r="G121" s="69"/>
      <c r="H121" s="81"/>
      <c r="I121" s="81"/>
      <c r="J121" s="81"/>
      <c r="K121" s="69"/>
      <c r="L121" s="640">
        <f t="shared" si="78"/>
        <v>0</v>
      </c>
      <c r="M121" s="640">
        <f t="shared" si="79"/>
        <v>0</v>
      </c>
      <c r="N121" s="640">
        <f t="shared" si="80"/>
        <v>0</v>
      </c>
      <c r="O121" s="655"/>
      <c r="P121" s="81">
        <f t="shared" ref="P121:R127" si="83">+(D121-C121)*P$8</f>
        <v>0</v>
      </c>
      <c r="Q121" s="81">
        <f t="shared" si="83"/>
        <v>0</v>
      </c>
      <c r="R121" s="81">
        <f t="shared" si="83"/>
        <v>0</v>
      </c>
      <c r="S121" s="81">
        <f t="shared" si="81"/>
        <v>0</v>
      </c>
      <c r="T121" s="85">
        <f t="shared" si="82"/>
        <v>0</v>
      </c>
      <c r="U121" s="191"/>
      <c r="V121" s="195">
        <f t="shared" si="74"/>
        <v>0</v>
      </c>
    </row>
    <row r="122" spans="1:22" x14ac:dyDescent="0.25">
      <c r="A122" s="14" t="s">
        <v>162</v>
      </c>
      <c r="B122" s="20" t="s">
        <v>163</v>
      </c>
      <c r="C122" s="71">
        <v>38764173</v>
      </c>
      <c r="D122" s="71">
        <v>19213673</v>
      </c>
      <c r="E122" s="175">
        <v>43321673</v>
      </c>
      <c r="F122" s="69"/>
      <c r="G122" s="69"/>
      <c r="H122" s="855"/>
      <c r="I122" s="81">
        <v>42000000</v>
      </c>
      <c r="J122" s="81"/>
      <c r="K122" s="69"/>
      <c r="L122" s="640">
        <f t="shared" si="78"/>
        <v>0</v>
      </c>
      <c r="M122" s="640">
        <f t="shared" si="79"/>
        <v>2.1859433123484511</v>
      </c>
      <c r="N122" s="640">
        <f t="shared" si="80"/>
        <v>0</v>
      </c>
      <c r="O122" s="655"/>
      <c r="P122" s="81">
        <f t="shared" si="83"/>
        <v>-19550500</v>
      </c>
      <c r="Q122" s="81">
        <f t="shared" si="83"/>
        <v>24108000</v>
      </c>
      <c r="R122" s="81">
        <f t="shared" si="83"/>
        <v>0</v>
      </c>
      <c r="S122" s="81">
        <f t="shared" si="81"/>
        <v>4557500</v>
      </c>
      <c r="T122" s="85">
        <f t="shared" si="82"/>
        <v>0.11756990146545884</v>
      </c>
      <c r="U122" s="191"/>
      <c r="V122" s="195">
        <f t="shared" si="74"/>
        <v>0</v>
      </c>
    </row>
    <row r="123" spans="1:22" hidden="1" x14ac:dyDescent="0.25">
      <c r="B123" s="20" t="s">
        <v>164</v>
      </c>
      <c r="C123" s="71"/>
      <c r="D123" s="71"/>
      <c r="E123" s="69"/>
      <c r="F123" s="69"/>
      <c r="G123" s="69"/>
      <c r="H123" s="81"/>
      <c r="I123" s="81"/>
      <c r="J123" s="81"/>
      <c r="K123" s="69"/>
      <c r="L123" s="640">
        <f t="shared" si="78"/>
        <v>0</v>
      </c>
      <c r="M123" s="640">
        <f t="shared" si="79"/>
        <v>0</v>
      </c>
      <c r="N123" s="640">
        <f t="shared" si="80"/>
        <v>0</v>
      </c>
      <c r="O123" s="655"/>
      <c r="P123" s="81">
        <f t="shared" si="83"/>
        <v>0</v>
      </c>
      <c r="Q123" s="81">
        <f t="shared" si="83"/>
        <v>0</v>
      </c>
      <c r="R123" s="81">
        <f t="shared" si="83"/>
        <v>0</v>
      </c>
      <c r="S123" s="81">
        <f t="shared" si="81"/>
        <v>0</v>
      </c>
      <c r="T123" s="85">
        <f t="shared" si="82"/>
        <v>0</v>
      </c>
      <c r="U123" s="191"/>
      <c r="V123" s="195">
        <f t="shared" si="74"/>
        <v>0</v>
      </c>
    </row>
    <row r="124" spans="1:22" x14ac:dyDescent="0.25">
      <c r="A124" s="14" t="s">
        <v>165</v>
      </c>
      <c r="B124" s="20" t="s">
        <v>166</v>
      </c>
      <c r="C124" s="71">
        <v>0</v>
      </c>
      <c r="D124" s="71">
        <v>281000</v>
      </c>
      <c r="E124" s="69">
        <v>348806</v>
      </c>
      <c r="F124" s="69"/>
      <c r="G124" s="69"/>
      <c r="H124" s="81">
        <v>278900</v>
      </c>
      <c r="I124" s="81">
        <v>348066</v>
      </c>
      <c r="J124" s="81"/>
      <c r="K124" s="69"/>
      <c r="L124" s="640" t="e">
        <f t="shared" si="78"/>
        <v>#DIV/0!</v>
      </c>
      <c r="M124" s="640">
        <f t="shared" si="79"/>
        <v>1.2386690391459074</v>
      </c>
      <c r="N124" s="640">
        <f t="shared" si="80"/>
        <v>0</v>
      </c>
      <c r="O124" s="655"/>
      <c r="P124" s="81">
        <f t="shared" si="83"/>
        <v>281000</v>
      </c>
      <c r="Q124" s="81">
        <f t="shared" si="83"/>
        <v>67806</v>
      </c>
      <c r="R124" s="81">
        <f t="shared" si="83"/>
        <v>0</v>
      </c>
      <c r="S124" s="81">
        <f t="shared" si="81"/>
        <v>348806</v>
      </c>
      <c r="T124" s="85">
        <f t="shared" si="82"/>
        <v>0</v>
      </c>
      <c r="U124" s="191"/>
      <c r="V124" s="195">
        <f t="shared" si="74"/>
        <v>0</v>
      </c>
    </row>
    <row r="125" spans="1:22" x14ac:dyDescent="0.25">
      <c r="A125" s="14" t="s">
        <v>167</v>
      </c>
      <c r="B125" s="20" t="s">
        <v>168</v>
      </c>
      <c r="C125" s="71">
        <v>10466327</v>
      </c>
      <c r="D125" s="71">
        <v>7770000</v>
      </c>
      <c r="E125" s="69">
        <v>8342000</v>
      </c>
      <c r="F125" s="69"/>
      <c r="G125" s="69"/>
      <c r="H125" s="81">
        <v>4243708</v>
      </c>
      <c r="I125" s="81">
        <v>6680850</v>
      </c>
      <c r="J125" s="81"/>
      <c r="K125" s="69"/>
      <c r="L125" s="640">
        <f t="shared" si="78"/>
        <v>0.40546296709437801</v>
      </c>
      <c r="M125" s="640">
        <f t="shared" si="79"/>
        <v>0.85982625482625485</v>
      </c>
      <c r="N125" s="640">
        <f t="shared" si="80"/>
        <v>0</v>
      </c>
      <c r="O125" s="655"/>
      <c r="P125" s="81">
        <f t="shared" si="83"/>
        <v>-2696327</v>
      </c>
      <c r="Q125" s="81">
        <f t="shared" si="83"/>
        <v>572000</v>
      </c>
      <c r="R125" s="81">
        <f t="shared" si="83"/>
        <v>0</v>
      </c>
      <c r="S125" s="81">
        <f t="shared" si="81"/>
        <v>-2124327</v>
      </c>
      <c r="T125" s="85">
        <f t="shared" si="82"/>
        <v>-0.20296776510040246</v>
      </c>
      <c r="U125" s="191"/>
      <c r="V125" s="195">
        <f t="shared" si="74"/>
        <v>0</v>
      </c>
    </row>
    <row r="126" spans="1:22" x14ac:dyDescent="0.25">
      <c r="A126" s="14" t="s">
        <v>169</v>
      </c>
      <c r="B126" s="20" t="s">
        <v>170</v>
      </c>
      <c r="C126" s="71">
        <v>0</v>
      </c>
      <c r="D126" s="71">
        <v>0</v>
      </c>
      <c r="E126" s="69">
        <v>0</v>
      </c>
      <c r="F126" s="69"/>
      <c r="G126" s="69"/>
      <c r="H126" s="81">
        <v>0</v>
      </c>
      <c r="I126" s="81">
        <v>0</v>
      </c>
      <c r="J126" s="81"/>
      <c r="K126" s="69"/>
      <c r="L126" s="640">
        <f t="shared" si="78"/>
        <v>0</v>
      </c>
      <c r="M126" s="640">
        <f t="shared" si="79"/>
        <v>0</v>
      </c>
      <c r="N126" s="640">
        <f t="shared" si="80"/>
        <v>0</v>
      </c>
      <c r="O126" s="655"/>
      <c r="P126" s="81">
        <f t="shared" si="83"/>
        <v>0</v>
      </c>
      <c r="Q126" s="81">
        <f t="shared" si="83"/>
        <v>0</v>
      </c>
      <c r="R126" s="81">
        <f t="shared" si="83"/>
        <v>0</v>
      </c>
      <c r="S126" s="81">
        <f t="shared" si="81"/>
        <v>0</v>
      </c>
      <c r="T126" s="85">
        <f t="shared" si="82"/>
        <v>0</v>
      </c>
      <c r="U126" s="191"/>
      <c r="V126" s="195">
        <f t="shared" si="74"/>
        <v>0</v>
      </c>
    </row>
    <row r="127" spans="1:22" x14ac:dyDescent="0.25">
      <c r="A127" s="14" t="s">
        <v>171</v>
      </c>
      <c r="B127" s="20" t="s">
        <v>172</v>
      </c>
      <c r="C127" s="71">
        <v>0</v>
      </c>
      <c r="D127" s="69">
        <v>10466327</v>
      </c>
      <c r="E127" s="69">
        <v>6818021</v>
      </c>
      <c r="F127" s="69"/>
      <c r="G127" s="69"/>
      <c r="H127" s="81">
        <v>511301</v>
      </c>
      <c r="I127" s="81">
        <v>1188003</v>
      </c>
      <c r="J127" s="81"/>
      <c r="K127" s="69"/>
      <c r="L127" s="640" t="e">
        <f t="shared" si="78"/>
        <v>#DIV/0!</v>
      </c>
      <c r="M127" s="640">
        <f t="shared" si="79"/>
        <v>0.11350715489779747</v>
      </c>
      <c r="N127" s="640">
        <f t="shared" si="80"/>
        <v>0</v>
      </c>
      <c r="O127" s="655"/>
      <c r="P127" s="81">
        <f t="shared" si="83"/>
        <v>10466327</v>
      </c>
      <c r="Q127" s="81">
        <f t="shared" si="83"/>
        <v>-3648306</v>
      </c>
      <c r="R127" s="81">
        <f t="shared" si="83"/>
        <v>0</v>
      </c>
      <c r="S127" s="81">
        <f t="shared" si="81"/>
        <v>6818021</v>
      </c>
      <c r="T127" s="85">
        <f t="shared" si="82"/>
        <v>0</v>
      </c>
      <c r="U127" s="191"/>
      <c r="V127" s="195">
        <f t="shared" si="74"/>
        <v>0</v>
      </c>
    </row>
    <row r="128" spans="1:22" x14ac:dyDescent="0.25">
      <c r="C128" s="71"/>
      <c r="D128" s="69"/>
      <c r="E128" s="69"/>
      <c r="F128" s="69"/>
      <c r="G128" s="69"/>
      <c r="H128" s="81"/>
      <c r="I128" s="81"/>
      <c r="J128" s="81"/>
      <c r="K128" s="69"/>
      <c r="L128" s="640"/>
      <c r="M128" s="640"/>
      <c r="N128" s="640"/>
      <c r="O128" s="655"/>
      <c r="P128" s="81"/>
      <c r="Q128" s="81"/>
      <c r="R128" s="81"/>
      <c r="S128" s="81"/>
      <c r="T128" s="85"/>
      <c r="U128" s="191"/>
      <c r="V128" s="195">
        <f t="shared" si="74"/>
        <v>0</v>
      </c>
    </row>
    <row r="129" spans="1:22" x14ac:dyDescent="0.25">
      <c r="A129" s="4" t="s">
        <v>173</v>
      </c>
      <c r="B129" s="3" t="s">
        <v>174</v>
      </c>
      <c r="C129" s="66">
        <f>SUM(C130:C134)</f>
        <v>83452445</v>
      </c>
      <c r="D129" s="66">
        <f>SUM(D130:D134)</f>
        <v>83452445</v>
      </c>
      <c r="E129" s="66">
        <f t="shared" ref="E129:F129" si="84">SUM(E130:E133)</f>
        <v>83452445</v>
      </c>
      <c r="F129" s="66">
        <f t="shared" si="84"/>
        <v>0</v>
      </c>
      <c r="G129" s="66"/>
      <c r="H129" s="83">
        <f>SUM(H130:H134)</f>
        <v>32771553</v>
      </c>
      <c r="I129" s="83">
        <f>SUM(I130:I133)</f>
        <v>35385584</v>
      </c>
      <c r="J129" s="83">
        <f>SUM(J130:J133)</f>
        <v>0</v>
      </c>
      <c r="K129" s="66"/>
      <c r="L129" s="641">
        <f t="shared" ref="L129:L133" si="85">IF(H129&gt;0,H129/C129,0)</f>
        <v>0.39269733798692175</v>
      </c>
      <c r="M129" s="641">
        <f t="shared" ref="M129:M133" si="86">IF(I129&gt;0,I129/D129,0)</f>
        <v>0.42402093791260398</v>
      </c>
      <c r="N129" s="641">
        <f t="shared" ref="N129:N133" si="87">IF(J129&gt;0,J129/E129,0)</f>
        <v>0</v>
      </c>
      <c r="O129" s="656"/>
      <c r="P129" s="83">
        <f>IF(D129&gt;0,+D129-C129,0)</f>
        <v>0</v>
      </c>
      <c r="Q129" s="83">
        <f>IF(E129&gt;0,+E129-D129,0)</f>
        <v>0</v>
      </c>
      <c r="R129" s="83">
        <f>IF(F129&gt;0,+F129-E129,0)</f>
        <v>0</v>
      </c>
      <c r="S129" s="83">
        <f t="shared" ref="S129:S133" si="88">+P129*P$8+Q129*Q$8+Q129*G$8</f>
        <v>0</v>
      </c>
      <c r="T129" s="85">
        <f>IF(C129=0,0,+S129/C129)</f>
        <v>0</v>
      </c>
      <c r="U129" s="193"/>
      <c r="V129" s="195">
        <f t="shared" si="74"/>
        <v>0</v>
      </c>
    </row>
    <row r="130" spans="1:22" x14ac:dyDescent="0.25">
      <c r="A130" s="14" t="s">
        <v>175</v>
      </c>
      <c r="B130" s="20" t="s">
        <v>176</v>
      </c>
      <c r="C130" s="71">
        <v>65710587</v>
      </c>
      <c r="D130" s="69">
        <v>65710587</v>
      </c>
      <c r="E130" s="143">
        <v>65710587</v>
      </c>
      <c r="F130" s="69"/>
      <c r="G130" s="69"/>
      <c r="H130" s="81">
        <v>26044608</v>
      </c>
      <c r="I130" s="81">
        <v>28102900</v>
      </c>
      <c r="J130" s="81"/>
      <c r="K130" s="69"/>
      <c r="L130" s="640">
        <f t="shared" si="85"/>
        <v>0.39635329996367252</v>
      </c>
      <c r="M130" s="640">
        <f t="shared" si="86"/>
        <v>0.4276768977881753</v>
      </c>
      <c r="N130" s="640">
        <f t="shared" si="87"/>
        <v>0</v>
      </c>
      <c r="O130" s="655"/>
      <c r="P130" s="81">
        <f t="shared" ref="P130:R133" si="89">+(D130-C130)*P$8</f>
        <v>0</v>
      </c>
      <c r="Q130" s="81">
        <f t="shared" si="89"/>
        <v>0</v>
      </c>
      <c r="R130" s="81">
        <f t="shared" si="89"/>
        <v>0</v>
      </c>
      <c r="S130" s="81">
        <f t="shared" si="88"/>
        <v>0</v>
      </c>
      <c r="T130" s="85">
        <f>IF(C130=0,0,+S130/C130)</f>
        <v>0</v>
      </c>
      <c r="U130" s="191"/>
      <c r="V130" s="195">
        <f t="shared" si="74"/>
        <v>0</v>
      </c>
    </row>
    <row r="131" spans="1:22" hidden="1" x14ac:dyDescent="0.25">
      <c r="A131" s="14" t="s">
        <v>177</v>
      </c>
      <c r="B131" s="20" t="s">
        <v>178</v>
      </c>
      <c r="C131" s="71"/>
      <c r="D131" s="69"/>
      <c r="E131" s="69"/>
      <c r="F131" s="69"/>
      <c r="G131" s="69"/>
      <c r="H131" s="81"/>
      <c r="I131" s="81"/>
      <c r="J131" s="81"/>
      <c r="K131" s="69"/>
      <c r="L131" s="640">
        <f t="shared" si="85"/>
        <v>0</v>
      </c>
      <c r="M131" s="640">
        <f t="shared" si="86"/>
        <v>0</v>
      </c>
      <c r="N131" s="640">
        <f t="shared" si="87"/>
        <v>0</v>
      </c>
      <c r="O131" s="655"/>
      <c r="P131" s="81">
        <f t="shared" si="89"/>
        <v>0</v>
      </c>
      <c r="Q131" s="81">
        <f t="shared" si="89"/>
        <v>0</v>
      </c>
      <c r="R131" s="81">
        <f t="shared" si="89"/>
        <v>0</v>
      </c>
      <c r="S131" s="81">
        <f t="shared" si="88"/>
        <v>0</v>
      </c>
      <c r="T131" s="85">
        <f>IF(C131=0,0,+S131/C131)</f>
        <v>0</v>
      </c>
      <c r="U131" s="191"/>
      <c r="V131" s="195">
        <f t="shared" si="74"/>
        <v>0</v>
      </c>
    </row>
    <row r="132" spans="1:22" hidden="1" x14ac:dyDescent="0.25">
      <c r="A132" s="14" t="s">
        <v>179</v>
      </c>
      <c r="B132" s="20" t="s">
        <v>180</v>
      </c>
      <c r="C132" s="71">
        <v>0</v>
      </c>
      <c r="D132" s="69"/>
      <c r="E132" s="69"/>
      <c r="F132" s="69"/>
      <c r="G132" s="69"/>
      <c r="H132" s="81"/>
      <c r="I132" s="81"/>
      <c r="J132" s="81"/>
      <c r="K132" s="69"/>
      <c r="L132" s="640">
        <f t="shared" si="85"/>
        <v>0</v>
      </c>
      <c r="M132" s="640">
        <f t="shared" si="86"/>
        <v>0</v>
      </c>
      <c r="N132" s="640">
        <f t="shared" si="87"/>
        <v>0</v>
      </c>
      <c r="O132" s="655"/>
      <c r="P132" s="81">
        <f t="shared" si="89"/>
        <v>0</v>
      </c>
      <c r="Q132" s="81">
        <f t="shared" si="89"/>
        <v>0</v>
      </c>
      <c r="R132" s="81">
        <f t="shared" si="89"/>
        <v>0</v>
      </c>
      <c r="S132" s="81">
        <f t="shared" si="88"/>
        <v>0</v>
      </c>
      <c r="T132" s="85">
        <f>IF(C132=0,0,+S132/C132)</f>
        <v>0</v>
      </c>
      <c r="U132" s="191"/>
      <c r="V132" s="195">
        <f t="shared" si="74"/>
        <v>0</v>
      </c>
    </row>
    <row r="133" spans="1:22" x14ac:dyDescent="0.25">
      <c r="A133" s="14" t="s">
        <v>181</v>
      </c>
      <c r="B133" s="20" t="s">
        <v>182</v>
      </c>
      <c r="C133" s="71">
        <v>17741858</v>
      </c>
      <c r="D133" s="69">
        <v>17741858</v>
      </c>
      <c r="E133" s="69">
        <v>17741858</v>
      </c>
      <c r="F133" s="69"/>
      <c r="G133" s="69"/>
      <c r="H133" s="81">
        <v>6726945</v>
      </c>
      <c r="I133" s="81">
        <v>7282684</v>
      </c>
      <c r="J133" s="81"/>
      <c r="K133" s="69"/>
      <c r="L133" s="640">
        <f t="shared" si="85"/>
        <v>0.37915673769906172</v>
      </c>
      <c r="M133" s="640">
        <f t="shared" si="86"/>
        <v>0.41048034540689032</v>
      </c>
      <c r="N133" s="640">
        <f t="shared" si="87"/>
        <v>0</v>
      </c>
      <c r="O133" s="655"/>
      <c r="P133" s="81">
        <f t="shared" si="89"/>
        <v>0</v>
      </c>
      <c r="Q133" s="81">
        <f t="shared" si="89"/>
        <v>0</v>
      </c>
      <c r="R133" s="81">
        <f t="shared" si="89"/>
        <v>0</v>
      </c>
      <c r="S133" s="81">
        <f t="shared" si="88"/>
        <v>0</v>
      </c>
      <c r="T133" s="85">
        <f>IF(C133=0,0,+S133/C133)</f>
        <v>0</v>
      </c>
      <c r="U133" s="191"/>
      <c r="V133" s="195">
        <f t="shared" si="74"/>
        <v>0</v>
      </c>
    </row>
    <row r="134" spans="1:22" x14ac:dyDescent="0.25">
      <c r="C134" s="71"/>
      <c r="D134" s="69"/>
      <c r="E134" s="69"/>
      <c r="F134" s="69"/>
      <c r="G134" s="69"/>
      <c r="H134" s="81"/>
      <c r="I134" s="81"/>
      <c r="J134" s="81"/>
      <c r="K134" s="69"/>
      <c r="L134" s="640"/>
      <c r="M134" s="640"/>
      <c r="N134" s="640"/>
      <c r="O134" s="655"/>
      <c r="P134" s="81"/>
      <c r="Q134" s="81"/>
      <c r="R134" s="81"/>
      <c r="S134" s="81"/>
      <c r="T134" s="85"/>
      <c r="U134" s="191"/>
      <c r="V134" s="195">
        <f t="shared" si="74"/>
        <v>0</v>
      </c>
    </row>
    <row r="135" spans="1:22" x14ac:dyDescent="0.25">
      <c r="A135" s="4" t="s">
        <v>183</v>
      </c>
      <c r="B135" s="3" t="s">
        <v>184</v>
      </c>
      <c r="C135" s="66"/>
      <c r="D135" s="66">
        <f>SUM(D136:D143)</f>
        <v>44000</v>
      </c>
      <c r="E135" s="66">
        <f>SUM(E136:E143)</f>
        <v>190000</v>
      </c>
      <c r="F135" s="72"/>
      <c r="G135" s="72"/>
      <c r="H135" s="83">
        <f>SUM(H136:H143)</f>
        <v>43039</v>
      </c>
      <c r="I135" s="83">
        <f>SUM(I136:I143)</f>
        <v>188702</v>
      </c>
      <c r="J135" s="83"/>
      <c r="K135" s="72"/>
      <c r="L135" s="641" t="e">
        <f t="shared" ref="L135:L141" si="90">IF(H135&gt;0,H135/C135,0)</f>
        <v>#DIV/0!</v>
      </c>
      <c r="M135" s="641">
        <f t="shared" ref="M135:M141" si="91">IF(I135&gt;0,I135/D135,0)</f>
        <v>4.2886818181818178</v>
      </c>
      <c r="N135" s="641">
        <f t="shared" ref="N135:N141" si="92">IF(J135&gt;0,J135/E135,0)</f>
        <v>0</v>
      </c>
      <c r="O135" s="657"/>
      <c r="P135" s="83">
        <f>IF(D135&gt;0,+D135-C135,0)</f>
        <v>44000</v>
      </c>
      <c r="Q135" s="83">
        <f>IF(E135&gt;0,+E135-D135,0)</f>
        <v>146000</v>
      </c>
      <c r="R135" s="83">
        <f>IF(F135&gt;0,+F135-E135,0)</f>
        <v>0</v>
      </c>
      <c r="S135" s="83">
        <f t="shared" ref="S135:S143" si="93">+P135*P$8+Q135*Q$8+Q135*G$8</f>
        <v>190000</v>
      </c>
      <c r="T135" s="85">
        <f t="shared" ref="T135:T143" si="94">IF(C135=0,0,+S135/C135)</f>
        <v>0</v>
      </c>
      <c r="U135" s="194"/>
      <c r="V135" s="195">
        <f t="shared" si="74"/>
        <v>0</v>
      </c>
    </row>
    <row r="136" spans="1:22" ht="23.4" hidden="1" x14ac:dyDescent="0.25">
      <c r="A136" s="14" t="s">
        <v>185</v>
      </c>
      <c r="B136" s="595" t="s">
        <v>186</v>
      </c>
      <c r="C136" s="71"/>
      <c r="D136" s="69"/>
      <c r="E136" s="69"/>
      <c r="F136" s="69"/>
      <c r="G136" s="69"/>
      <c r="H136" s="81"/>
      <c r="I136" s="81"/>
      <c r="J136" s="81"/>
      <c r="K136" s="69"/>
      <c r="L136" s="640">
        <f t="shared" si="90"/>
        <v>0</v>
      </c>
      <c r="M136" s="640">
        <f t="shared" si="91"/>
        <v>0</v>
      </c>
      <c r="N136" s="640">
        <f t="shared" si="92"/>
        <v>0</v>
      </c>
      <c r="O136" s="655"/>
      <c r="P136" s="81">
        <f t="shared" ref="P136:R143" si="95">+(D136-C136)*P$8</f>
        <v>0</v>
      </c>
      <c r="Q136" s="81">
        <f t="shared" si="95"/>
        <v>0</v>
      </c>
      <c r="R136" s="81">
        <f t="shared" si="95"/>
        <v>0</v>
      </c>
      <c r="S136" s="81">
        <f t="shared" si="93"/>
        <v>0</v>
      </c>
      <c r="T136" s="85">
        <f t="shared" si="94"/>
        <v>0</v>
      </c>
      <c r="U136" s="191"/>
      <c r="V136" s="195">
        <f t="shared" si="74"/>
        <v>0</v>
      </c>
    </row>
    <row r="137" spans="1:22" ht="23.4" hidden="1" x14ac:dyDescent="0.25">
      <c r="A137" s="14" t="s">
        <v>187</v>
      </c>
      <c r="B137" s="595" t="s">
        <v>188</v>
      </c>
      <c r="C137" s="71"/>
      <c r="D137" s="69"/>
      <c r="E137" s="69"/>
      <c r="F137" s="69"/>
      <c r="G137" s="69"/>
      <c r="H137" s="81"/>
      <c r="I137" s="81"/>
      <c r="J137" s="81"/>
      <c r="K137" s="69"/>
      <c r="L137" s="640">
        <f t="shared" si="90"/>
        <v>0</v>
      </c>
      <c r="M137" s="640">
        <f t="shared" si="91"/>
        <v>0</v>
      </c>
      <c r="N137" s="640">
        <f t="shared" si="92"/>
        <v>0</v>
      </c>
      <c r="O137" s="655"/>
      <c r="P137" s="81">
        <f t="shared" si="95"/>
        <v>0</v>
      </c>
      <c r="Q137" s="81">
        <f t="shared" si="95"/>
        <v>0</v>
      </c>
      <c r="R137" s="81">
        <f t="shared" si="95"/>
        <v>0</v>
      </c>
      <c r="S137" s="81">
        <f t="shared" si="93"/>
        <v>0</v>
      </c>
      <c r="T137" s="85">
        <f t="shared" si="94"/>
        <v>0</v>
      </c>
      <c r="U137" s="191"/>
      <c r="V137" s="195">
        <f t="shared" si="74"/>
        <v>0</v>
      </c>
    </row>
    <row r="138" spans="1:22" ht="23.4" hidden="1" x14ac:dyDescent="0.25">
      <c r="A138" s="14" t="s">
        <v>189</v>
      </c>
      <c r="B138" s="595" t="s">
        <v>190</v>
      </c>
      <c r="C138" s="71"/>
      <c r="D138" s="69"/>
      <c r="E138" s="69"/>
      <c r="F138" s="69"/>
      <c r="G138" s="69"/>
      <c r="H138" s="81"/>
      <c r="I138" s="81"/>
      <c r="J138" s="81"/>
      <c r="K138" s="69"/>
      <c r="L138" s="640">
        <f t="shared" si="90"/>
        <v>0</v>
      </c>
      <c r="M138" s="640">
        <f t="shared" si="91"/>
        <v>0</v>
      </c>
      <c r="N138" s="640">
        <f t="shared" si="92"/>
        <v>0</v>
      </c>
      <c r="O138" s="655"/>
      <c r="P138" s="81">
        <f t="shared" si="95"/>
        <v>0</v>
      </c>
      <c r="Q138" s="81">
        <f t="shared" si="95"/>
        <v>0</v>
      </c>
      <c r="R138" s="81">
        <f t="shared" si="95"/>
        <v>0</v>
      </c>
      <c r="S138" s="81">
        <f t="shared" si="93"/>
        <v>0</v>
      </c>
      <c r="T138" s="85">
        <f t="shared" si="94"/>
        <v>0</v>
      </c>
      <c r="U138" s="191"/>
      <c r="V138" s="195">
        <f t="shared" ref="V138:V168" si="96">+S138-E138+C138</f>
        <v>0</v>
      </c>
    </row>
    <row r="139" spans="1:22" hidden="1" x14ac:dyDescent="0.25">
      <c r="A139" s="14" t="s">
        <v>191</v>
      </c>
      <c r="B139" s="595" t="s">
        <v>192</v>
      </c>
      <c r="C139" s="71"/>
      <c r="D139" s="69"/>
      <c r="E139" s="69"/>
      <c r="F139" s="69"/>
      <c r="G139" s="69"/>
      <c r="H139" s="81"/>
      <c r="I139" s="81"/>
      <c r="J139" s="81"/>
      <c r="K139" s="69"/>
      <c r="L139" s="640">
        <f t="shared" si="90"/>
        <v>0</v>
      </c>
      <c r="M139" s="640">
        <f t="shared" si="91"/>
        <v>0</v>
      </c>
      <c r="N139" s="640">
        <f t="shared" si="92"/>
        <v>0</v>
      </c>
      <c r="O139" s="655"/>
      <c r="P139" s="81">
        <f t="shared" si="95"/>
        <v>0</v>
      </c>
      <c r="Q139" s="81">
        <f t="shared" si="95"/>
        <v>0</v>
      </c>
      <c r="R139" s="81">
        <f t="shared" si="95"/>
        <v>0</v>
      </c>
      <c r="S139" s="81">
        <f t="shared" si="93"/>
        <v>0</v>
      </c>
      <c r="T139" s="85">
        <f t="shared" si="94"/>
        <v>0</v>
      </c>
      <c r="U139" s="191"/>
      <c r="V139" s="195">
        <f t="shared" si="96"/>
        <v>0</v>
      </c>
    </row>
    <row r="140" spans="1:22" ht="23.4" hidden="1" x14ac:dyDescent="0.25">
      <c r="A140" s="14" t="s">
        <v>193</v>
      </c>
      <c r="B140" s="595" t="s">
        <v>194</v>
      </c>
      <c r="C140" s="71"/>
      <c r="D140" s="69">
        <v>0</v>
      </c>
      <c r="E140" s="69">
        <v>0</v>
      </c>
      <c r="F140" s="69"/>
      <c r="G140" s="69"/>
      <c r="H140" s="81">
        <v>0</v>
      </c>
      <c r="I140" s="81">
        <v>0</v>
      </c>
      <c r="J140" s="81"/>
      <c r="K140" s="69"/>
      <c r="L140" s="640">
        <f t="shared" si="90"/>
        <v>0</v>
      </c>
      <c r="M140" s="640">
        <f t="shared" si="91"/>
        <v>0</v>
      </c>
      <c r="N140" s="640">
        <f t="shared" si="92"/>
        <v>0</v>
      </c>
      <c r="O140" s="655"/>
      <c r="P140" s="81">
        <f t="shared" si="95"/>
        <v>0</v>
      </c>
      <c r="Q140" s="81">
        <f t="shared" si="95"/>
        <v>0</v>
      </c>
      <c r="R140" s="81">
        <f t="shared" si="95"/>
        <v>0</v>
      </c>
      <c r="S140" s="81">
        <f t="shared" si="93"/>
        <v>0</v>
      </c>
      <c r="T140" s="85">
        <f t="shared" si="94"/>
        <v>0</v>
      </c>
      <c r="U140" s="191"/>
      <c r="V140" s="195">
        <f t="shared" si="96"/>
        <v>0</v>
      </c>
    </row>
    <row r="141" spans="1:22" ht="26.4" x14ac:dyDescent="0.25">
      <c r="A141" s="482" t="s">
        <v>570</v>
      </c>
      <c r="B141" s="20" t="s">
        <v>195</v>
      </c>
      <c r="C141" s="71"/>
      <c r="D141" s="69">
        <v>44000</v>
      </c>
      <c r="E141" s="69">
        <v>190000</v>
      </c>
      <c r="F141" s="69"/>
      <c r="G141" s="69"/>
      <c r="H141" s="81">
        <v>43039</v>
      </c>
      <c r="I141" s="81">
        <v>188702</v>
      </c>
      <c r="J141" s="81"/>
      <c r="K141" s="69"/>
      <c r="L141" s="640" t="e">
        <f t="shared" si="90"/>
        <v>#DIV/0!</v>
      </c>
      <c r="M141" s="640">
        <f t="shared" si="91"/>
        <v>4.2886818181818178</v>
      </c>
      <c r="N141" s="640">
        <f t="shared" si="92"/>
        <v>0</v>
      </c>
      <c r="O141" s="655"/>
      <c r="P141" s="81">
        <f t="shared" si="95"/>
        <v>44000</v>
      </c>
      <c r="Q141" s="81">
        <f t="shared" si="95"/>
        <v>146000</v>
      </c>
      <c r="R141" s="81">
        <f t="shared" si="95"/>
        <v>0</v>
      </c>
      <c r="S141" s="81">
        <f t="shared" si="93"/>
        <v>190000</v>
      </c>
      <c r="T141" s="85">
        <f t="shared" si="94"/>
        <v>0</v>
      </c>
      <c r="U141" s="191"/>
      <c r="V141" s="195">
        <f t="shared" si="96"/>
        <v>0</v>
      </c>
    </row>
    <row r="142" spans="1:22" x14ac:dyDescent="0.25">
      <c r="A142" s="14" t="s">
        <v>196</v>
      </c>
      <c r="B142" s="20" t="s">
        <v>197</v>
      </c>
      <c r="C142" s="71"/>
      <c r="D142" s="69">
        <v>0</v>
      </c>
      <c r="E142" s="69">
        <v>0</v>
      </c>
      <c r="F142" s="69"/>
      <c r="G142" s="69"/>
      <c r="H142" s="81">
        <v>0</v>
      </c>
      <c r="I142" s="81"/>
      <c r="J142" s="81"/>
      <c r="K142" s="69"/>
      <c r="L142" s="640"/>
      <c r="M142" s="640"/>
      <c r="N142" s="640" t="e">
        <f t="shared" ref="N142:N143" si="97">+J142/E142</f>
        <v>#DIV/0!</v>
      </c>
      <c r="O142" s="655"/>
      <c r="P142" s="81">
        <f t="shared" si="95"/>
        <v>0</v>
      </c>
      <c r="Q142" s="81">
        <f t="shared" si="95"/>
        <v>0</v>
      </c>
      <c r="R142" s="81">
        <f t="shared" si="95"/>
        <v>0</v>
      </c>
      <c r="S142" s="81">
        <f t="shared" si="93"/>
        <v>0</v>
      </c>
      <c r="T142" s="85">
        <f t="shared" si="94"/>
        <v>0</v>
      </c>
      <c r="U142" s="191"/>
      <c r="V142" s="195">
        <f t="shared" si="96"/>
        <v>0</v>
      </c>
    </row>
    <row r="143" spans="1:22" x14ac:dyDescent="0.25">
      <c r="A143" s="14" t="s">
        <v>198</v>
      </c>
      <c r="B143" s="20" t="s">
        <v>199</v>
      </c>
      <c r="C143" s="71"/>
      <c r="D143" s="69">
        <v>0</v>
      </c>
      <c r="E143" s="69">
        <v>0</v>
      </c>
      <c r="F143" s="69"/>
      <c r="G143" s="69"/>
      <c r="H143" s="81">
        <v>0</v>
      </c>
      <c r="I143" s="81"/>
      <c r="J143" s="81"/>
      <c r="K143" s="69"/>
      <c r="L143" s="640"/>
      <c r="M143" s="640"/>
      <c r="N143" s="640" t="e">
        <f t="shared" si="97"/>
        <v>#DIV/0!</v>
      </c>
      <c r="O143" s="655"/>
      <c r="P143" s="81">
        <f t="shared" si="95"/>
        <v>0</v>
      </c>
      <c r="Q143" s="81">
        <f t="shared" si="95"/>
        <v>0</v>
      </c>
      <c r="R143" s="81">
        <f t="shared" si="95"/>
        <v>0</v>
      </c>
      <c r="S143" s="81">
        <f t="shared" si="93"/>
        <v>0</v>
      </c>
      <c r="T143" s="85">
        <f t="shared" si="94"/>
        <v>0</v>
      </c>
      <c r="U143" s="191"/>
      <c r="V143" s="195">
        <f t="shared" si="96"/>
        <v>0</v>
      </c>
    </row>
    <row r="144" spans="1:22" x14ac:dyDescent="0.25">
      <c r="C144" s="71"/>
      <c r="D144" s="69"/>
      <c r="E144" s="69"/>
      <c r="F144" s="69"/>
      <c r="G144" s="69"/>
      <c r="H144" s="81"/>
      <c r="I144" s="81"/>
      <c r="J144" s="81"/>
      <c r="K144" s="69"/>
      <c r="L144" s="640"/>
      <c r="M144" s="640"/>
      <c r="N144" s="640"/>
      <c r="O144" s="655"/>
      <c r="P144" s="81"/>
      <c r="Q144" s="81"/>
      <c r="R144" s="81"/>
      <c r="S144" s="81"/>
      <c r="T144" s="85"/>
      <c r="U144" s="191"/>
      <c r="V144" s="195">
        <f t="shared" si="96"/>
        <v>0</v>
      </c>
    </row>
    <row r="145" spans="1:22" x14ac:dyDescent="0.25">
      <c r="A145" s="4" t="s">
        <v>200</v>
      </c>
      <c r="B145" s="3" t="s">
        <v>201</v>
      </c>
      <c r="C145" s="66">
        <f>+C146+C166</f>
        <v>675998039</v>
      </c>
      <c r="D145" s="66">
        <f t="shared" ref="D145:E145" si="98">+D146+D166</f>
        <v>676652534</v>
      </c>
      <c r="E145" s="66">
        <f t="shared" si="98"/>
        <v>682652534</v>
      </c>
      <c r="F145" s="66">
        <f t="shared" ref="F145" si="99">SUM(F146:F166)</f>
        <v>0</v>
      </c>
      <c r="G145" s="66"/>
      <c r="H145" s="66">
        <f>+H146+H166</f>
        <v>347736936</v>
      </c>
      <c r="I145" s="66">
        <f t="shared" ref="I145" si="100">+I146+I166</f>
        <v>515503086</v>
      </c>
      <c r="J145" s="66">
        <f t="shared" ref="J145" si="101">+J146+J166</f>
        <v>0</v>
      </c>
      <c r="K145" s="66"/>
      <c r="L145" s="641">
        <f t="shared" ref="L145:L161" si="102">IF(H145&gt;0,H145/C145,0)</f>
        <v>0.51440524371106944</v>
      </c>
      <c r="M145" s="641">
        <f t="shared" ref="M145:M161" si="103">IF(I145&gt;0,I145/D145,0)</f>
        <v>0.76184313232764755</v>
      </c>
      <c r="N145" s="641">
        <f t="shared" ref="N145:N161" si="104">IF(J145&gt;0,J145/E145,0)</f>
        <v>0</v>
      </c>
      <c r="O145" s="656"/>
      <c r="P145" s="83">
        <f>IF(D145&gt;0,+D145-C145,0)</f>
        <v>654495</v>
      </c>
      <c r="Q145" s="83">
        <f>IF(E145&gt;0,+E145-D145,0)</f>
        <v>6000000</v>
      </c>
      <c r="R145" s="83">
        <f>IF(F145&gt;0,+F145-E145,0)</f>
        <v>0</v>
      </c>
      <c r="S145" s="83">
        <f t="shared" ref="S145:S159" si="105">+P145*P$8+Q145*Q$8+Q145*G$8</f>
        <v>6654495</v>
      </c>
      <c r="T145" s="85">
        <f t="shared" ref="T145:T159" si="106">IF(C145=0,0,+S145/C145)</f>
        <v>9.8439560710027445E-3</v>
      </c>
      <c r="U145" s="193"/>
      <c r="V145" s="195">
        <f t="shared" si="96"/>
        <v>0</v>
      </c>
    </row>
    <row r="146" spans="1:22" x14ac:dyDescent="0.25">
      <c r="A146" s="719" t="s">
        <v>202</v>
      </c>
      <c r="B146" s="720" t="s">
        <v>203</v>
      </c>
      <c r="C146" s="71">
        <f>+C147+C153+C158+C159+C161+C163+C164+C165</f>
        <v>675998039</v>
      </c>
      <c r="D146" s="71">
        <f t="shared" ref="D146:E146" si="107">+D147+D153+D158+D159+D161+D163+D164+D165</f>
        <v>676652534</v>
      </c>
      <c r="E146" s="71">
        <f t="shared" si="107"/>
        <v>682652534</v>
      </c>
      <c r="F146" s="69"/>
      <c r="G146" s="69"/>
      <c r="H146" s="71">
        <f>+H147+H153+H158+H159+H161+H163+H164+H165</f>
        <v>347736936</v>
      </c>
      <c r="I146" s="71">
        <f t="shared" ref="I146" si="108">+I147+I153+I158+I159+I161+I163+I164+I165</f>
        <v>515503086</v>
      </c>
      <c r="J146" s="71">
        <f t="shared" ref="J146" si="109">+J147+J153+J158+J159+J161+J163+J164+J165</f>
        <v>0</v>
      </c>
      <c r="K146" s="69"/>
      <c r="L146" s="671">
        <f t="shared" si="102"/>
        <v>0.51440524371106944</v>
      </c>
      <c r="M146" s="671">
        <f t="shared" si="103"/>
        <v>0.76184313232764755</v>
      </c>
      <c r="N146" s="671">
        <f t="shared" si="104"/>
        <v>0</v>
      </c>
      <c r="O146" s="655"/>
      <c r="P146" s="81">
        <f t="shared" ref="P146:P159" si="110">+(D146-C146)*P$8</f>
        <v>654495</v>
      </c>
      <c r="Q146" s="81">
        <f t="shared" ref="Q146:Q159" si="111">+(E146-D146)*Q$8</f>
        <v>6000000</v>
      </c>
      <c r="R146" s="81">
        <f t="shared" ref="R146:R159" si="112">+(F146-E146)*R$8</f>
        <v>0</v>
      </c>
      <c r="S146" s="81">
        <f t="shared" si="105"/>
        <v>6654495</v>
      </c>
      <c r="T146" s="85">
        <f t="shared" si="106"/>
        <v>9.8439560710027445E-3</v>
      </c>
      <c r="U146" s="191"/>
      <c r="V146" s="195">
        <f t="shared" si="96"/>
        <v>0</v>
      </c>
    </row>
    <row r="147" spans="1:22" x14ac:dyDescent="0.25">
      <c r="A147" s="14" t="s">
        <v>204</v>
      </c>
      <c r="B147" s="20" t="s">
        <v>205</v>
      </c>
      <c r="C147" s="71">
        <f>+C148+C149+C151</f>
        <v>0</v>
      </c>
      <c r="D147" s="69">
        <f t="shared" ref="D147:E147" si="113">+D148+D149+D151</f>
        <v>0</v>
      </c>
      <c r="E147" s="69">
        <f t="shared" si="113"/>
        <v>0</v>
      </c>
      <c r="F147" s="69"/>
      <c r="G147" s="69"/>
      <c r="H147" s="71">
        <f t="shared" ref="H147:J147" si="114">+H148+H149+H151</f>
        <v>0</v>
      </c>
      <c r="I147" s="71">
        <f t="shared" si="114"/>
        <v>0</v>
      </c>
      <c r="J147" s="71">
        <f t="shared" si="114"/>
        <v>0</v>
      </c>
      <c r="K147" s="69"/>
      <c r="L147" s="671">
        <f t="shared" si="102"/>
        <v>0</v>
      </c>
      <c r="M147" s="671">
        <f t="shared" si="103"/>
        <v>0</v>
      </c>
      <c r="N147" s="671">
        <f t="shared" si="104"/>
        <v>0</v>
      </c>
      <c r="O147" s="655"/>
      <c r="P147" s="81">
        <f t="shared" si="110"/>
        <v>0</v>
      </c>
      <c r="Q147" s="81">
        <f t="shared" si="111"/>
        <v>0</v>
      </c>
      <c r="R147" s="81">
        <f t="shared" si="112"/>
        <v>0</v>
      </c>
      <c r="S147" s="81">
        <f t="shared" si="105"/>
        <v>0</v>
      </c>
      <c r="T147" s="85">
        <f t="shared" si="106"/>
        <v>0</v>
      </c>
      <c r="U147" s="191"/>
      <c r="V147" s="195">
        <f t="shared" si="96"/>
        <v>0</v>
      </c>
    </row>
    <row r="148" spans="1:22" x14ac:dyDescent="0.25">
      <c r="A148" s="14" t="s">
        <v>206</v>
      </c>
      <c r="B148" s="20" t="s">
        <v>207</v>
      </c>
      <c r="C148" s="71"/>
      <c r="D148" s="69"/>
      <c r="E148" s="69">
        <v>0</v>
      </c>
      <c r="F148" s="69"/>
      <c r="G148" s="69"/>
      <c r="H148" s="81"/>
      <c r="I148" s="81"/>
      <c r="J148" s="81"/>
      <c r="K148" s="69"/>
      <c r="L148" s="671">
        <f t="shared" si="102"/>
        <v>0</v>
      </c>
      <c r="M148" s="671">
        <f t="shared" si="103"/>
        <v>0</v>
      </c>
      <c r="N148" s="671">
        <f t="shared" si="104"/>
        <v>0</v>
      </c>
      <c r="O148" s="655"/>
      <c r="P148" s="81">
        <f t="shared" si="110"/>
        <v>0</v>
      </c>
      <c r="Q148" s="81">
        <f t="shared" si="111"/>
        <v>0</v>
      </c>
      <c r="R148" s="81">
        <f t="shared" si="112"/>
        <v>0</v>
      </c>
      <c r="S148" s="81">
        <f t="shared" si="105"/>
        <v>0</v>
      </c>
      <c r="T148" s="85">
        <f t="shared" si="106"/>
        <v>0</v>
      </c>
      <c r="U148" s="191"/>
      <c r="V148" s="195">
        <f t="shared" si="96"/>
        <v>0</v>
      </c>
    </row>
    <row r="149" spans="1:22" ht="26.4" x14ac:dyDescent="0.25">
      <c r="A149" s="14" t="s">
        <v>208</v>
      </c>
      <c r="B149" s="20" t="s">
        <v>209</v>
      </c>
      <c r="C149" s="71"/>
      <c r="D149" s="69"/>
      <c r="E149" s="69">
        <v>0</v>
      </c>
      <c r="F149" s="69"/>
      <c r="G149" s="69"/>
      <c r="H149" s="81"/>
      <c r="I149" s="81"/>
      <c r="J149" s="81"/>
      <c r="K149" s="69"/>
      <c r="L149" s="671">
        <f t="shared" si="102"/>
        <v>0</v>
      </c>
      <c r="M149" s="671">
        <f t="shared" si="103"/>
        <v>0</v>
      </c>
      <c r="N149" s="671">
        <f t="shared" si="104"/>
        <v>0</v>
      </c>
      <c r="O149" s="655"/>
      <c r="P149" s="81">
        <f t="shared" si="110"/>
        <v>0</v>
      </c>
      <c r="Q149" s="81">
        <f t="shared" si="111"/>
        <v>0</v>
      </c>
      <c r="R149" s="81">
        <f t="shared" si="112"/>
        <v>0</v>
      </c>
      <c r="S149" s="81">
        <f t="shared" si="105"/>
        <v>0</v>
      </c>
      <c r="T149" s="85">
        <f t="shared" si="106"/>
        <v>0</v>
      </c>
      <c r="U149" s="191"/>
      <c r="V149" s="195">
        <f t="shared" si="96"/>
        <v>0</v>
      </c>
    </row>
    <row r="150" spans="1:22" ht="26.4" x14ac:dyDescent="0.25">
      <c r="B150" s="20" t="s">
        <v>210</v>
      </c>
      <c r="C150" s="71"/>
      <c r="D150" s="69"/>
      <c r="E150" s="69">
        <v>0</v>
      </c>
      <c r="F150" s="69"/>
      <c r="G150" s="69"/>
      <c r="H150" s="81"/>
      <c r="I150" s="81"/>
      <c r="J150" s="81"/>
      <c r="K150" s="69"/>
      <c r="L150" s="671">
        <f t="shared" si="102"/>
        <v>0</v>
      </c>
      <c r="M150" s="671">
        <f t="shared" si="103"/>
        <v>0</v>
      </c>
      <c r="N150" s="671">
        <f t="shared" si="104"/>
        <v>0</v>
      </c>
      <c r="O150" s="655"/>
      <c r="P150" s="81">
        <f t="shared" si="110"/>
        <v>0</v>
      </c>
      <c r="Q150" s="81">
        <f t="shared" si="111"/>
        <v>0</v>
      </c>
      <c r="R150" s="81">
        <f t="shared" si="112"/>
        <v>0</v>
      </c>
      <c r="S150" s="81">
        <f t="shared" si="105"/>
        <v>0</v>
      </c>
      <c r="T150" s="85">
        <f t="shared" si="106"/>
        <v>0</v>
      </c>
      <c r="U150" s="191"/>
      <c r="V150" s="195">
        <f t="shared" si="96"/>
        <v>0</v>
      </c>
    </row>
    <row r="151" spans="1:22" x14ac:dyDescent="0.25">
      <c r="A151" s="14" t="s">
        <v>211</v>
      </c>
      <c r="B151" s="20" t="s">
        <v>212</v>
      </c>
      <c r="C151" s="71"/>
      <c r="D151" s="69"/>
      <c r="E151" s="69">
        <v>0</v>
      </c>
      <c r="F151" s="69"/>
      <c r="G151" s="69"/>
      <c r="H151" s="81"/>
      <c r="I151" s="81"/>
      <c r="J151" s="81"/>
      <c r="K151" s="69"/>
      <c r="L151" s="671">
        <f t="shared" si="102"/>
        <v>0</v>
      </c>
      <c r="M151" s="671">
        <f t="shared" si="103"/>
        <v>0</v>
      </c>
      <c r="N151" s="671">
        <f t="shared" si="104"/>
        <v>0</v>
      </c>
      <c r="O151" s="655"/>
      <c r="P151" s="81">
        <f t="shared" si="110"/>
        <v>0</v>
      </c>
      <c r="Q151" s="81">
        <f t="shared" si="111"/>
        <v>0</v>
      </c>
      <c r="R151" s="81">
        <f t="shared" si="112"/>
        <v>0</v>
      </c>
      <c r="S151" s="81">
        <f t="shared" si="105"/>
        <v>0</v>
      </c>
      <c r="T151" s="85">
        <f t="shared" si="106"/>
        <v>0</v>
      </c>
      <c r="U151" s="191"/>
      <c r="V151" s="195">
        <f t="shared" si="96"/>
        <v>0</v>
      </c>
    </row>
    <row r="152" spans="1:22" ht="26.4" x14ac:dyDescent="0.25">
      <c r="B152" s="20" t="s">
        <v>213</v>
      </c>
      <c r="C152" s="71"/>
      <c r="D152" s="69"/>
      <c r="E152" s="69">
        <v>0</v>
      </c>
      <c r="F152" s="69"/>
      <c r="G152" s="69"/>
      <c r="H152" s="81"/>
      <c r="I152" s="81"/>
      <c r="J152" s="81"/>
      <c r="K152" s="69"/>
      <c r="L152" s="671">
        <f t="shared" si="102"/>
        <v>0</v>
      </c>
      <c r="M152" s="671">
        <f t="shared" si="103"/>
        <v>0</v>
      </c>
      <c r="N152" s="671">
        <f t="shared" si="104"/>
        <v>0</v>
      </c>
      <c r="O152" s="655"/>
      <c r="P152" s="81">
        <f t="shared" si="110"/>
        <v>0</v>
      </c>
      <c r="Q152" s="81">
        <f t="shared" si="111"/>
        <v>0</v>
      </c>
      <c r="R152" s="81">
        <f t="shared" si="112"/>
        <v>0</v>
      </c>
      <c r="S152" s="81">
        <f t="shared" si="105"/>
        <v>0</v>
      </c>
      <c r="T152" s="85">
        <f t="shared" si="106"/>
        <v>0</v>
      </c>
      <c r="U152" s="191"/>
      <c r="V152" s="195">
        <f t="shared" si="96"/>
        <v>0</v>
      </c>
    </row>
    <row r="153" spans="1:22" x14ac:dyDescent="0.25">
      <c r="A153" s="14" t="s">
        <v>214</v>
      </c>
      <c r="B153" s="20" t="s">
        <v>215</v>
      </c>
      <c r="C153" s="71">
        <f>+C154+C155+C156+C157</f>
        <v>0</v>
      </c>
      <c r="D153" s="71">
        <f t="shared" ref="D153:E153" si="115">+D154+D155+D156+D157</f>
        <v>0</v>
      </c>
      <c r="E153" s="71">
        <f t="shared" si="115"/>
        <v>0</v>
      </c>
      <c r="F153" s="69"/>
      <c r="G153" s="69"/>
      <c r="H153" s="71">
        <f t="shared" ref="H153:J153" si="116">+H154+H155+H156+H157</f>
        <v>0</v>
      </c>
      <c r="I153" s="71">
        <f t="shared" si="116"/>
        <v>0</v>
      </c>
      <c r="J153" s="71">
        <f t="shared" si="116"/>
        <v>0</v>
      </c>
      <c r="K153" s="69"/>
      <c r="L153" s="671">
        <f t="shared" si="102"/>
        <v>0</v>
      </c>
      <c r="M153" s="671">
        <f t="shared" si="103"/>
        <v>0</v>
      </c>
      <c r="N153" s="671">
        <f t="shared" si="104"/>
        <v>0</v>
      </c>
      <c r="O153" s="655"/>
      <c r="P153" s="81">
        <f t="shared" si="110"/>
        <v>0</v>
      </c>
      <c r="Q153" s="81">
        <f t="shared" si="111"/>
        <v>0</v>
      </c>
      <c r="R153" s="81">
        <f t="shared" si="112"/>
        <v>0</v>
      </c>
      <c r="S153" s="81">
        <f t="shared" si="105"/>
        <v>0</v>
      </c>
      <c r="T153" s="85">
        <f t="shared" si="106"/>
        <v>0</v>
      </c>
      <c r="U153" s="191"/>
      <c r="V153" s="195">
        <f t="shared" si="96"/>
        <v>0</v>
      </c>
    </row>
    <row r="154" spans="1:22" x14ac:dyDescent="0.25">
      <c r="A154" s="14" t="s">
        <v>216</v>
      </c>
      <c r="B154" s="20" t="s">
        <v>217</v>
      </c>
      <c r="C154" s="71"/>
      <c r="D154" s="69"/>
      <c r="E154" s="69"/>
      <c r="F154" s="69"/>
      <c r="G154" s="69"/>
      <c r="H154" s="81"/>
      <c r="I154" s="81"/>
      <c r="J154" s="81"/>
      <c r="K154" s="69"/>
      <c r="L154" s="671">
        <f t="shared" si="102"/>
        <v>0</v>
      </c>
      <c r="M154" s="671">
        <f t="shared" si="103"/>
        <v>0</v>
      </c>
      <c r="N154" s="671">
        <f t="shared" si="104"/>
        <v>0</v>
      </c>
      <c r="O154" s="655"/>
      <c r="P154" s="81">
        <f t="shared" si="110"/>
        <v>0</v>
      </c>
      <c r="Q154" s="81">
        <f t="shared" si="111"/>
        <v>0</v>
      </c>
      <c r="R154" s="81">
        <f t="shared" si="112"/>
        <v>0</v>
      </c>
      <c r="S154" s="81">
        <f t="shared" si="105"/>
        <v>0</v>
      </c>
      <c r="T154" s="85">
        <f t="shared" si="106"/>
        <v>0</v>
      </c>
      <c r="U154" s="191"/>
      <c r="V154" s="195">
        <f t="shared" si="96"/>
        <v>0</v>
      </c>
    </row>
    <row r="155" spans="1:22" x14ac:dyDescent="0.25">
      <c r="A155" s="14" t="s">
        <v>218</v>
      </c>
      <c r="B155" s="20" t="s">
        <v>220</v>
      </c>
      <c r="C155" s="71"/>
      <c r="D155" s="69"/>
      <c r="E155" s="69"/>
      <c r="F155" s="69"/>
      <c r="G155" s="69"/>
      <c r="H155" s="81"/>
      <c r="I155" s="81"/>
      <c r="J155" s="81"/>
      <c r="K155" s="69"/>
      <c r="L155" s="671">
        <f t="shared" si="102"/>
        <v>0</v>
      </c>
      <c r="M155" s="671">
        <f t="shared" si="103"/>
        <v>0</v>
      </c>
      <c r="N155" s="671">
        <f t="shared" si="104"/>
        <v>0</v>
      </c>
      <c r="O155" s="655"/>
      <c r="P155" s="81">
        <f t="shared" si="110"/>
        <v>0</v>
      </c>
      <c r="Q155" s="81">
        <f t="shared" si="111"/>
        <v>0</v>
      </c>
      <c r="R155" s="81">
        <f t="shared" si="112"/>
        <v>0</v>
      </c>
      <c r="S155" s="81">
        <f t="shared" si="105"/>
        <v>0</v>
      </c>
      <c r="T155" s="85">
        <f t="shared" si="106"/>
        <v>0</v>
      </c>
      <c r="U155" s="191"/>
      <c r="V155" s="195">
        <f t="shared" si="96"/>
        <v>0</v>
      </c>
    </row>
    <row r="156" spans="1:22" x14ac:dyDescent="0.25">
      <c r="A156" s="14" t="s">
        <v>219</v>
      </c>
      <c r="B156" s="20" t="s">
        <v>221</v>
      </c>
      <c r="C156" s="71"/>
      <c r="D156" s="69"/>
      <c r="E156" s="69"/>
      <c r="F156" s="69"/>
      <c r="G156" s="69"/>
      <c r="H156" s="81"/>
      <c r="I156" s="81"/>
      <c r="J156" s="81"/>
      <c r="K156" s="69"/>
      <c r="L156" s="671">
        <f t="shared" si="102"/>
        <v>0</v>
      </c>
      <c r="M156" s="671">
        <f t="shared" si="103"/>
        <v>0</v>
      </c>
      <c r="N156" s="671">
        <f t="shared" si="104"/>
        <v>0</v>
      </c>
      <c r="O156" s="655"/>
      <c r="P156" s="81">
        <f t="shared" si="110"/>
        <v>0</v>
      </c>
      <c r="Q156" s="81">
        <f t="shared" si="111"/>
        <v>0</v>
      </c>
      <c r="R156" s="81">
        <f t="shared" si="112"/>
        <v>0</v>
      </c>
      <c r="S156" s="81">
        <f t="shared" si="105"/>
        <v>0</v>
      </c>
      <c r="T156" s="85">
        <f t="shared" si="106"/>
        <v>0</v>
      </c>
      <c r="U156" s="191"/>
      <c r="V156" s="195">
        <f t="shared" si="96"/>
        <v>0</v>
      </c>
    </row>
    <row r="157" spans="1:22" x14ac:dyDescent="0.25">
      <c r="A157" s="14" t="s">
        <v>222</v>
      </c>
      <c r="B157" s="20" t="s">
        <v>223</v>
      </c>
      <c r="C157" s="71"/>
      <c r="D157" s="69"/>
      <c r="E157" s="69"/>
      <c r="F157" s="69"/>
      <c r="G157" s="69"/>
      <c r="H157" s="81"/>
      <c r="I157" s="81"/>
      <c r="J157" s="81"/>
      <c r="K157" s="69"/>
      <c r="L157" s="671">
        <f t="shared" si="102"/>
        <v>0</v>
      </c>
      <c r="M157" s="671">
        <f t="shared" si="103"/>
        <v>0</v>
      </c>
      <c r="N157" s="671">
        <f t="shared" si="104"/>
        <v>0</v>
      </c>
      <c r="O157" s="655"/>
      <c r="P157" s="81">
        <f t="shared" si="110"/>
        <v>0</v>
      </c>
      <c r="Q157" s="81">
        <f t="shared" si="111"/>
        <v>0</v>
      </c>
      <c r="R157" s="81">
        <f t="shared" si="112"/>
        <v>0</v>
      </c>
      <c r="S157" s="81">
        <f t="shared" si="105"/>
        <v>0</v>
      </c>
      <c r="T157" s="85">
        <f t="shared" si="106"/>
        <v>0</v>
      </c>
      <c r="U157" s="191"/>
      <c r="V157" s="195">
        <f t="shared" si="96"/>
        <v>0</v>
      </c>
    </row>
    <row r="158" spans="1:22" x14ac:dyDescent="0.25">
      <c r="A158" s="14" t="s">
        <v>224</v>
      </c>
      <c r="B158" s="20" t="s">
        <v>225</v>
      </c>
      <c r="C158" s="142"/>
      <c r="D158" s="69"/>
      <c r="E158" s="69"/>
      <c r="F158" s="69"/>
      <c r="G158" s="69"/>
      <c r="H158" s="81"/>
      <c r="I158" s="81"/>
      <c r="J158" s="81"/>
      <c r="K158" s="69"/>
      <c r="L158" s="671">
        <f t="shared" si="102"/>
        <v>0</v>
      </c>
      <c r="M158" s="671">
        <f t="shared" si="103"/>
        <v>0</v>
      </c>
      <c r="N158" s="671">
        <f t="shared" si="104"/>
        <v>0</v>
      </c>
      <c r="O158" s="655"/>
      <c r="P158" s="81">
        <f t="shared" si="110"/>
        <v>0</v>
      </c>
      <c r="Q158" s="81">
        <f t="shared" si="111"/>
        <v>0</v>
      </c>
      <c r="R158" s="81">
        <f t="shared" si="112"/>
        <v>0</v>
      </c>
      <c r="S158" s="81">
        <f t="shared" si="105"/>
        <v>0</v>
      </c>
      <c r="T158" s="85">
        <f t="shared" si="106"/>
        <v>0</v>
      </c>
      <c r="U158" s="191"/>
      <c r="V158" s="195">
        <f t="shared" si="96"/>
        <v>0</v>
      </c>
    </row>
    <row r="159" spans="1:22" x14ac:dyDescent="0.25">
      <c r="A159" s="14" t="s">
        <v>226</v>
      </c>
      <c r="B159" s="20" t="s">
        <v>227</v>
      </c>
      <c r="C159" s="142">
        <v>24577359</v>
      </c>
      <c r="D159" s="142">
        <v>25231854</v>
      </c>
      <c r="E159" s="142">
        <v>25231854</v>
      </c>
      <c r="F159" s="69"/>
      <c r="G159" s="69"/>
      <c r="H159" s="142">
        <v>25231854</v>
      </c>
      <c r="I159" s="142">
        <v>25231854</v>
      </c>
      <c r="J159" s="81"/>
      <c r="K159" s="69"/>
      <c r="L159" s="671">
        <f t="shared" si="102"/>
        <v>1.0266299971449333</v>
      </c>
      <c r="M159" s="671">
        <f t="shared" si="103"/>
        <v>1</v>
      </c>
      <c r="N159" s="671">
        <f t="shared" si="104"/>
        <v>0</v>
      </c>
      <c r="O159" s="655"/>
      <c r="P159" s="81">
        <f t="shared" si="110"/>
        <v>654495</v>
      </c>
      <c r="Q159" s="81">
        <f t="shared" si="111"/>
        <v>0</v>
      </c>
      <c r="R159" s="81">
        <f t="shared" si="112"/>
        <v>0</v>
      </c>
      <c r="S159" s="81">
        <f t="shared" si="105"/>
        <v>654495</v>
      </c>
      <c r="T159" s="85">
        <f t="shared" si="106"/>
        <v>2.6629997144933269E-2</v>
      </c>
      <c r="U159" s="191"/>
      <c r="V159" s="195">
        <f t="shared" si="96"/>
        <v>0</v>
      </c>
    </row>
    <row r="160" spans="1:22" x14ac:dyDescent="0.25">
      <c r="B160" s="20" t="s">
        <v>228</v>
      </c>
      <c r="C160" s="71"/>
      <c r="D160" s="69"/>
      <c r="E160" s="69"/>
      <c r="F160" s="69"/>
      <c r="G160" s="69"/>
      <c r="H160" s="81"/>
      <c r="I160" s="81"/>
      <c r="J160" s="81"/>
      <c r="K160" s="69"/>
      <c r="L160" s="671">
        <f t="shared" si="102"/>
        <v>0</v>
      </c>
      <c r="M160" s="671">
        <f t="shared" si="103"/>
        <v>0</v>
      </c>
      <c r="N160" s="671">
        <f t="shared" si="104"/>
        <v>0</v>
      </c>
      <c r="O160" s="655"/>
      <c r="P160" s="81">
        <f t="shared" ref="P160:P166" si="117">+(D160-C160)*P$8</f>
        <v>0</v>
      </c>
      <c r="Q160" s="81">
        <f t="shared" ref="Q160:Q166" si="118">+(E160-D160)*Q$8</f>
        <v>0</v>
      </c>
      <c r="R160" s="81">
        <f t="shared" ref="R160:R166" si="119">+(F160-E160)*R$8</f>
        <v>0</v>
      </c>
      <c r="S160" s="81">
        <f t="shared" ref="S160:S166" si="120">+P160*P$8+Q160*Q$8+Q160*G$8</f>
        <v>0</v>
      </c>
      <c r="T160" s="85">
        <f t="shared" ref="T160:T166" si="121">IF(C160=0,0,+S160/C160)</f>
        <v>0</v>
      </c>
      <c r="U160" s="191"/>
      <c r="V160" s="195">
        <f t="shared" si="96"/>
        <v>0</v>
      </c>
    </row>
    <row r="161" spans="1:22" x14ac:dyDescent="0.25">
      <c r="A161" s="529" t="s">
        <v>229</v>
      </c>
      <c r="B161" s="482" t="s">
        <v>230</v>
      </c>
      <c r="C161" s="142">
        <f>+'8. Dr Gáspár HSZK'!C100+'6. Csicsergő'!C100+'5. Gólyahír'!C100+'4. Polg.Hiv.'!C100+'7. WAMKK'!C100+'9. Közp. Konyha'!C100</f>
        <v>651420680</v>
      </c>
      <c r="D161" s="143">
        <v>651420680</v>
      </c>
      <c r="E161" s="143">
        <v>657420680</v>
      </c>
      <c r="F161" s="69"/>
      <c r="G161" s="69"/>
      <c r="H161" s="81">
        <v>322505082</v>
      </c>
      <c r="I161" s="81">
        <v>490271232</v>
      </c>
      <c r="J161" s="81"/>
      <c r="K161" s="69"/>
      <c r="L161" s="671">
        <f t="shared" si="102"/>
        <v>0.49507958820097636</v>
      </c>
      <c r="M161" s="671">
        <f t="shared" si="103"/>
        <v>0.75261846461490911</v>
      </c>
      <c r="N161" s="671">
        <f t="shared" si="104"/>
        <v>0</v>
      </c>
      <c r="O161" s="655"/>
      <c r="P161" s="81">
        <f t="shared" si="117"/>
        <v>0</v>
      </c>
      <c r="Q161" s="81">
        <f t="shared" si="118"/>
        <v>6000000</v>
      </c>
      <c r="R161" s="81">
        <f t="shared" si="119"/>
        <v>0</v>
      </c>
      <c r="S161" s="81">
        <f t="shared" si="120"/>
        <v>6000000</v>
      </c>
      <c r="T161" s="85">
        <f t="shared" si="121"/>
        <v>9.2106378937800992E-3</v>
      </c>
      <c r="U161" s="191"/>
      <c r="V161" s="195">
        <f t="shared" si="96"/>
        <v>0</v>
      </c>
    </row>
    <row r="162" spans="1:22" x14ac:dyDescent="0.25">
      <c r="B162" s="20" t="s">
        <v>231</v>
      </c>
      <c r="C162" s="71"/>
      <c r="D162" s="69"/>
      <c r="E162" s="69"/>
      <c r="F162" s="69"/>
      <c r="G162" s="69"/>
      <c r="H162" s="81"/>
      <c r="I162" s="81"/>
      <c r="J162" s="81"/>
      <c r="K162" s="69"/>
      <c r="L162" s="671">
        <f t="shared" ref="L162:L166" si="122">IF(H162&gt;0,H162/C162,0)</f>
        <v>0</v>
      </c>
      <c r="M162" s="671">
        <f t="shared" ref="M162:M166" si="123">IF(I162&gt;0,I162/D162,0)</f>
        <v>0</v>
      </c>
      <c r="N162" s="671" t="e">
        <f t="shared" ref="N162:N166" si="124">+J162/E162</f>
        <v>#DIV/0!</v>
      </c>
      <c r="O162" s="655"/>
      <c r="P162" s="81">
        <f t="shared" si="117"/>
        <v>0</v>
      </c>
      <c r="Q162" s="81">
        <f t="shared" si="118"/>
        <v>0</v>
      </c>
      <c r="R162" s="81">
        <f t="shared" si="119"/>
        <v>0</v>
      </c>
      <c r="S162" s="81">
        <f t="shared" si="120"/>
        <v>0</v>
      </c>
      <c r="T162" s="85">
        <f t="shared" si="121"/>
        <v>0</v>
      </c>
      <c r="U162" s="191"/>
      <c r="V162" s="195">
        <f t="shared" si="96"/>
        <v>0</v>
      </c>
    </row>
    <row r="163" spans="1:22" x14ac:dyDescent="0.25">
      <c r="A163" s="14" t="s">
        <v>232</v>
      </c>
      <c r="B163" s="20" t="s">
        <v>233</v>
      </c>
      <c r="C163" s="71"/>
      <c r="D163" s="69"/>
      <c r="E163" s="69"/>
      <c r="F163" s="69"/>
      <c r="G163" s="69"/>
      <c r="H163" s="81"/>
      <c r="I163" s="81"/>
      <c r="J163" s="81"/>
      <c r="K163" s="69"/>
      <c r="L163" s="671">
        <f t="shared" si="122"/>
        <v>0</v>
      </c>
      <c r="M163" s="671">
        <f t="shared" si="123"/>
        <v>0</v>
      </c>
      <c r="N163" s="671" t="e">
        <f t="shared" si="124"/>
        <v>#DIV/0!</v>
      </c>
      <c r="O163" s="655"/>
      <c r="P163" s="81">
        <f t="shared" si="117"/>
        <v>0</v>
      </c>
      <c r="Q163" s="81">
        <f t="shared" si="118"/>
        <v>0</v>
      </c>
      <c r="R163" s="81">
        <f t="shared" si="119"/>
        <v>0</v>
      </c>
      <c r="S163" s="81">
        <f t="shared" si="120"/>
        <v>0</v>
      </c>
      <c r="T163" s="85">
        <f t="shared" si="121"/>
        <v>0</v>
      </c>
      <c r="U163" s="191"/>
      <c r="V163" s="195">
        <f t="shared" si="96"/>
        <v>0</v>
      </c>
    </row>
    <row r="164" spans="1:22" x14ac:dyDescent="0.25">
      <c r="A164" s="14" t="s">
        <v>234</v>
      </c>
      <c r="B164" s="20" t="s">
        <v>235</v>
      </c>
      <c r="C164" s="71"/>
      <c r="D164" s="69"/>
      <c r="E164" s="69"/>
      <c r="F164" s="69"/>
      <c r="G164" s="69"/>
      <c r="H164" s="81"/>
      <c r="I164" s="81"/>
      <c r="J164" s="81"/>
      <c r="K164" s="69"/>
      <c r="L164" s="671">
        <f t="shared" si="122"/>
        <v>0</v>
      </c>
      <c r="M164" s="671">
        <f t="shared" si="123"/>
        <v>0</v>
      </c>
      <c r="N164" s="671" t="e">
        <f t="shared" si="124"/>
        <v>#DIV/0!</v>
      </c>
      <c r="O164" s="655"/>
      <c r="P164" s="81">
        <f t="shared" si="117"/>
        <v>0</v>
      </c>
      <c r="Q164" s="81">
        <f t="shared" si="118"/>
        <v>0</v>
      </c>
      <c r="R164" s="81">
        <f t="shared" si="119"/>
        <v>0</v>
      </c>
      <c r="S164" s="81">
        <f t="shared" si="120"/>
        <v>0</v>
      </c>
      <c r="T164" s="85">
        <f t="shared" si="121"/>
        <v>0</v>
      </c>
      <c r="U164" s="191"/>
      <c r="V164" s="195">
        <f t="shared" si="96"/>
        <v>0</v>
      </c>
    </row>
    <row r="165" spans="1:22" x14ac:dyDescent="0.25">
      <c r="A165" s="14" t="s">
        <v>236</v>
      </c>
      <c r="B165" s="20" t="s">
        <v>237</v>
      </c>
      <c r="C165" s="71"/>
      <c r="D165" s="69"/>
      <c r="E165" s="69"/>
      <c r="F165" s="69"/>
      <c r="G165" s="69"/>
      <c r="H165" s="81"/>
      <c r="I165" s="81"/>
      <c r="J165" s="81"/>
      <c r="K165" s="69"/>
      <c r="L165" s="671">
        <f t="shared" si="122"/>
        <v>0</v>
      </c>
      <c r="M165" s="671">
        <f t="shared" si="123"/>
        <v>0</v>
      </c>
      <c r="N165" s="671" t="e">
        <f t="shared" si="124"/>
        <v>#DIV/0!</v>
      </c>
      <c r="O165" s="655"/>
      <c r="P165" s="81">
        <f t="shared" si="117"/>
        <v>0</v>
      </c>
      <c r="Q165" s="81">
        <f t="shared" si="118"/>
        <v>0</v>
      </c>
      <c r="R165" s="81">
        <f t="shared" si="119"/>
        <v>0</v>
      </c>
      <c r="S165" s="81">
        <f t="shared" si="120"/>
        <v>0</v>
      </c>
      <c r="T165" s="85">
        <f t="shared" si="121"/>
        <v>0</v>
      </c>
      <c r="U165" s="191"/>
      <c r="V165" s="195">
        <f t="shared" si="96"/>
        <v>0</v>
      </c>
    </row>
    <row r="166" spans="1:22" x14ac:dyDescent="0.25">
      <c r="A166" s="14" t="s">
        <v>238</v>
      </c>
      <c r="B166" s="20" t="s">
        <v>239</v>
      </c>
      <c r="C166" s="71"/>
      <c r="D166" s="69"/>
      <c r="E166" s="69"/>
      <c r="F166" s="69"/>
      <c r="G166" s="69"/>
      <c r="H166" s="81"/>
      <c r="I166" s="81"/>
      <c r="J166" s="81"/>
      <c r="K166" s="69"/>
      <c r="L166" s="671">
        <f t="shared" si="122"/>
        <v>0</v>
      </c>
      <c r="M166" s="671">
        <f t="shared" si="123"/>
        <v>0</v>
      </c>
      <c r="N166" s="671" t="e">
        <f t="shared" si="124"/>
        <v>#DIV/0!</v>
      </c>
      <c r="O166" s="655"/>
      <c r="P166" s="81">
        <f t="shared" si="117"/>
        <v>0</v>
      </c>
      <c r="Q166" s="81">
        <f t="shared" si="118"/>
        <v>0</v>
      </c>
      <c r="R166" s="81">
        <f t="shared" si="119"/>
        <v>0</v>
      </c>
      <c r="S166" s="81">
        <f t="shared" si="120"/>
        <v>0</v>
      </c>
      <c r="T166" s="85">
        <f t="shared" si="121"/>
        <v>0</v>
      </c>
      <c r="U166" s="191"/>
      <c r="V166" s="195">
        <f t="shared" si="96"/>
        <v>0</v>
      </c>
    </row>
    <row r="167" spans="1:22" x14ac:dyDescent="0.25">
      <c r="C167" s="71"/>
      <c r="D167" s="69"/>
      <c r="E167" s="69"/>
      <c r="F167" s="69"/>
      <c r="G167" s="69"/>
      <c r="H167" s="81"/>
      <c r="I167" s="81"/>
      <c r="J167" s="81"/>
      <c r="K167" s="69"/>
      <c r="L167" s="671"/>
      <c r="M167" s="671"/>
      <c r="N167" s="671"/>
      <c r="O167" s="655"/>
      <c r="P167" s="81"/>
      <c r="Q167" s="81"/>
      <c r="R167" s="81"/>
      <c r="S167" s="81"/>
      <c r="T167" s="85"/>
      <c r="U167" s="191"/>
      <c r="V167" s="195">
        <f t="shared" si="96"/>
        <v>0</v>
      </c>
    </row>
    <row r="168" spans="1:22" x14ac:dyDescent="0.25">
      <c r="A168" s="4"/>
      <c r="B168" s="3" t="s">
        <v>104</v>
      </c>
      <c r="C168" s="66">
        <f>C13+C29+C32+C81+C106+C120+C129+C135+C145</f>
        <v>1307317299</v>
      </c>
      <c r="D168" s="66">
        <f>D13+D29+D32+D81+D106+D120+D129+D135+D145</f>
        <v>1369445299</v>
      </c>
      <c r="E168" s="66">
        <f>E13+E29+E32+E81+E106+E120+E129+E135+E145</f>
        <v>1401721794</v>
      </c>
      <c r="F168" s="66">
        <f>F13+F29+F32+F81+F106+F120+F129+F135+F145</f>
        <v>0</v>
      </c>
      <c r="G168" s="66"/>
      <c r="H168" s="83">
        <f t="shared" ref="H168" si="125">H13+H29+H32+H81+H106+H120+H129+H135+H145</f>
        <v>621468813</v>
      </c>
      <c r="I168" s="83">
        <f>I13+I29+I32+I81+I106+I120+I129+I135+I145</f>
        <v>970580800</v>
      </c>
      <c r="J168" s="83">
        <f>J13+J29+J32+J81+J106+J120+J129+J135+J145</f>
        <v>0</v>
      </c>
      <c r="K168" s="66"/>
      <c r="L168" s="641">
        <f>H168/C168</f>
        <v>0.47537718155751263</v>
      </c>
      <c r="M168" s="641">
        <f>I168/D168</f>
        <v>0.70874010134522358</v>
      </c>
      <c r="N168" s="641">
        <f>+J168/E168</f>
        <v>0</v>
      </c>
      <c r="O168" s="656"/>
      <c r="P168" s="83">
        <f>IF(D168&gt;0,+D168-C168,0)</f>
        <v>62128000</v>
      </c>
      <c r="Q168" s="83">
        <f>IF(E168&gt;0,+E168-D168,0)</f>
        <v>32276495</v>
      </c>
      <c r="R168" s="83">
        <f>IF(F168&gt;0,+F168-E168,0)</f>
        <v>0</v>
      </c>
      <c r="S168" s="83">
        <f>+P168*P$8+Q168*Q$8+Q168*G$8</f>
        <v>94404495</v>
      </c>
      <c r="T168" s="85">
        <f>IF(C168=0,0,+S168/C168)</f>
        <v>7.2212381089282907E-2</v>
      </c>
      <c r="U168" s="193"/>
      <c r="V168" s="196">
        <f t="shared" si="96"/>
        <v>0</v>
      </c>
    </row>
    <row r="169" spans="1:22" x14ac:dyDescent="0.25">
      <c r="A169" s="22"/>
      <c r="B169" s="22"/>
      <c r="C169" s="73"/>
      <c r="D169" s="74"/>
      <c r="E169" s="74"/>
      <c r="F169" s="74"/>
      <c r="G169" s="74"/>
      <c r="H169" s="84"/>
      <c r="I169" s="84"/>
      <c r="J169" s="84"/>
      <c r="K169" s="74"/>
      <c r="L169" s="658"/>
      <c r="M169" s="659"/>
      <c r="N169" s="659"/>
      <c r="O169" s="660"/>
      <c r="P169" s="84"/>
      <c r="Q169" s="84"/>
      <c r="R169" s="84"/>
      <c r="S169" s="84"/>
      <c r="T169" s="86"/>
      <c r="U169" s="74"/>
    </row>
    <row r="170" spans="1:22" hidden="1" x14ac:dyDescent="0.25">
      <c r="A170" s="22"/>
      <c r="B170" s="22"/>
      <c r="C170" s="73"/>
      <c r="D170" s="75"/>
      <c r="F170" s="74">
        <f>' 2. Önk. Bevételek'!M96-'3. Önk. Kiadások'!F168</f>
        <v>1.2466454266166347</v>
      </c>
      <c r="G170" s="74"/>
      <c r="H170" s="73"/>
      <c r="K170" s="74"/>
      <c r="L170" s="658"/>
      <c r="M170" s="659"/>
      <c r="N170" s="659"/>
      <c r="O170" s="660"/>
      <c r="P170" s="73"/>
      <c r="Q170" s="73"/>
      <c r="R170" s="73"/>
      <c r="S170" s="73"/>
      <c r="T170" s="86"/>
      <c r="U170" s="74"/>
    </row>
    <row r="171" spans="1:22" hidden="1" x14ac:dyDescent="0.25">
      <c r="A171" s="22"/>
      <c r="B171" s="22"/>
      <c r="C171" s="73"/>
      <c r="D171" s="75" t="s">
        <v>435</v>
      </c>
      <c r="E171" s="74">
        <f>' 2. Önk. Bevételek'!E96-'3. Önk. Kiadások'!E168</f>
        <v>0</v>
      </c>
      <c r="F171" s="74"/>
      <c r="G171" s="74"/>
      <c r="H171" s="73"/>
      <c r="I171" s="270">
        <f>36792991*0+'8. Dr Gáspár HSZK'!I100+'6. Csicsergő'!I100+'5. Gólyahír'!I100+'4. Polg.Hiv.'!M100+'7. WAMKK'!M100+'9. Közp. Konyha'!M100</f>
        <v>276938059.13680875</v>
      </c>
      <c r="K171" s="74"/>
      <c r="L171" s="658"/>
      <c r="M171" s="659"/>
      <c r="N171" s="659"/>
      <c r="O171" s="660"/>
      <c r="P171" s="73"/>
      <c r="Q171" s="73"/>
      <c r="R171" s="73"/>
      <c r="S171" s="73"/>
      <c r="T171" s="86"/>
      <c r="U171" s="74"/>
    </row>
    <row r="172" spans="1:22" hidden="1" x14ac:dyDescent="0.25">
      <c r="A172" s="22"/>
      <c r="B172" s="56" t="s">
        <v>398</v>
      </c>
      <c r="C172" s="73"/>
      <c r="D172" s="73"/>
      <c r="E172" s="74"/>
      <c r="F172" s="74"/>
      <c r="G172" s="74"/>
      <c r="H172" s="73"/>
      <c r="I172" s="22"/>
      <c r="J172" s="22"/>
      <c r="K172" s="74"/>
      <c r="L172" s="658"/>
      <c r="M172" s="659"/>
      <c r="N172" s="659"/>
      <c r="O172" s="660"/>
      <c r="P172" s="73"/>
      <c r="Q172" s="73"/>
      <c r="R172" s="73"/>
      <c r="S172" s="73"/>
      <c r="U172" s="74"/>
    </row>
    <row r="173" spans="1:22" hidden="1" x14ac:dyDescent="0.25">
      <c r="A173" s="22"/>
      <c r="B173" s="22"/>
      <c r="C173" s="73"/>
      <c r="D173" s="74"/>
      <c r="E173" s="74"/>
      <c r="F173" s="74"/>
      <c r="G173" s="74"/>
      <c r="H173" s="73"/>
      <c r="K173" s="74"/>
      <c r="L173" s="658"/>
      <c r="M173" s="659"/>
      <c r="N173" s="615"/>
      <c r="O173" s="660"/>
      <c r="P173" s="73"/>
      <c r="Q173" s="73"/>
      <c r="R173" s="73"/>
      <c r="S173" s="73"/>
      <c r="U173" s="74"/>
    </row>
    <row r="174" spans="1:22" hidden="1" x14ac:dyDescent="0.25">
      <c r="A174" s="22"/>
      <c r="B174" s="56" t="s">
        <v>399</v>
      </c>
      <c r="C174" s="73"/>
      <c r="D174" s="74"/>
      <c r="E174" s="74"/>
      <c r="F174" s="74"/>
      <c r="G174" s="74"/>
      <c r="H174" s="73"/>
      <c r="K174" s="74"/>
      <c r="L174" s="658"/>
      <c r="M174" s="659"/>
      <c r="N174" s="615"/>
      <c r="O174" s="660"/>
      <c r="P174" s="73"/>
      <c r="Q174" s="73"/>
      <c r="R174" s="73"/>
      <c r="S174" s="73"/>
      <c r="U174" s="74"/>
    </row>
    <row r="175" spans="1:22" hidden="1" x14ac:dyDescent="0.25">
      <c r="A175" s="22"/>
      <c r="B175" s="22"/>
      <c r="C175" s="73"/>
      <c r="D175" s="75"/>
      <c r="E175" s="74"/>
      <c r="F175" s="74"/>
      <c r="G175" s="74"/>
      <c r="H175" s="73"/>
      <c r="K175" s="74"/>
      <c r="L175" s="658"/>
      <c r="M175" s="659"/>
      <c r="N175" s="615"/>
      <c r="O175" s="660"/>
      <c r="P175" s="73"/>
      <c r="Q175" s="73"/>
      <c r="R175" s="73"/>
      <c r="S175" s="73"/>
      <c r="U175" s="74"/>
    </row>
    <row r="176" spans="1:22" hidden="1" x14ac:dyDescent="0.25">
      <c r="A176" s="22"/>
      <c r="B176" s="22"/>
      <c r="C176" s="73"/>
      <c r="D176" s="74"/>
      <c r="E176" s="74"/>
      <c r="F176" s="74"/>
      <c r="G176" s="74"/>
      <c r="H176" s="73"/>
      <c r="K176" s="74"/>
      <c r="L176" s="658"/>
      <c r="M176" s="659"/>
      <c r="N176" s="615"/>
      <c r="O176" s="660"/>
      <c r="P176" s="73"/>
      <c r="Q176" s="73"/>
      <c r="R176" s="73"/>
      <c r="S176" s="73"/>
      <c r="U176" s="74"/>
    </row>
    <row r="177" spans="1:21" hidden="1" x14ac:dyDescent="0.25">
      <c r="A177" s="22"/>
      <c r="B177" s="22"/>
      <c r="C177" s="73"/>
      <c r="D177" s="74"/>
      <c r="E177" s="74"/>
      <c r="F177" s="74"/>
      <c r="G177" s="74"/>
      <c r="H177" s="73"/>
      <c r="K177" s="74"/>
      <c r="L177" s="658"/>
      <c r="M177" s="659"/>
      <c r="N177" s="615"/>
      <c r="O177" s="660"/>
      <c r="P177" s="73"/>
      <c r="Q177" s="73"/>
      <c r="R177" s="73"/>
      <c r="S177" s="73"/>
      <c r="U177" s="74"/>
    </row>
    <row r="178" spans="1:21" hidden="1" x14ac:dyDescent="0.25">
      <c r="A178" s="320" t="s">
        <v>427</v>
      </c>
      <c r="B178" s="22"/>
      <c r="C178" s="73"/>
      <c r="D178" s="75"/>
      <c r="E178" s="74"/>
      <c r="F178" s="74"/>
      <c r="G178" s="74"/>
      <c r="H178" s="73"/>
      <c r="K178" s="74"/>
      <c r="L178" s="658"/>
      <c r="M178" s="659"/>
      <c r="N178" s="615"/>
      <c r="O178" s="660"/>
      <c r="P178" s="73"/>
      <c r="Q178" s="73"/>
      <c r="R178" s="73"/>
      <c r="S178" s="73"/>
      <c r="U178" s="74"/>
    </row>
    <row r="179" spans="1:21" hidden="1" x14ac:dyDescent="0.25">
      <c r="A179" s="319" t="s">
        <v>425</v>
      </c>
      <c r="B179" s="56" t="str">
        <f>+'8. Dr Gáspár HSZK'!A1</f>
        <v>Dr. Gáspár István HSZK</v>
      </c>
      <c r="C179" s="73">
        <f>+'8. Dr Gáspár HSZK'!C5</f>
        <v>50435000</v>
      </c>
      <c r="D179" s="73">
        <f>+'8. Dr Gáspár HSZK'!D5</f>
        <v>50435000</v>
      </c>
      <c r="E179" s="73">
        <f>+'8. Dr Gáspár HSZK'!E5</f>
        <v>50435000</v>
      </c>
      <c r="F179" s="73">
        <f>+'8. Dr Gáspár HSZK'!F5</f>
        <v>0</v>
      </c>
      <c r="G179" s="73"/>
      <c r="H179" s="73">
        <f>+'8. Dr Gáspár HSZK'!H5</f>
        <v>21951926</v>
      </c>
      <c r="I179" s="73">
        <f>+'8. Dr Gáspár HSZK'!I5</f>
        <v>37228873</v>
      </c>
      <c r="J179" s="73">
        <f>+'8. Dr Gáspár HSZK'!J5</f>
        <v>0</v>
      </c>
      <c r="K179" s="73">
        <f>+'8. Dr Gáspár HSZK'!K5</f>
        <v>0</v>
      </c>
      <c r="L179" s="660"/>
      <c r="M179" s="660"/>
      <c r="N179" s="660"/>
      <c r="O179" s="660">
        <f>+'8. Dr Gáspár HSZK'!O5</f>
        <v>0</v>
      </c>
      <c r="P179" s="73">
        <f>+'8. Dr Gáspár HSZK'!P5</f>
        <v>0</v>
      </c>
      <c r="Q179" s="73">
        <f>+'8. Dr Gáspár HSZK'!Q5</f>
        <v>0</v>
      </c>
      <c r="R179" s="73">
        <f>+'8. Dr Gáspár HSZK'!R5</f>
        <v>0</v>
      </c>
      <c r="S179" s="73">
        <f>+'8. Dr Gáspár HSZK'!S5</f>
        <v>0</v>
      </c>
      <c r="U179" s="74"/>
    </row>
    <row r="180" spans="1:21" hidden="1" x14ac:dyDescent="0.25">
      <c r="A180" s="22"/>
      <c r="B180" s="56" t="str">
        <f>+'6. Csicsergő'!A1</f>
        <v>SÜLYSÁPI CSICSERGŐ ÓVODA</v>
      </c>
      <c r="C180" s="73">
        <f>+'6. Csicsergő'!C5</f>
        <v>233586000</v>
      </c>
      <c r="D180" s="73">
        <f>+'6. Csicsergő'!D5</f>
        <v>233586000</v>
      </c>
      <c r="E180" s="73">
        <f>+'6. Csicsergő'!E5</f>
        <v>233586000</v>
      </c>
      <c r="F180" s="73">
        <f>+'6. Csicsergő'!F5</f>
        <v>0</v>
      </c>
      <c r="G180" s="73"/>
      <c r="H180" s="73">
        <f>+'6. Csicsergő'!H5</f>
        <v>113114201</v>
      </c>
      <c r="I180" s="73">
        <f>+'6. Csicsergő'!I5</f>
        <v>168801044</v>
      </c>
      <c r="J180" s="73">
        <f>+'6. Csicsergő'!J5</f>
        <v>0</v>
      </c>
      <c r="K180" s="73">
        <f>+'6. Csicsergő'!K5</f>
        <v>0</v>
      </c>
      <c r="L180" s="660"/>
      <c r="M180" s="660"/>
      <c r="N180" s="660"/>
      <c r="O180" s="660">
        <f>+'6. Csicsergő'!O5</f>
        <v>0</v>
      </c>
      <c r="P180" s="73">
        <f>+'6. Csicsergő'!P5</f>
        <v>0</v>
      </c>
      <c r="Q180" s="73">
        <f>+'6. Csicsergő'!Q5</f>
        <v>0</v>
      </c>
      <c r="R180" s="73">
        <f>+'6. Csicsergő'!R5</f>
        <v>0</v>
      </c>
      <c r="S180" s="73">
        <f>+'6. Csicsergő'!S5</f>
        <v>0</v>
      </c>
      <c r="U180" s="74"/>
    </row>
    <row r="181" spans="1:21" hidden="1" x14ac:dyDescent="0.25">
      <c r="A181" s="22"/>
      <c r="B181" s="22" t="str">
        <f>+'5. Gólyahír'!A1</f>
        <v>GÓLYAHÍR BÖLCSŐDE</v>
      </c>
      <c r="C181" s="73">
        <f>+'5. Gólyahír'!C5</f>
        <v>93957000</v>
      </c>
      <c r="D181" s="73">
        <f>+'5. Gólyahír'!D5</f>
        <v>93957000</v>
      </c>
      <c r="E181" s="73">
        <f>+'5. Gólyahír'!E5</f>
        <v>95957000</v>
      </c>
      <c r="F181" s="73">
        <f>+'5. Gólyahír'!F5</f>
        <v>0</v>
      </c>
      <c r="G181" s="73"/>
      <c r="H181" s="73">
        <f>+'5. Gólyahír'!H5</f>
        <v>45089842</v>
      </c>
      <c r="I181" s="73">
        <f>+'5. Gólyahír'!I5</f>
        <v>70236071</v>
      </c>
      <c r="J181" s="73">
        <f>+'5. Gólyahír'!J5</f>
        <v>0</v>
      </c>
      <c r="K181" s="73">
        <f>+'5. Gólyahír'!K5</f>
        <v>0</v>
      </c>
      <c r="L181" s="660"/>
      <c r="M181" s="660"/>
      <c r="N181" s="660"/>
      <c r="O181" s="660">
        <f>+'5. Gólyahír'!O5</f>
        <v>0</v>
      </c>
      <c r="P181" s="73">
        <f>+'5. Gólyahír'!P5</f>
        <v>0</v>
      </c>
      <c r="Q181" s="73">
        <f>+'5. Gólyahír'!Q5</f>
        <v>2000000</v>
      </c>
      <c r="R181" s="73">
        <f>+'5. Gólyahír'!R5</f>
        <v>0</v>
      </c>
      <c r="S181" s="73">
        <f>+'5. Gólyahír'!S5</f>
        <v>2000000</v>
      </c>
      <c r="U181" s="74"/>
    </row>
    <row r="182" spans="1:21" hidden="1" x14ac:dyDescent="0.25">
      <c r="A182" s="22"/>
      <c r="B182" s="73" t="str">
        <f>+'4. Polg.Hiv.'!A1</f>
        <v>POLGÁRMESTERI HIVATAL</v>
      </c>
      <c r="C182" s="73">
        <f>+'4. Polg.Hiv.'!C5</f>
        <v>167430000</v>
      </c>
      <c r="D182" s="73">
        <f>+'4. Polg.Hiv.'!D5</f>
        <v>170414273</v>
      </c>
      <c r="E182" s="73">
        <f>+'4. Polg.Hiv.'!E5</f>
        <v>170414273</v>
      </c>
      <c r="F182" s="73">
        <f>+'4. Polg.Hiv.'!F5</f>
        <v>0</v>
      </c>
      <c r="G182" s="73"/>
      <c r="H182" s="73">
        <f>+'4. Polg.Hiv.'!H5</f>
        <v>92897253</v>
      </c>
      <c r="I182" s="73">
        <f>+'4. Polg.Hiv.'!I5</f>
        <v>132799102</v>
      </c>
      <c r="J182" s="73">
        <f>+'4. Polg.Hiv.'!J5</f>
        <v>0</v>
      </c>
      <c r="K182" s="73">
        <f>+'4. Polg.Hiv.'!K5</f>
        <v>0</v>
      </c>
      <c r="L182" s="660"/>
      <c r="M182" s="660"/>
      <c r="N182" s="660"/>
      <c r="O182" s="660">
        <f>+'4. Polg.Hiv.'!O5</f>
        <v>0</v>
      </c>
      <c r="P182" s="73">
        <f>+'4. Polg.Hiv.'!P5</f>
        <v>2984273</v>
      </c>
      <c r="Q182" s="73">
        <f>+'4. Polg.Hiv.'!Q5</f>
        <v>0</v>
      </c>
      <c r="R182" s="73">
        <f>+'4. Polg.Hiv.'!R5</f>
        <v>0</v>
      </c>
      <c r="S182" s="73">
        <f>+'4. Polg.Hiv.'!S5</f>
        <v>2984273</v>
      </c>
      <c r="U182" s="74"/>
    </row>
    <row r="183" spans="1:21" hidden="1" x14ac:dyDescent="0.25">
      <c r="A183" s="22"/>
      <c r="B183" s="73" t="str">
        <f>+'7. WAMKK'!A1</f>
        <v>Wass Albert Művelődési Központ és Könyvtár</v>
      </c>
      <c r="C183" s="73">
        <f>+'7. WAMKK'!C5</f>
        <v>53000000</v>
      </c>
      <c r="D183" s="73">
        <f>+'7. WAMKK'!D5</f>
        <v>53000000</v>
      </c>
      <c r="E183" s="73">
        <f>+'7. WAMKK'!E5</f>
        <v>57000000</v>
      </c>
      <c r="F183" s="73">
        <f>+'7. WAMKK'!F5</f>
        <v>0</v>
      </c>
      <c r="G183" s="73"/>
      <c r="H183" s="73">
        <f>+'7. WAMKK'!H5</f>
        <v>16779304</v>
      </c>
      <c r="I183" s="73">
        <f>+'7. WAMKK'!I5</f>
        <v>37075792</v>
      </c>
      <c r="J183" s="73">
        <f>+'7. WAMKK'!J5</f>
        <v>0</v>
      </c>
      <c r="K183" s="73">
        <f>+'7. WAMKK'!K5</f>
        <v>0</v>
      </c>
      <c r="L183" s="660"/>
      <c r="M183" s="660"/>
      <c r="N183" s="660"/>
      <c r="O183" s="660">
        <f>+'7. WAMKK'!O5</f>
        <v>0</v>
      </c>
      <c r="P183" s="73">
        <f>+'7. WAMKK'!P5</f>
        <v>0</v>
      </c>
      <c r="Q183" s="73">
        <f>+'7. WAMKK'!Q5</f>
        <v>4000000</v>
      </c>
      <c r="R183" s="73">
        <f>+'7. WAMKK'!R5</f>
        <v>0</v>
      </c>
      <c r="S183" s="73">
        <f>+'7. WAMKK'!S5</f>
        <v>4000000</v>
      </c>
      <c r="U183" s="74"/>
    </row>
    <row r="184" spans="1:21" hidden="1" x14ac:dyDescent="0.25">
      <c r="A184" s="22"/>
      <c r="B184" s="73" t="str">
        <f>+'9. Közp. Konyha'!A1</f>
        <v>Központi Konyha</v>
      </c>
      <c r="C184" s="73">
        <f>+'9. Közp. Konyha'!C5</f>
        <v>115545000</v>
      </c>
      <c r="D184" s="73">
        <f>+'9. Közp. Konyha'!D5</f>
        <v>115545000</v>
      </c>
      <c r="E184" s="73">
        <f>+'9. Közp. Konyha'!E5</f>
        <v>115545000</v>
      </c>
      <c r="F184" s="73">
        <f>+'9. Közp. Konyha'!F5</f>
        <v>0</v>
      </c>
      <c r="G184" s="73"/>
      <c r="H184" s="73">
        <f>+'9. Közp. Konyha'!H5</f>
        <v>63729284</v>
      </c>
      <c r="I184" s="73">
        <f>+'9. Közp. Konyha'!I5</f>
        <v>88844117</v>
      </c>
      <c r="J184" s="73">
        <f>+'9. Közp. Konyha'!J5</f>
        <v>0</v>
      </c>
      <c r="K184" s="73">
        <f>+'9. Közp. Konyha'!K5</f>
        <v>0</v>
      </c>
      <c r="L184" s="660"/>
      <c r="M184" s="660"/>
      <c r="N184" s="660"/>
      <c r="O184" s="660">
        <f>+'9. Közp. Konyha'!O5</f>
        <v>0</v>
      </c>
      <c r="P184" s="73">
        <f>+'9. Közp. Konyha'!P5</f>
        <v>0</v>
      </c>
      <c r="Q184" s="73">
        <f>+'9. Közp. Konyha'!Q5</f>
        <v>0</v>
      </c>
      <c r="R184" s="73">
        <f>+'9. Közp. Konyha'!R5</f>
        <v>0</v>
      </c>
      <c r="S184" s="73">
        <f>+'9. Közp. Konyha'!S5</f>
        <v>0</v>
      </c>
      <c r="U184" s="74"/>
    </row>
    <row r="185" spans="1:21" hidden="1" x14ac:dyDescent="0.25">
      <c r="A185" s="320" t="s">
        <v>426</v>
      </c>
      <c r="B185" s="73"/>
      <c r="C185" s="73"/>
      <c r="D185" s="74"/>
      <c r="E185" s="74"/>
      <c r="F185" s="74"/>
      <c r="G185" s="74"/>
      <c r="H185" s="73"/>
      <c r="I185" s="73"/>
      <c r="J185" s="73"/>
      <c r="K185" s="73"/>
      <c r="L185" s="660"/>
      <c r="M185" s="660"/>
      <c r="N185" s="660"/>
      <c r="O185" s="660"/>
      <c r="P185" s="73"/>
      <c r="Q185" s="73"/>
      <c r="R185" s="73"/>
      <c r="S185" s="73"/>
      <c r="U185" s="74"/>
    </row>
    <row r="186" spans="1:21" hidden="1" x14ac:dyDescent="0.25">
      <c r="A186" s="321">
        <v>0</v>
      </c>
      <c r="B186" s="73" t="str">
        <f t="shared" ref="B186:B191" si="126">+B179</f>
        <v>Dr. Gáspár István HSZK</v>
      </c>
      <c r="C186" s="73">
        <v>0</v>
      </c>
      <c r="D186" s="74"/>
      <c r="E186" s="74"/>
      <c r="F186" s="74"/>
      <c r="G186" s="74"/>
      <c r="H186" s="73"/>
      <c r="I186" s="73"/>
      <c r="J186" s="73"/>
      <c r="K186" s="73"/>
      <c r="L186" s="660"/>
      <c r="M186" s="660"/>
      <c r="N186" s="660"/>
      <c r="O186" s="660"/>
      <c r="P186" s="73"/>
      <c r="Q186" s="73"/>
      <c r="R186" s="73"/>
      <c r="S186" s="73"/>
      <c r="U186" s="74"/>
    </row>
    <row r="187" spans="1:21" hidden="1" x14ac:dyDescent="0.25">
      <c r="A187" s="322">
        <v>1</v>
      </c>
      <c r="B187" s="323" t="str">
        <f t="shared" si="126"/>
        <v>SÜLYSÁPI CSICSERGŐ ÓVODA</v>
      </c>
      <c r="C187" s="73">
        <f>-'6. Csicsergő'!C84*$A187</f>
        <v>-3150000</v>
      </c>
      <c r="D187" s="73">
        <f>-'6. Csicsergő'!D84*$A187</f>
        <v>-3150000</v>
      </c>
      <c r="E187" s="73">
        <f>-'6. Csicsergő'!E84*$A187</f>
        <v>-3150000</v>
      </c>
      <c r="F187" s="73">
        <f>-'6. Csicsergő'!F84*$A187</f>
        <v>0</v>
      </c>
      <c r="G187" s="73">
        <f>-'6. Csicsergő'!G84*$A187</f>
        <v>0</v>
      </c>
      <c r="H187" s="73">
        <f>-'6. Csicsergő'!H84*$A187</f>
        <v>-2648999</v>
      </c>
      <c r="I187" s="73">
        <f>-'6. Csicsergő'!I84*$A187</f>
        <v>-2648999</v>
      </c>
      <c r="J187" s="73">
        <f>-'6. Csicsergő'!J84*$A187</f>
        <v>0</v>
      </c>
      <c r="K187" s="73">
        <f>-'6. Csicsergő'!K84*$A187</f>
        <v>0</v>
      </c>
      <c r="L187" s="660"/>
      <c r="M187" s="660"/>
      <c r="N187" s="660"/>
      <c r="O187" s="660">
        <f>-'6. Csicsergő'!O84*$A187</f>
        <v>0</v>
      </c>
      <c r="P187" s="73">
        <f>-'6. Csicsergő'!P84*$A187</f>
        <v>0</v>
      </c>
      <c r="Q187" s="73">
        <f>-'6. Csicsergő'!Q84*$A187</f>
        <v>0</v>
      </c>
      <c r="R187" s="73">
        <f>-'6. Csicsergő'!R84*$A187</f>
        <v>0</v>
      </c>
      <c r="S187" s="73">
        <f>-'6. Csicsergő'!S84*$A187</f>
        <v>0</v>
      </c>
      <c r="U187" s="74"/>
    </row>
    <row r="188" spans="1:21" hidden="1" x14ac:dyDescent="0.25">
      <c r="A188" s="321">
        <v>0</v>
      </c>
      <c r="B188" s="73" t="str">
        <f t="shared" si="126"/>
        <v>GÓLYAHÍR BÖLCSŐDE</v>
      </c>
      <c r="C188" s="73">
        <v>0</v>
      </c>
      <c r="D188" s="74"/>
      <c r="E188" s="74"/>
      <c r="F188" s="74"/>
      <c r="G188" s="74"/>
      <c r="H188" s="73"/>
      <c r="I188" s="73"/>
      <c r="J188" s="73"/>
      <c r="K188" s="73"/>
      <c r="L188" s="660"/>
      <c r="M188" s="660"/>
      <c r="N188" s="660"/>
      <c r="O188" s="660"/>
      <c r="P188" s="73"/>
      <c r="Q188" s="73"/>
      <c r="R188" s="73"/>
      <c r="S188" s="73"/>
      <c r="U188" s="74"/>
    </row>
    <row r="189" spans="1:21" hidden="1" x14ac:dyDescent="0.25">
      <c r="A189" s="322">
        <v>1</v>
      </c>
      <c r="B189" s="325" t="str">
        <f t="shared" si="126"/>
        <v>POLGÁRMESTERI HIVATAL</v>
      </c>
      <c r="C189" s="73" t="e">
        <f>-'4. Polg.Hiv.'!#REF!*$A189</f>
        <v>#REF!</v>
      </c>
      <c r="D189" s="73" t="e">
        <f>-'4. Polg.Hiv.'!#REF!*$A189</f>
        <v>#REF!</v>
      </c>
      <c r="E189" s="73" t="e">
        <f>-'4. Polg.Hiv.'!#REF!*$A189</f>
        <v>#REF!</v>
      </c>
      <c r="F189" s="73" t="e">
        <f>-'4. Polg.Hiv.'!#REF!*$A189</f>
        <v>#REF!</v>
      </c>
      <c r="G189" s="73" t="e">
        <f>-'4. Polg.Hiv.'!#REF!*$A189</f>
        <v>#REF!</v>
      </c>
      <c r="H189" s="73" t="e">
        <f>-'4. Polg.Hiv.'!#REF!*$A189</f>
        <v>#REF!</v>
      </c>
      <c r="I189" s="73" t="e">
        <f>-'4. Polg.Hiv.'!#REF!*$A189</f>
        <v>#REF!</v>
      </c>
      <c r="J189" s="73" t="e">
        <f>-'4. Polg.Hiv.'!#REF!*$A189</f>
        <v>#REF!</v>
      </c>
      <c r="K189" s="73" t="e">
        <f>-'4. Polg.Hiv.'!#REF!*$A189</f>
        <v>#REF!</v>
      </c>
      <c r="L189" s="660"/>
      <c r="M189" s="660"/>
      <c r="N189" s="660"/>
      <c r="O189" s="660" t="e">
        <f>-'4. Polg.Hiv.'!#REF!*$A189</f>
        <v>#REF!</v>
      </c>
      <c r="P189" s="73" t="e">
        <f>-'4. Polg.Hiv.'!#REF!*$A189</f>
        <v>#REF!</v>
      </c>
      <c r="Q189" s="73" t="e">
        <f>-'4. Polg.Hiv.'!#REF!*$A189</f>
        <v>#REF!</v>
      </c>
      <c r="R189" s="73" t="e">
        <f>-'4. Polg.Hiv.'!#REF!*$A189</f>
        <v>#REF!</v>
      </c>
      <c r="S189" s="73" t="e">
        <f>-'4. Polg.Hiv.'!#REF!*$A189</f>
        <v>#REF!</v>
      </c>
      <c r="U189" s="74"/>
    </row>
    <row r="190" spans="1:21" hidden="1" x14ac:dyDescent="0.25">
      <c r="A190" s="321">
        <v>0</v>
      </c>
      <c r="B190" s="73" t="str">
        <f t="shared" si="126"/>
        <v>Wass Albert Művelődési Központ és Könyvtár</v>
      </c>
      <c r="C190" s="73">
        <v>0</v>
      </c>
      <c r="D190" s="74"/>
      <c r="E190" s="74"/>
      <c r="F190" s="74"/>
      <c r="G190" s="74"/>
      <c r="H190" s="73"/>
      <c r="I190" s="73"/>
      <c r="J190" s="73"/>
      <c r="K190" s="73"/>
      <c r="L190" s="660"/>
      <c r="M190" s="660"/>
      <c r="N190" s="660"/>
      <c r="O190" s="660"/>
      <c r="P190" s="73"/>
      <c r="Q190" s="73"/>
      <c r="R190" s="73"/>
      <c r="S190" s="73"/>
      <c r="U190" s="74"/>
    </row>
    <row r="191" spans="1:21" hidden="1" x14ac:dyDescent="0.25">
      <c r="A191" s="321">
        <v>0</v>
      </c>
      <c r="B191" s="73" t="str">
        <f t="shared" si="126"/>
        <v>Központi Konyha</v>
      </c>
      <c r="C191" s="73">
        <v>0</v>
      </c>
      <c r="D191" s="74"/>
      <c r="E191" s="74"/>
      <c r="F191" s="74"/>
      <c r="G191" s="74"/>
      <c r="H191" s="73"/>
      <c r="I191" s="73"/>
      <c r="J191" s="73"/>
      <c r="K191" s="73"/>
      <c r="L191" s="660"/>
      <c r="M191" s="660"/>
      <c r="N191" s="660"/>
      <c r="O191" s="660"/>
      <c r="P191" s="73"/>
      <c r="Q191" s="73"/>
      <c r="R191" s="73"/>
      <c r="S191" s="73"/>
      <c r="U191" s="74"/>
    </row>
    <row r="192" spans="1:21" hidden="1" x14ac:dyDescent="0.25">
      <c r="A192" s="73"/>
      <c r="B192" s="73"/>
      <c r="C192" s="73"/>
      <c r="D192" s="74"/>
      <c r="E192" s="74"/>
      <c r="F192" s="74"/>
      <c r="G192" s="74"/>
      <c r="H192" s="73"/>
      <c r="I192" s="73"/>
      <c r="J192" s="73"/>
      <c r="K192" s="73"/>
      <c r="L192" s="660"/>
      <c r="M192" s="660"/>
      <c r="N192" s="660"/>
      <c r="O192" s="660"/>
      <c r="P192" s="73"/>
      <c r="Q192" s="73"/>
      <c r="R192" s="73"/>
      <c r="S192" s="73"/>
      <c r="U192" s="74"/>
    </row>
    <row r="193" spans="1:21" hidden="1" x14ac:dyDescent="0.25">
      <c r="A193" s="321">
        <v>1</v>
      </c>
      <c r="B193" s="56" t="s">
        <v>422</v>
      </c>
      <c r="C193" s="73"/>
      <c r="D193" s="73" t="e">
        <f>+#REF!*$A193</f>
        <v>#REF!</v>
      </c>
      <c r="E193" s="73" t="e">
        <f>+#REF!*$A193</f>
        <v>#REF!</v>
      </c>
      <c r="F193" s="73" t="e">
        <f>+#REF!*$A193</f>
        <v>#REF!</v>
      </c>
      <c r="G193" s="74"/>
      <c r="H193" s="73"/>
      <c r="I193" s="73"/>
      <c r="J193" s="73"/>
      <c r="K193" s="73"/>
      <c r="L193" s="660"/>
      <c r="M193" s="660"/>
      <c r="N193" s="660"/>
      <c r="O193" s="660"/>
      <c r="P193" s="73"/>
      <c r="Q193" s="73"/>
      <c r="R193" s="73"/>
      <c r="S193" s="73"/>
      <c r="U193" s="74"/>
    </row>
    <row r="194" spans="1:21" hidden="1" x14ac:dyDescent="0.25">
      <c r="A194" s="321">
        <v>1</v>
      </c>
      <c r="B194" s="56" t="s">
        <v>423</v>
      </c>
      <c r="C194" s="73">
        <f>+C120*$A194</f>
        <v>49230500</v>
      </c>
      <c r="D194" s="73">
        <f>+D120</f>
        <v>37731000</v>
      </c>
      <c r="E194" s="73">
        <f>+E120</f>
        <v>58830500</v>
      </c>
      <c r="F194" s="73">
        <f>+F120</f>
        <v>0</v>
      </c>
      <c r="G194" s="73"/>
      <c r="H194" s="73">
        <f>+H120</f>
        <v>5033909</v>
      </c>
      <c r="I194" s="73">
        <f>+I120</f>
        <v>50216919</v>
      </c>
      <c r="J194" s="73">
        <f>+J120</f>
        <v>0</v>
      </c>
      <c r="K194" s="73">
        <f>+K120</f>
        <v>0</v>
      </c>
      <c r="L194" s="660"/>
      <c r="M194" s="660"/>
      <c r="N194" s="660"/>
      <c r="O194" s="660">
        <f>+O120</f>
        <v>0</v>
      </c>
      <c r="P194" s="73">
        <f>+P120</f>
        <v>-11499500</v>
      </c>
      <c r="Q194" s="73">
        <f>+Q120</f>
        <v>21099500</v>
      </c>
      <c r="R194" s="73">
        <f>+R120</f>
        <v>0</v>
      </c>
      <c r="S194" s="73">
        <f>+S120</f>
        <v>9600000</v>
      </c>
      <c r="U194" s="74"/>
    </row>
    <row r="195" spans="1:21" hidden="1" x14ac:dyDescent="0.25">
      <c r="A195" s="321">
        <v>1</v>
      </c>
      <c r="B195" s="318" t="s">
        <v>424</v>
      </c>
      <c r="C195" s="73">
        <f>+C129*A195</f>
        <v>83452445</v>
      </c>
      <c r="D195" s="73">
        <f>+D129</f>
        <v>83452445</v>
      </c>
      <c r="E195" s="73">
        <f>+E129</f>
        <v>83452445</v>
      </c>
      <c r="F195" s="73">
        <f>+F129</f>
        <v>0</v>
      </c>
      <c r="G195" s="73"/>
      <c r="H195" s="73">
        <f>+H129</f>
        <v>32771553</v>
      </c>
      <c r="I195" s="73">
        <f>+I129</f>
        <v>35385584</v>
      </c>
      <c r="J195" s="73">
        <f>+J129</f>
        <v>0</v>
      </c>
      <c r="K195" s="73">
        <f>+K129</f>
        <v>0</v>
      </c>
      <c r="L195" s="660"/>
      <c r="M195" s="660"/>
      <c r="N195" s="660"/>
      <c r="O195" s="660">
        <f>+O129</f>
        <v>0</v>
      </c>
      <c r="P195" s="73">
        <f>+P129</f>
        <v>0</v>
      </c>
      <c r="Q195" s="73">
        <f>+Q129</f>
        <v>0</v>
      </c>
      <c r="R195" s="73">
        <f>+R129</f>
        <v>0</v>
      </c>
      <c r="S195" s="73">
        <f>+S129</f>
        <v>0</v>
      </c>
      <c r="U195" s="74"/>
    </row>
    <row r="196" spans="1:21" hidden="1" x14ac:dyDescent="0.25">
      <c r="A196" s="73"/>
      <c r="B196" s="73"/>
      <c r="C196" s="73"/>
      <c r="D196" s="74"/>
      <c r="E196" s="74"/>
      <c r="F196" s="74"/>
      <c r="G196" s="74"/>
      <c r="H196" s="73"/>
      <c r="I196" s="73"/>
      <c r="J196" s="73"/>
      <c r="K196" s="73"/>
      <c r="L196" s="660"/>
      <c r="M196" s="660"/>
      <c r="N196" s="660"/>
      <c r="O196" s="660"/>
      <c r="P196" s="73"/>
      <c r="Q196" s="73"/>
      <c r="R196" s="73"/>
      <c r="S196" s="73"/>
      <c r="U196" s="74"/>
    </row>
    <row r="197" spans="1:21" hidden="1" x14ac:dyDescent="0.25">
      <c r="A197" s="324">
        <v>1</v>
      </c>
      <c r="B197" s="56" t="s">
        <v>421</v>
      </c>
      <c r="C197" s="73">
        <f>+C145</f>
        <v>675998039</v>
      </c>
      <c r="D197" s="73">
        <f t="shared" ref="D197:E197" si="127">+D145</f>
        <v>676652534</v>
      </c>
      <c r="E197" s="73">
        <f t="shared" si="127"/>
        <v>682652534</v>
      </c>
      <c r="F197" s="73">
        <f>+F145</f>
        <v>0</v>
      </c>
      <c r="G197" s="73"/>
      <c r="H197" s="73">
        <f>+H145</f>
        <v>347736936</v>
      </c>
      <c r="I197" s="73">
        <f>+I145</f>
        <v>515503086</v>
      </c>
      <c r="J197" s="73">
        <f>+J145</f>
        <v>0</v>
      </c>
      <c r="K197" s="73"/>
      <c r="L197" s="660"/>
      <c r="M197" s="660"/>
      <c r="N197" s="660"/>
      <c r="O197" s="660"/>
      <c r="P197" s="73">
        <f>+P145</f>
        <v>654495</v>
      </c>
      <c r="Q197" s="73">
        <f>+Q145</f>
        <v>6000000</v>
      </c>
      <c r="R197" s="73">
        <f>+R145</f>
        <v>0</v>
      </c>
      <c r="S197" s="73">
        <f>+S145</f>
        <v>6654495</v>
      </c>
      <c r="U197" s="74"/>
    </row>
    <row r="198" spans="1:21" hidden="1" x14ac:dyDescent="0.25">
      <c r="A198" s="22"/>
      <c r="B198" s="326" t="s">
        <v>429</v>
      </c>
      <c r="C198" s="73" t="e">
        <f>SUM(C179:C197)</f>
        <v>#REF!</v>
      </c>
      <c r="D198" s="73" t="e">
        <f>SUM(D179:D197)</f>
        <v>#REF!</v>
      </c>
      <c r="E198" s="73" t="e">
        <f>SUM(E179:E197)</f>
        <v>#REF!</v>
      </c>
      <c r="F198" s="73" t="e">
        <f>SUM(F179:F197)</f>
        <v>#REF!</v>
      </c>
      <c r="G198" s="73"/>
      <c r="H198" s="73" t="e">
        <f>SUM(H179:H197)</f>
        <v>#REF!</v>
      </c>
      <c r="I198" s="73" t="e">
        <f>SUM(I179:I197)</f>
        <v>#REF!</v>
      </c>
      <c r="J198" s="73" t="e">
        <f>SUM(J179:J197)</f>
        <v>#REF!</v>
      </c>
      <c r="K198" s="73"/>
      <c r="L198" s="660"/>
      <c r="M198" s="660"/>
      <c r="N198" s="660"/>
      <c r="O198" s="660"/>
      <c r="P198" s="73" t="e">
        <f>SUM(P179:P197)</f>
        <v>#REF!</v>
      </c>
      <c r="Q198" s="73" t="e">
        <f>SUM(Q179:Q197)</f>
        <v>#REF!</v>
      </c>
      <c r="R198" s="73" t="e">
        <f>SUM(R179:R197)</f>
        <v>#REF!</v>
      </c>
      <c r="S198" s="73" t="e">
        <f>SUM(S179:S197)</f>
        <v>#REF!</v>
      </c>
      <c r="U198" s="74"/>
    </row>
    <row r="199" spans="1:21" hidden="1" x14ac:dyDescent="0.25">
      <c r="A199" s="22"/>
      <c r="B199" s="22"/>
      <c r="C199" s="73"/>
      <c r="D199" s="74"/>
      <c r="E199" s="74"/>
      <c r="F199" s="74"/>
      <c r="G199" s="74"/>
      <c r="H199" s="73"/>
      <c r="L199" s="660"/>
      <c r="M199" s="660"/>
      <c r="N199" s="660"/>
      <c r="O199" s="660"/>
      <c r="P199" s="23"/>
      <c r="Q199" s="23"/>
      <c r="R199" s="23"/>
      <c r="S199" s="23"/>
      <c r="U199" s="74"/>
    </row>
    <row r="200" spans="1:21" hidden="1" x14ac:dyDescent="0.25">
      <c r="A200" s="22"/>
      <c r="B200" s="327" t="s">
        <v>430</v>
      </c>
      <c r="C200" s="328" t="e">
        <f>+C198-C9</f>
        <v>#REF!</v>
      </c>
      <c r="D200" s="328" t="e">
        <f>+D198-D9</f>
        <v>#REF!</v>
      </c>
      <c r="E200" s="328" t="e">
        <f>+E198-E9</f>
        <v>#REF!</v>
      </c>
      <c r="F200" s="328" t="e">
        <f>+F198-F9</f>
        <v>#REF!</v>
      </c>
      <c r="G200" s="328"/>
      <c r="H200" s="328" t="e">
        <f>+H198-H9</f>
        <v>#REF!</v>
      </c>
      <c r="I200" s="328" t="e">
        <f>+I198-I9</f>
        <v>#REF!</v>
      </c>
      <c r="J200" s="328" t="e">
        <f>+J198-J9</f>
        <v>#REF!</v>
      </c>
      <c r="K200" s="328"/>
      <c r="L200" s="661"/>
      <c r="M200" s="661"/>
      <c r="N200" s="661"/>
      <c r="O200" s="661"/>
      <c r="P200" s="328" t="e">
        <f>+P198-P9</f>
        <v>#REF!</v>
      </c>
      <c r="Q200" s="328" t="e">
        <f>+Q198-Q9</f>
        <v>#REF!</v>
      </c>
      <c r="R200" s="328" t="e">
        <f>+R198-R9</f>
        <v>#REF!</v>
      </c>
      <c r="S200" s="328" t="e">
        <f>+S198-S9</f>
        <v>#REF!</v>
      </c>
      <c r="T200" s="329"/>
      <c r="U200" s="74"/>
    </row>
    <row r="201" spans="1:21" ht="3.6" hidden="1" customHeight="1" x14ac:dyDescent="0.25">
      <c r="A201" s="333"/>
      <c r="B201" s="333"/>
      <c r="C201" s="334"/>
      <c r="D201" s="335"/>
      <c r="E201" s="335"/>
      <c r="F201" s="335"/>
      <c r="G201" s="335"/>
      <c r="H201" s="334"/>
      <c r="I201" s="336"/>
      <c r="J201" s="336"/>
      <c r="K201" s="335"/>
      <c r="L201" s="662"/>
      <c r="M201" s="663"/>
      <c r="N201" s="664"/>
      <c r="O201" s="665"/>
      <c r="P201" s="334"/>
      <c r="Q201" s="334"/>
      <c r="R201" s="334"/>
      <c r="S201" s="334"/>
      <c r="T201" s="337"/>
      <c r="U201" s="74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 s="666"/>
      <c r="M202" s="666"/>
      <c r="N202" s="666"/>
      <c r="O202" s="666"/>
      <c r="P202"/>
      <c r="Q202"/>
      <c r="R202"/>
      <c r="S202"/>
      <c r="T202"/>
      <c r="U202"/>
    </row>
    <row r="203" spans="1:21" hidden="1" x14ac:dyDescent="0.25">
      <c r="A203" s="56" t="s">
        <v>431</v>
      </c>
      <c r="B203" s="22"/>
      <c r="C203" s="73"/>
      <c r="D203" s="74"/>
      <c r="E203" s="74"/>
      <c r="F203" s="74"/>
      <c r="G203" s="74"/>
      <c r="H203" s="73"/>
      <c r="K203" s="74"/>
      <c r="L203" s="658"/>
      <c r="M203" s="659"/>
      <c r="N203" s="615"/>
      <c r="O203" s="660"/>
      <c r="P203" s="73"/>
      <c r="Q203" s="73"/>
      <c r="R203" s="73"/>
      <c r="S203" s="73"/>
      <c r="U203" s="74"/>
    </row>
    <row r="204" spans="1:21" hidden="1" x14ac:dyDescent="0.25">
      <c r="A204" s="22"/>
      <c r="B204" s="22"/>
      <c r="C204" s="73"/>
      <c r="D204" s="74"/>
      <c r="E204" s="74"/>
      <c r="F204" s="74"/>
      <c r="G204" s="74"/>
      <c r="H204" s="73"/>
      <c r="K204" s="74"/>
      <c r="L204" s="658"/>
      <c r="M204" s="659"/>
      <c r="N204" s="615"/>
      <c r="O204" s="660"/>
      <c r="P204" s="73"/>
      <c r="Q204" s="73"/>
      <c r="R204" s="73"/>
      <c r="S204" s="73"/>
      <c r="U204" s="74"/>
    </row>
    <row r="205" spans="1:21" hidden="1" x14ac:dyDescent="0.25">
      <c r="A205" s="22"/>
      <c r="B205" s="56" t="s">
        <v>434</v>
      </c>
      <c r="C205" s="73" t="e">
        <f>SUM(C179:C191)</f>
        <v>#REF!</v>
      </c>
      <c r="D205" s="73" t="e">
        <f>SUM(D179:D191)</f>
        <v>#REF!</v>
      </c>
      <c r="E205" s="73" t="e">
        <f>SUM(E179:E191)</f>
        <v>#REF!</v>
      </c>
      <c r="F205" s="73" t="e">
        <f>SUM(F179:F191)</f>
        <v>#REF!</v>
      </c>
      <c r="G205" s="73"/>
      <c r="H205" s="73" t="e">
        <f>SUM(H179:H191)</f>
        <v>#REF!</v>
      </c>
      <c r="I205" s="73" t="e">
        <f>SUM(I179:I191)</f>
        <v>#REF!</v>
      </c>
      <c r="J205" s="73" t="e">
        <f>SUM(J179:J191)</f>
        <v>#REF!</v>
      </c>
      <c r="K205" s="74"/>
      <c r="L205" s="658"/>
      <c r="M205" s="659"/>
      <c r="N205" s="615"/>
      <c r="O205" s="660"/>
      <c r="P205" s="73" t="e">
        <f t="shared" ref="P205:S205" si="128">SUM(P179:P191)</f>
        <v>#REF!</v>
      </c>
      <c r="Q205" s="73" t="e">
        <f t="shared" si="128"/>
        <v>#REF!</v>
      </c>
      <c r="R205" s="73" t="e">
        <f t="shared" si="128"/>
        <v>#REF!</v>
      </c>
      <c r="S205" s="73" t="e">
        <f t="shared" si="128"/>
        <v>#REF!</v>
      </c>
      <c r="U205" s="74"/>
    </row>
    <row r="206" spans="1:21" hidden="1" x14ac:dyDescent="0.25">
      <c r="A206" s="22"/>
      <c r="B206" s="330" t="s">
        <v>432</v>
      </c>
      <c r="C206" s="331" t="e">
        <f>+C205-C197</f>
        <v>#REF!</v>
      </c>
      <c r="D206" s="331" t="e">
        <f>+D205-D197</f>
        <v>#REF!</v>
      </c>
      <c r="E206" s="331" t="e">
        <f>+E205-E197</f>
        <v>#REF!</v>
      </c>
      <c r="F206" s="331" t="e">
        <f>+F205-F197</f>
        <v>#REF!</v>
      </c>
      <c r="G206" s="331"/>
      <c r="H206" s="331" t="e">
        <f>+H205-H197</f>
        <v>#REF!</v>
      </c>
      <c r="I206" s="331" t="e">
        <f>+I205-I197</f>
        <v>#REF!</v>
      </c>
      <c r="J206" s="331" t="e">
        <f>+J205-J197</f>
        <v>#REF!</v>
      </c>
      <c r="K206" s="332"/>
      <c r="L206" s="667"/>
      <c r="M206" s="668"/>
      <c r="N206" s="668"/>
      <c r="O206" s="667"/>
      <c r="P206" s="331" t="e">
        <f t="shared" ref="P206:S206" si="129">+P205-P197</f>
        <v>#REF!</v>
      </c>
      <c r="Q206" s="331" t="e">
        <f t="shared" si="129"/>
        <v>#REF!</v>
      </c>
      <c r="R206" s="331" t="e">
        <f t="shared" si="129"/>
        <v>#REF!</v>
      </c>
      <c r="S206" s="331" t="e">
        <f t="shared" si="129"/>
        <v>#REF!</v>
      </c>
      <c r="U206" s="74"/>
    </row>
    <row r="207" spans="1:21" hidden="1" x14ac:dyDescent="0.25">
      <c r="A207" s="22"/>
      <c r="B207" s="22"/>
      <c r="C207" s="73"/>
      <c r="D207" s="74"/>
      <c r="E207" s="74"/>
      <c r="F207" s="74"/>
      <c r="G207" s="74"/>
      <c r="H207" s="73"/>
      <c r="K207" s="74"/>
      <c r="L207" s="658"/>
      <c r="M207" s="659"/>
      <c r="N207" s="615"/>
      <c r="O207" s="660"/>
      <c r="P207" s="23"/>
      <c r="Q207" s="23"/>
      <c r="R207" s="23"/>
      <c r="S207" s="23"/>
      <c r="U207" s="74"/>
    </row>
    <row r="208" spans="1:21" hidden="1" x14ac:dyDescent="0.25">
      <c r="A208" s="22"/>
      <c r="B208" s="56" t="s">
        <v>428</v>
      </c>
      <c r="C208" s="73" t="e">
        <f>+C205-C182-C189</f>
        <v>#REF!</v>
      </c>
      <c r="D208" s="73" t="e">
        <f>+D205-D182-D189</f>
        <v>#REF!</v>
      </c>
      <c r="E208" s="73" t="e">
        <f>+E205-E182-E189</f>
        <v>#REF!</v>
      </c>
      <c r="F208" s="73" t="e">
        <f>+F205-F182-F189</f>
        <v>#REF!</v>
      </c>
      <c r="G208" s="73"/>
      <c r="H208" s="73" t="e">
        <f>+H205-H182-H189</f>
        <v>#REF!</v>
      </c>
      <c r="I208" s="73" t="e">
        <f>+I205-I182-I189</f>
        <v>#REF!</v>
      </c>
      <c r="J208" s="73" t="e">
        <f>+J205-J182-J189</f>
        <v>#REF!</v>
      </c>
      <c r="K208" s="74"/>
      <c r="L208" s="658"/>
      <c r="M208" s="659"/>
      <c r="N208" s="615"/>
      <c r="O208" s="660"/>
      <c r="P208" s="73" t="e">
        <f t="shared" ref="P208:S208" si="130">+P205-P182-P189</f>
        <v>#REF!</v>
      </c>
      <c r="Q208" s="73" t="e">
        <f t="shared" si="130"/>
        <v>#REF!</v>
      </c>
      <c r="R208" s="73" t="e">
        <f t="shared" si="130"/>
        <v>#REF!</v>
      </c>
      <c r="S208" s="73" t="e">
        <f t="shared" si="130"/>
        <v>#REF!</v>
      </c>
      <c r="U208" s="74"/>
    </row>
    <row r="209" spans="1:21" hidden="1" x14ac:dyDescent="0.25">
      <c r="A209" s="22"/>
      <c r="B209" s="330" t="s">
        <v>433</v>
      </c>
      <c r="C209" s="331" t="e">
        <f>+C208-C197</f>
        <v>#REF!</v>
      </c>
      <c r="D209" s="331" t="e">
        <f>+D208-D197</f>
        <v>#REF!</v>
      </c>
      <c r="E209" s="331" t="e">
        <f>+E208-E197</f>
        <v>#REF!</v>
      </c>
      <c r="F209" s="331" t="e">
        <f>+F208-F197</f>
        <v>#REF!</v>
      </c>
      <c r="G209" s="331"/>
      <c r="H209" s="331" t="e">
        <f>+H208-H197</f>
        <v>#REF!</v>
      </c>
      <c r="I209" s="331" t="e">
        <f>+I208-I197</f>
        <v>#REF!</v>
      </c>
      <c r="J209" s="331" t="e">
        <f>+J208-J197</f>
        <v>#REF!</v>
      </c>
      <c r="K209" s="332"/>
      <c r="L209" s="667"/>
      <c r="M209" s="668"/>
      <c r="N209" s="668"/>
      <c r="O209" s="667"/>
      <c r="P209" s="331" t="e">
        <f t="shared" ref="P209:S209" si="131">+P208-P197</f>
        <v>#REF!</v>
      </c>
      <c r="Q209" s="331" t="e">
        <f t="shared" si="131"/>
        <v>#REF!</v>
      </c>
      <c r="R209" s="331" t="e">
        <f t="shared" si="131"/>
        <v>#REF!</v>
      </c>
      <c r="S209" s="331" t="e">
        <f t="shared" si="131"/>
        <v>#REF!</v>
      </c>
      <c r="U209" s="74"/>
    </row>
    <row r="210" spans="1:21" hidden="1" x14ac:dyDescent="0.25">
      <c r="A210" s="22"/>
      <c r="B210" s="22"/>
      <c r="C210" s="73"/>
      <c r="D210" s="74"/>
      <c r="E210" s="74"/>
      <c r="F210" s="74"/>
      <c r="G210" s="74"/>
      <c r="H210" s="73"/>
      <c r="K210" s="74"/>
      <c r="L210" s="658"/>
      <c r="M210" s="659"/>
      <c r="N210" s="615"/>
      <c r="O210" s="660"/>
      <c r="P210" s="73"/>
      <c r="Q210" s="73"/>
      <c r="R210" s="73"/>
      <c r="S210" s="73"/>
      <c r="U210" s="74"/>
    </row>
    <row r="211" spans="1:21" hidden="1" x14ac:dyDescent="0.25">
      <c r="A211" s="22"/>
      <c r="B211" s="22"/>
      <c r="C211" s="73"/>
      <c r="D211" s="74"/>
      <c r="E211" s="74"/>
      <c r="F211" s="74"/>
      <c r="G211" s="74"/>
      <c r="H211" s="73"/>
      <c r="K211" s="74"/>
      <c r="L211" s="658"/>
      <c r="M211" s="659"/>
      <c r="N211" s="615"/>
      <c r="O211" s="660"/>
      <c r="P211" s="73"/>
      <c r="Q211" s="73"/>
      <c r="R211" s="73"/>
      <c r="S211" s="73"/>
      <c r="U211" s="74"/>
    </row>
    <row r="212" spans="1:21" hidden="1" x14ac:dyDescent="0.25">
      <c r="A212" s="56" t="s">
        <v>0</v>
      </c>
      <c r="B212" s="22"/>
      <c r="C212" s="73">
        <f>+C13</f>
        <v>100510000</v>
      </c>
      <c r="D212" s="74"/>
      <c r="E212" s="74"/>
      <c r="F212" s="74"/>
      <c r="G212" s="74"/>
      <c r="H212" s="73"/>
      <c r="K212" s="74"/>
      <c r="L212" s="658"/>
      <c r="M212" s="659"/>
      <c r="N212" s="615"/>
      <c r="O212" s="660"/>
      <c r="P212" s="73"/>
      <c r="Q212" s="73"/>
      <c r="R212" s="73"/>
      <c r="S212" s="73"/>
      <c r="U212" s="74"/>
    </row>
    <row r="213" spans="1:21" hidden="1" x14ac:dyDescent="0.25">
      <c r="B213" s="56" t="str">
        <f>+'8. Dr Gáspár HSZK'!A1</f>
        <v>Dr. Gáspár István HSZK</v>
      </c>
      <c r="C213" s="73">
        <f>+'8. Dr Gáspár HSZK'!C13</f>
        <v>29825000</v>
      </c>
      <c r="D213" s="73">
        <f>+'8. Dr Gáspár HSZK'!D13</f>
        <v>29825000</v>
      </c>
      <c r="E213" s="73">
        <f>+'8. Dr Gáspár HSZK'!E13</f>
        <v>29825000</v>
      </c>
      <c r="F213" s="73">
        <f>+'8. Dr Gáspár HSZK'!F13</f>
        <v>0</v>
      </c>
      <c r="G213" s="73"/>
      <c r="H213" s="73">
        <f>+'8. Dr Gáspár HSZK'!H13</f>
        <v>14014974</v>
      </c>
      <c r="I213" s="73">
        <f>+'8. Dr Gáspár HSZK'!I13</f>
        <v>22459864</v>
      </c>
      <c r="J213" s="73">
        <f>+'8. Dr Gáspár HSZK'!J13</f>
        <v>0</v>
      </c>
      <c r="K213" s="73"/>
      <c r="L213" s="660"/>
      <c r="M213" s="660"/>
      <c r="N213" s="660"/>
      <c r="O213" s="660"/>
      <c r="P213" s="73">
        <f>+'8. Dr Gáspár HSZK'!P13</f>
        <v>0</v>
      </c>
      <c r="Q213" s="73">
        <f>+'8. Dr Gáspár HSZK'!Q13</f>
        <v>0</v>
      </c>
      <c r="R213" s="73">
        <f>+'8. Dr Gáspár HSZK'!R13</f>
        <v>0</v>
      </c>
      <c r="S213" s="73">
        <f>+'8. Dr Gáspár HSZK'!S13</f>
        <v>0</v>
      </c>
      <c r="U213" s="74"/>
    </row>
    <row r="214" spans="1:21" hidden="1" x14ac:dyDescent="0.25">
      <c r="A214" s="22"/>
      <c r="B214" s="56" t="str">
        <f>+'6. Csicsergő'!A1</f>
        <v>SÜLYSÁPI CSICSERGŐ ÓVODA</v>
      </c>
      <c r="C214" s="73">
        <f>+'6. Csicsergő'!C13</f>
        <v>193790000</v>
      </c>
      <c r="D214" s="73">
        <f>+'6. Csicsergő'!D13</f>
        <v>193790000</v>
      </c>
      <c r="E214" s="73">
        <f>+'6. Csicsergő'!E13</f>
        <v>193790000</v>
      </c>
      <c r="F214" s="73">
        <f>+'6. Csicsergő'!F13</f>
        <v>0</v>
      </c>
      <c r="G214" s="73"/>
      <c r="H214" s="73">
        <f>+'6. Csicsergő'!H13</f>
        <v>90223993</v>
      </c>
      <c r="I214" s="73">
        <f>+'6. Csicsergő'!I13</f>
        <v>137245051</v>
      </c>
      <c r="J214" s="73">
        <f>+'6. Csicsergő'!J13</f>
        <v>0</v>
      </c>
      <c r="K214" s="73"/>
      <c r="L214" s="660"/>
      <c r="M214" s="660"/>
      <c r="N214" s="660"/>
      <c r="O214" s="660"/>
      <c r="P214" s="73">
        <f>+'6. Csicsergő'!P13</f>
        <v>0</v>
      </c>
      <c r="Q214" s="73">
        <f>+'6. Csicsergő'!Q13</f>
        <v>0</v>
      </c>
      <c r="R214" s="73">
        <f>+'6. Csicsergő'!R13</f>
        <v>0</v>
      </c>
      <c r="S214" s="73">
        <f>+'6. Csicsergő'!S13</f>
        <v>0</v>
      </c>
      <c r="U214" s="74"/>
    </row>
    <row r="215" spans="1:21" hidden="1" x14ac:dyDescent="0.25">
      <c r="A215" s="22"/>
      <c r="B215" s="22" t="str">
        <f>+'5. Gólyahír'!A1</f>
        <v>GÓLYAHÍR BÖLCSŐDE</v>
      </c>
      <c r="C215" s="73">
        <f>+'5. Gólyahír'!C13</f>
        <v>70787000</v>
      </c>
      <c r="D215" s="73">
        <f>+'5. Gólyahír'!D13</f>
        <v>70787000</v>
      </c>
      <c r="E215" s="73">
        <f>+'5. Gólyahír'!E13</f>
        <v>70787000</v>
      </c>
      <c r="F215" s="73">
        <f>+'5. Gólyahír'!F13</f>
        <v>0</v>
      </c>
      <c r="G215" s="73"/>
      <c r="H215" s="73">
        <f>+'5. Gólyahír'!H13</f>
        <v>33440240</v>
      </c>
      <c r="I215" s="73">
        <f>+'5. Gólyahír'!I13</f>
        <v>52226930</v>
      </c>
      <c r="J215" s="73">
        <f>+'5. Gólyahír'!J13</f>
        <v>0</v>
      </c>
      <c r="K215" s="73"/>
      <c r="L215" s="660"/>
      <c r="M215" s="660"/>
      <c r="N215" s="660"/>
      <c r="O215" s="660"/>
      <c r="P215" s="73">
        <f>+'5. Gólyahír'!P13</f>
        <v>0</v>
      </c>
      <c r="Q215" s="73">
        <f>+'5. Gólyahír'!Q13</f>
        <v>0</v>
      </c>
      <c r="R215" s="73">
        <f>+'5. Gólyahír'!R13</f>
        <v>0</v>
      </c>
      <c r="S215" s="73">
        <f>+'5. Gólyahír'!S13</f>
        <v>0</v>
      </c>
      <c r="U215" s="74"/>
    </row>
    <row r="216" spans="1:21" hidden="1" x14ac:dyDescent="0.25">
      <c r="A216" s="22"/>
      <c r="B216" s="73" t="str">
        <f>+'4. Polg.Hiv.'!A1</f>
        <v>POLGÁRMESTERI HIVATAL</v>
      </c>
      <c r="C216" s="73">
        <f>+'4. Polg.Hiv.'!C13</f>
        <v>136770000</v>
      </c>
      <c r="D216" s="73">
        <f>+'4. Polg.Hiv.'!D13</f>
        <v>138910000</v>
      </c>
      <c r="E216" s="73">
        <f>+'4. Polg.Hiv.'!E13</f>
        <v>138910000</v>
      </c>
      <c r="F216" s="73">
        <f>+'4. Polg.Hiv.'!F13</f>
        <v>0</v>
      </c>
      <c r="G216" s="73"/>
      <c r="H216" s="73">
        <f>+'4. Polg.Hiv.'!H13</f>
        <v>73242121</v>
      </c>
      <c r="I216" s="73">
        <f>+'4. Polg.Hiv.'!I13</f>
        <v>105852857</v>
      </c>
      <c r="J216" s="73">
        <f>+'4. Polg.Hiv.'!J13</f>
        <v>0</v>
      </c>
      <c r="K216" s="73"/>
      <c r="L216" s="660"/>
      <c r="M216" s="660"/>
      <c r="N216" s="660"/>
      <c r="O216" s="660"/>
      <c r="P216" s="73">
        <f>+'4. Polg.Hiv.'!P13</f>
        <v>2140000</v>
      </c>
      <c r="Q216" s="73">
        <f>+'4. Polg.Hiv.'!Q13</f>
        <v>0</v>
      </c>
      <c r="R216" s="73">
        <f>+'4. Polg.Hiv.'!R13</f>
        <v>0</v>
      </c>
      <c r="S216" s="73">
        <f>+'4. Polg.Hiv.'!S13</f>
        <v>2140000</v>
      </c>
      <c r="U216" s="74"/>
    </row>
    <row r="217" spans="1:21" hidden="1" x14ac:dyDescent="0.25">
      <c r="A217" s="22"/>
      <c r="B217" s="73" t="str">
        <f>+'7. WAMKK'!A1</f>
        <v>Wass Albert Művelődési Központ és Könyvtár</v>
      </c>
      <c r="C217" s="73">
        <f>+'7. WAMKK'!C13</f>
        <v>20982000</v>
      </c>
      <c r="D217" s="73">
        <f>+'7. WAMKK'!D13</f>
        <v>20982000</v>
      </c>
      <c r="E217" s="73">
        <f>+'7. WAMKK'!E13</f>
        <v>20982000</v>
      </c>
      <c r="F217" s="73">
        <f>+'7. WAMKK'!F13</f>
        <v>0</v>
      </c>
      <c r="G217" s="73"/>
      <c r="H217" s="73">
        <f>+'7. WAMKK'!H13</f>
        <v>8356256</v>
      </c>
      <c r="I217" s="73">
        <f>+'7. WAMKK'!I13</f>
        <v>12538644</v>
      </c>
      <c r="J217" s="73">
        <f>+'7. WAMKK'!J13</f>
        <v>0</v>
      </c>
      <c r="K217" s="73"/>
      <c r="L217" s="660"/>
      <c r="M217" s="660"/>
      <c r="N217" s="660"/>
      <c r="O217" s="660"/>
      <c r="P217" s="73">
        <f>+'7. WAMKK'!P13</f>
        <v>0</v>
      </c>
      <c r="Q217" s="73">
        <f>+'7. WAMKK'!Q13</f>
        <v>0</v>
      </c>
      <c r="R217" s="73">
        <f>+'7. WAMKK'!R13</f>
        <v>0</v>
      </c>
      <c r="S217" s="73">
        <f>+'7. WAMKK'!S13</f>
        <v>0</v>
      </c>
      <c r="U217" s="74"/>
    </row>
    <row r="218" spans="1:21" hidden="1" x14ac:dyDescent="0.25">
      <c r="A218" s="22"/>
      <c r="B218" s="73" t="str">
        <f>+'9. Közp. Konyha'!A1</f>
        <v>Központi Konyha</v>
      </c>
      <c r="C218" s="73">
        <f>+'9. Közp. Konyha'!C13</f>
        <v>37575000</v>
      </c>
      <c r="D218" s="73">
        <f>+'9. Közp. Konyha'!D13</f>
        <v>37575000</v>
      </c>
      <c r="E218" s="73">
        <f>+'9. Közp. Konyha'!E13</f>
        <v>37773000</v>
      </c>
      <c r="F218" s="73">
        <f>+'9. Közp. Konyha'!F13</f>
        <v>0</v>
      </c>
      <c r="G218" s="73"/>
      <c r="H218" s="73">
        <f>+'9. Közp. Konyha'!H13</f>
        <v>19315155</v>
      </c>
      <c r="I218" s="73">
        <f>+'9. Közp. Konyha'!I13</f>
        <v>28899369</v>
      </c>
      <c r="J218" s="73">
        <f>+'9. Közp. Konyha'!J13</f>
        <v>0</v>
      </c>
      <c r="K218" s="73"/>
      <c r="L218" s="660"/>
      <c r="M218" s="660"/>
      <c r="N218" s="660"/>
      <c r="O218" s="660"/>
      <c r="P218" s="73">
        <f>+'9. Közp. Konyha'!P13</f>
        <v>0</v>
      </c>
      <c r="Q218" s="73">
        <f>+'9. Közp. Konyha'!Q13</f>
        <v>198000</v>
      </c>
      <c r="R218" s="73">
        <f>+'9. Közp. Konyha'!R13</f>
        <v>0</v>
      </c>
      <c r="S218" s="73">
        <f>+'9. Közp. Konyha'!S13</f>
        <v>198000</v>
      </c>
      <c r="U218" s="74"/>
    </row>
    <row r="219" spans="1:21" hidden="1" x14ac:dyDescent="0.25">
      <c r="A219" s="22"/>
      <c r="B219" s="338" t="s">
        <v>437</v>
      </c>
      <c r="C219" s="339">
        <f>SUM(C213:C218)</f>
        <v>489729000</v>
      </c>
      <c r="D219" s="339">
        <f>SUM(D213:D218)</f>
        <v>491869000</v>
      </c>
      <c r="E219" s="339">
        <f>SUM(E213:E218)</f>
        <v>492067000</v>
      </c>
      <c r="F219" s="339">
        <f>SUM(F213:F218)</f>
        <v>0</v>
      </c>
      <c r="G219" s="339"/>
      <c r="H219" s="339">
        <f>SUM(H213:H218)</f>
        <v>238592739</v>
      </c>
      <c r="I219" s="339">
        <f>SUM(I213:I218)</f>
        <v>359222715</v>
      </c>
      <c r="J219" s="339">
        <f>SUM(J213:J218)</f>
        <v>0</v>
      </c>
      <c r="K219" s="339"/>
      <c r="L219" s="669"/>
      <c r="M219" s="669"/>
      <c r="N219" s="669"/>
      <c r="O219" s="669"/>
      <c r="P219" s="339">
        <f>SUM(P213:P218)</f>
        <v>2140000</v>
      </c>
      <c r="Q219" s="339">
        <f>SUM(Q213:Q218)</f>
        <v>198000</v>
      </c>
      <c r="R219" s="339">
        <f>SUM(R213:R218)</f>
        <v>0</v>
      </c>
      <c r="S219" s="340">
        <f>SUM(S213:S218)</f>
        <v>2338000</v>
      </c>
      <c r="U219" s="74"/>
    </row>
    <row r="220" spans="1:21" hidden="1" x14ac:dyDescent="0.25">
      <c r="A220" s="22"/>
      <c r="B220" s="22"/>
      <c r="C220" s="73"/>
      <c r="D220" s="74"/>
      <c r="E220" s="74"/>
      <c r="F220" s="74"/>
      <c r="G220" s="74"/>
      <c r="H220" s="73"/>
      <c r="K220" s="74"/>
      <c r="L220" s="658"/>
      <c r="M220" s="659"/>
      <c r="N220" s="615"/>
      <c r="O220" s="660"/>
      <c r="P220" s="73"/>
      <c r="Q220" s="73"/>
      <c r="R220" s="73"/>
      <c r="S220" s="73"/>
      <c r="U220" s="74"/>
    </row>
    <row r="221" spans="1:21" hidden="1" x14ac:dyDescent="0.25">
      <c r="A221" s="56" t="s">
        <v>26</v>
      </c>
      <c r="B221" s="56" t="str">
        <f>+B213</f>
        <v>Dr. Gáspár István HSZK</v>
      </c>
      <c r="C221" s="73">
        <f>+'8. Dr Gáspár HSZK'!C29</f>
        <v>3900000</v>
      </c>
      <c r="D221" s="73">
        <f>+'8. Dr Gáspár HSZK'!D29</f>
        <v>3900000</v>
      </c>
      <c r="E221" s="73">
        <f>+'8. Dr Gáspár HSZK'!E29</f>
        <v>3900000</v>
      </c>
      <c r="F221" s="73">
        <f>+'8. Dr Gáspár HSZK'!F29</f>
        <v>0</v>
      </c>
      <c r="G221" s="73"/>
      <c r="H221" s="73">
        <f>+'8. Dr Gáspár HSZK'!H29</f>
        <v>2020593</v>
      </c>
      <c r="I221" s="73">
        <f>+'8. Dr Gáspár HSZK'!I29</f>
        <v>3125665</v>
      </c>
      <c r="J221" s="73">
        <f>+'8. Dr Gáspár HSZK'!J29</f>
        <v>0</v>
      </c>
      <c r="K221" s="73"/>
      <c r="L221" s="660"/>
      <c r="M221" s="660"/>
      <c r="N221" s="660"/>
      <c r="O221" s="660"/>
      <c r="P221" s="73">
        <f>+'8. Dr Gáspár HSZK'!P29</f>
        <v>0</v>
      </c>
      <c r="Q221" s="73">
        <f>+'8. Dr Gáspár HSZK'!Q29</f>
        <v>0</v>
      </c>
      <c r="R221" s="73">
        <f>+'8. Dr Gáspár HSZK'!R29</f>
        <v>0</v>
      </c>
      <c r="S221" s="73">
        <f>+'8. Dr Gáspár HSZK'!S29</f>
        <v>0</v>
      </c>
      <c r="U221" s="74"/>
    </row>
    <row r="222" spans="1:21" hidden="1" x14ac:dyDescent="0.25">
      <c r="A222" s="22"/>
      <c r="B222" s="56" t="str">
        <f t="shared" ref="B222:B226" si="132">+B214</f>
        <v>SÜLYSÁPI CSICSERGŐ ÓVODA</v>
      </c>
      <c r="C222" s="73">
        <f>+'6. Csicsergő'!C30</f>
        <v>25000000</v>
      </c>
      <c r="D222" s="73">
        <f>+'6. Csicsergő'!D30</f>
        <v>25000000</v>
      </c>
      <c r="E222" s="73">
        <f>+'6. Csicsergő'!E30</f>
        <v>25000000</v>
      </c>
      <c r="F222" s="73">
        <f>+'6. Csicsergő'!F30</f>
        <v>0</v>
      </c>
      <c r="G222" s="73"/>
      <c r="H222" s="73">
        <f>+'6. Csicsergő'!H30</f>
        <v>13078152</v>
      </c>
      <c r="I222" s="73">
        <f>+'6. Csicsergő'!I30</f>
        <v>19369353</v>
      </c>
      <c r="J222" s="73">
        <f>+'6. Csicsergő'!J30</f>
        <v>0</v>
      </c>
      <c r="K222" s="73"/>
      <c r="L222" s="660"/>
      <c r="M222" s="660"/>
      <c r="N222" s="660"/>
      <c r="O222" s="660"/>
      <c r="P222" s="73">
        <f>+'6. Csicsergő'!P30</f>
        <v>0</v>
      </c>
      <c r="Q222" s="73">
        <f>+'6. Csicsergő'!Q30</f>
        <v>0</v>
      </c>
      <c r="R222" s="73">
        <f>+'6. Csicsergő'!R30</f>
        <v>0</v>
      </c>
      <c r="S222" s="73">
        <f>+'6. Csicsergő'!S30</f>
        <v>0</v>
      </c>
      <c r="U222" s="74"/>
    </row>
    <row r="223" spans="1:21" hidden="1" x14ac:dyDescent="0.25">
      <c r="A223" s="22"/>
      <c r="B223" s="56" t="str">
        <f t="shared" si="132"/>
        <v>GÓLYAHÍR BÖLCSŐDE</v>
      </c>
      <c r="C223" s="73">
        <f>+'5. Gólyahír'!C29</f>
        <v>9100000</v>
      </c>
      <c r="D223" s="73">
        <f>+'5. Gólyahír'!D29</f>
        <v>9100000</v>
      </c>
      <c r="E223" s="73">
        <f>+'5. Gólyahír'!E29</f>
        <v>9100000</v>
      </c>
      <c r="F223" s="73">
        <f>+'5. Gólyahír'!F29</f>
        <v>0</v>
      </c>
      <c r="G223" s="73"/>
      <c r="H223" s="73">
        <f>+'5. Gólyahír'!H29</f>
        <v>4723238</v>
      </c>
      <c r="I223" s="73">
        <f>+'5. Gólyahír'!I29</f>
        <v>7206667</v>
      </c>
      <c r="J223" s="73">
        <f>+'5. Gólyahír'!J29</f>
        <v>0</v>
      </c>
      <c r="K223" s="73"/>
      <c r="L223" s="660"/>
      <c r="M223" s="660"/>
      <c r="N223" s="660"/>
      <c r="O223" s="660"/>
      <c r="P223" s="73">
        <f>+'5. Gólyahír'!P29</f>
        <v>0</v>
      </c>
      <c r="Q223" s="73">
        <f>+'5. Gólyahír'!Q29</f>
        <v>0</v>
      </c>
      <c r="R223" s="73">
        <f>+'5. Gólyahír'!R29</f>
        <v>0</v>
      </c>
      <c r="S223" s="73">
        <f>+'5. Gólyahír'!S29</f>
        <v>0</v>
      </c>
      <c r="U223" s="74"/>
    </row>
    <row r="224" spans="1:21" hidden="1" x14ac:dyDescent="0.25">
      <c r="A224" s="22"/>
      <c r="B224" s="56" t="str">
        <f t="shared" si="132"/>
        <v>POLGÁRMESTERI HIVATAL</v>
      </c>
      <c r="C224" s="73">
        <f>+'4. Polg.Hiv.'!C29</f>
        <v>17900000</v>
      </c>
      <c r="D224" s="73">
        <f>+'4. Polg.Hiv.'!D29</f>
        <v>18200308</v>
      </c>
      <c r="E224" s="73">
        <f>+'4. Polg.Hiv.'!E29</f>
        <v>18200308</v>
      </c>
      <c r="F224" s="73">
        <f>+'4. Polg.Hiv.'!F29</f>
        <v>0</v>
      </c>
      <c r="G224" s="73"/>
      <c r="H224" s="73">
        <f>+'4. Polg.Hiv.'!H29</f>
        <v>11393724</v>
      </c>
      <c r="I224" s="73">
        <f>+'4. Polg.Hiv.'!I29</f>
        <v>15628466</v>
      </c>
      <c r="J224" s="73">
        <f>+'4. Polg.Hiv.'!J29</f>
        <v>0</v>
      </c>
      <c r="K224" s="73"/>
      <c r="L224" s="660"/>
      <c r="M224" s="660"/>
      <c r="N224" s="660"/>
      <c r="O224" s="660"/>
      <c r="P224" s="73">
        <f>+'4. Polg.Hiv.'!P29</f>
        <v>300308</v>
      </c>
      <c r="Q224" s="73">
        <f>+'4. Polg.Hiv.'!Q29</f>
        <v>0</v>
      </c>
      <c r="R224" s="73">
        <f>+'4. Polg.Hiv.'!R29</f>
        <v>0</v>
      </c>
      <c r="S224" s="73">
        <f>+'4. Polg.Hiv.'!S29</f>
        <v>300308</v>
      </c>
      <c r="U224" s="74"/>
    </row>
    <row r="225" spans="1:21" hidden="1" x14ac:dyDescent="0.25">
      <c r="A225" s="22"/>
      <c r="B225" s="56" t="str">
        <f t="shared" si="132"/>
        <v>Wass Albert Művelődési Központ és Könyvtár</v>
      </c>
      <c r="C225" s="73">
        <f>+'7. WAMKK'!C29</f>
        <v>2800000</v>
      </c>
      <c r="D225" s="73">
        <f>+'7. WAMKK'!D29</f>
        <v>2800000</v>
      </c>
      <c r="E225" s="73">
        <f>+'7. WAMKK'!E29</f>
        <v>2800000</v>
      </c>
      <c r="F225" s="73">
        <f>+'7. WAMKK'!F29</f>
        <v>0</v>
      </c>
      <c r="G225" s="73"/>
      <c r="H225" s="73">
        <f>+'7. WAMKK'!H29</f>
        <v>1183516</v>
      </c>
      <c r="I225" s="73">
        <f>+'7. WAMKK'!I29</f>
        <v>1773121</v>
      </c>
      <c r="J225" s="73">
        <f>+'7. WAMKK'!J29</f>
        <v>0</v>
      </c>
      <c r="K225" s="73"/>
      <c r="L225" s="660"/>
      <c r="M225" s="660"/>
      <c r="N225" s="660"/>
      <c r="O225" s="660"/>
      <c r="P225" s="73">
        <f>+'7. WAMKK'!P29</f>
        <v>0</v>
      </c>
      <c r="Q225" s="73">
        <f>+'7. WAMKK'!Q29</f>
        <v>0</v>
      </c>
      <c r="R225" s="73">
        <f>+'7. WAMKK'!R29</f>
        <v>0</v>
      </c>
      <c r="S225" s="73">
        <f>+'7. WAMKK'!S29</f>
        <v>0</v>
      </c>
      <c r="U225" s="74"/>
    </row>
    <row r="226" spans="1:21" hidden="1" x14ac:dyDescent="0.25">
      <c r="A226" s="22"/>
      <c r="B226" s="56" t="str">
        <f t="shared" si="132"/>
        <v>Központi Konyha</v>
      </c>
      <c r="C226" s="73">
        <f>+'9. Közp. Konyha'!C29</f>
        <v>4900000</v>
      </c>
      <c r="D226" s="73">
        <f>+'9. Közp. Konyha'!D29</f>
        <v>4900000</v>
      </c>
      <c r="E226" s="73">
        <f>+'9. Közp. Konyha'!E29</f>
        <v>4900000</v>
      </c>
      <c r="F226" s="73">
        <f>+'9. Közp. Konyha'!F29</f>
        <v>0</v>
      </c>
      <c r="G226" s="73"/>
      <c r="H226" s="73">
        <f>+'9. Közp. Konyha'!H29</f>
        <v>2617548</v>
      </c>
      <c r="I226" s="73">
        <f>+'9. Közp. Konyha'!I29</f>
        <v>3907734</v>
      </c>
      <c r="J226" s="73">
        <f>+'9. Közp. Konyha'!J29</f>
        <v>0</v>
      </c>
      <c r="K226" s="73"/>
      <c r="L226" s="660"/>
      <c r="M226" s="660"/>
      <c r="N226" s="660"/>
      <c r="O226" s="660"/>
      <c r="P226" s="73">
        <f>+'9. Közp. Konyha'!P29</f>
        <v>0</v>
      </c>
      <c r="Q226" s="73">
        <f>+'9. Közp. Konyha'!Q29</f>
        <v>0</v>
      </c>
      <c r="R226" s="73">
        <f>+'9. Közp. Konyha'!R29</f>
        <v>0</v>
      </c>
      <c r="S226" s="73">
        <f>+'9. Közp. Konyha'!S29</f>
        <v>0</v>
      </c>
      <c r="U226" s="74"/>
    </row>
    <row r="227" spans="1:21" hidden="1" x14ac:dyDescent="0.25">
      <c r="A227" s="22"/>
      <c r="B227" s="338" t="s">
        <v>437</v>
      </c>
      <c r="C227" s="339">
        <f>SUM(C221:C226)</f>
        <v>63600000</v>
      </c>
      <c r="D227" s="339">
        <f>SUM(D221:D226)</f>
        <v>63900308</v>
      </c>
      <c r="E227" s="339">
        <f>SUM(E221:E226)</f>
        <v>63900308</v>
      </c>
      <c r="F227" s="339">
        <f>SUM(F221:F226)</f>
        <v>0</v>
      </c>
      <c r="G227" s="339"/>
      <c r="H227" s="339">
        <f>SUM(H221:H226)</f>
        <v>35016771</v>
      </c>
      <c r="I227" s="339">
        <f>SUM(I221:I226)</f>
        <v>51011006</v>
      </c>
      <c r="J227" s="339">
        <f>SUM(J221:J226)</f>
        <v>0</v>
      </c>
      <c r="K227" s="339"/>
      <c r="L227" s="669"/>
      <c r="M227" s="669"/>
      <c r="N227" s="669"/>
      <c r="O227" s="669"/>
      <c r="P227" s="339">
        <f>SUM(P221:P226)</f>
        <v>300308</v>
      </c>
      <c r="Q227" s="339">
        <f>SUM(Q221:Q226)</f>
        <v>0</v>
      </c>
      <c r="R227" s="339">
        <f>SUM(R221:R226)</f>
        <v>0</v>
      </c>
      <c r="S227" s="340">
        <f>SUM(S221:S226)</f>
        <v>300308</v>
      </c>
      <c r="U227" s="74"/>
    </row>
    <row r="228" spans="1:21" hidden="1" x14ac:dyDescent="0.25">
      <c r="A228" s="22"/>
      <c r="B228" s="22"/>
      <c r="C228" s="73"/>
      <c r="D228" s="74"/>
      <c r="E228" s="74"/>
      <c r="F228" s="74"/>
      <c r="G228" s="74"/>
      <c r="H228" s="73"/>
      <c r="K228" s="74"/>
      <c r="L228" s="658"/>
      <c r="M228" s="659"/>
      <c r="N228" s="615"/>
      <c r="O228" s="660"/>
      <c r="P228" s="73"/>
      <c r="Q228" s="73"/>
      <c r="R228" s="73"/>
      <c r="S228" s="73"/>
      <c r="U228" s="74"/>
    </row>
    <row r="229" spans="1:21" hidden="1" x14ac:dyDescent="0.25">
      <c r="A229" s="56" t="s">
        <v>29</v>
      </c>
      <c r="B229" s="56" t="str">
        <f>+B221</f>
        <v>Dr. Gáspár István HSZK</v>
      </c>
      <c r="C229" s="73">
        <f>+'8. Dr Gáspár HSZK'!C32</f>
        <v>12060000</v>
      </c>
      <c r="D229" s="73">
        <f>+'8. Dr Gáspár HSZK'!D32</f>
        <v>12060000</v>
      </c>
      <c r="E229" s="73">
        <f>+'8. Dr Gáspár HSZK'!E32</f>
        <v>12060000</v>
      </c>
      <c r="F229" s="73">
        <f>+'8. Dr Gáspár HSZK'!F32</f>
        <v>0</v>
      </c>
      <c r="G229" s="73"/>
      <c r="H229" s="73">
        <f>+'8. Dr Gáspár HSZK'!H32</f>
        <v>4912145</v>
      </c>
      <c r="I229" s="73">
        <f>+'8. Dr Gáspár HSZK'!I32</f>
        <v>7939130</v>
      </c>
      <c r="J229" s="73">
        <f>+'8. Dr Gáspár HSZK'!J32</f>
        <v>0</v>
      </c>
      <c r="K229" s="73"/>
      <c r="L229" s="660"/>
      <c r="M229" s="660"/>
      <c r="N229" s="660"/>
      <c r="O229" s="660"/>
      <c r="P229" s="73">
        <f>+'8. Dr Gáspár HSZK'!P32</f>
        <v>0</v>
      </c>
      <c r="Q229" s="73">
        <f>+'8. Dr Gáspár HSZK'!Q32</f>
        <v>0</v>
      </c>
      <c r="R229" s="73">
        <f>+'8. Dr Gáspár HSZK'!R32</f>
        <v>0</v>
      </c>
      <c r="S229" s="73">
        <f>+'8. Dr Gáspár HSZK'!S32</f>
        <v>0</v>
      </c>
      <c r="U229" s="74"/>
    </row>
    <row r="230" spans="1:21" hidden="1" x14ac:dyDescent="0.25">
      <c r="A230" s="22"/>
      <c r="B230" s="56" t="str">
        <f t="shared" ref="B230:B234" si="133">+B222</f>
        <v>SÜLYSÁPI CSICSERGŐ ÓVODA</v>
      </c>
      <c r="C230" s="73">
        <f>+'6. Csicsergő'!C33</f>
        <v>11646000</v>
      </c>
      <c r="D230" s="73">
        <f>+'6. Csicsergő'!D33</f>
        <v>11646000</v>
      </c>
      <c r="E230" s="73">
        <f>+'6. Csicsergő'!E33</f>
        <v>11646000</v>
      </c>
      <c r="F230" s="73">
        <f>+'6. Csicsergő'!F33</f>
        <v>0</v>
      </c>
      <c r="G230" s="73"/>
      <c r="H230" s="73">
        <f>+'6. Csicsergő'!H33</f>
        <v>7163057</v>
      </c>
      <c r="I230" s="73">
        <f>+'6. Csicsergő'!I33</f>
        <v>9537641</v>
      </c>
      <c r="J230" s="73">
        <f>+'6. Csicsergő'!J33</f>
        <v>0</v>
      </c>
      <c r="K230" s="73"/>
      <c r="L230" s="660"/>
      <c r="M230" s="660"/>
      <c r="N230" s="660"/>
      <c r="O230" s="660"/>
      <c r="P230" s="73">
        <f>+'6. Csicsergő'!P33</f>
        <v>0</v>
      </c>
      <c r="Q230" s="73">
        <f>+'6. Csicsergő'!Q33</f>
        <v>0</v>
      </c>
      <c r="R230" s="73">
        <f>+'6. Csicsergő'!R33</f>
        <v>0</v>
      </c>
      <c r="S230" s="73">
        <f>+'6. Csicsergő'!S33</f>
        <v>0</v>
      </c>
      <c r="U230" s="74"/>
    </row>
    <row r="231" spans="1:21" hidden="1" x14ac:dyDescent="0.25">
      <c r="A231" s="22"/>
      <c r="B231" s="56" t="str">
        <f t="shared" si="133"/>
        <v>GÓLYAHÍR BÖLCSŐDE</v>
      </c>
      <c r="C231" s="73">
        <f>+'5. Gólyahír'!C32</f>
        <v>13420000</v>
      </c>
      <c r="D231" s="73">
        <f>+'5. Gólyahír'!D32</f>
        <v>13008000</v>
      </c>
      <c r="E231" s="73">
        <f>+'5. Gólyahír'!E32</f>
        <v>15008000</v>
      </c>
      <c r="F231" s="73">
        <f>+'5. Gólyahír'!F32</f>
        <v>0</v>
      </c>
      <c r="G231" s="73"/>
      <c r="H231" s="73">
        <f>+'5. Gólyahír'!H32</f>
        <v>6261679</v>
      </c>
      <c r="I231" s="73">
        <f>+'5. Gólyahír'!I32</f>
        <v>9741549</v>
      </c>
      <c r="J231" s="73">
        <f>+'5. Gólyahír'!J32</f>
        <v>0</v>
      </c>
      <c r="K231" s="73"/>
      <c r="L231" s="660"/>
      <c r="M231" s="660"/>
      <c r="N231" s="660"/>
      <c r="O231" s="660"/>
      <c r="P231" s="73">
        <f>+'5. Gólyahír'!P32</f>
        <v>-412000</v>
      </c>
      <c r="Q231" s="73">
        <f>+'5. Gólyahír'!Q32</f>
        <v>2000000</v>
      </c>
      <c r="R231" s="73">
        <f>+'5. Gólyahír'!R32</f>
        <v>0</v>
      </c>
      <c r="S231" s="73">
        <f>+'5. Gólyahír'!S32</f>
        <v>1588000</v>
      </c>
      <c r="U231" s="74"/>
    </row>
    <row r="232" spans="1:21" hidden="1" x14ac:dyDescent="0.25">
      <c r="A232" s="22"/>
      <c r="B232" s="56" t="str">
        <f t="shared" si="133"/>
        <v>POLGÁRMESTERI HIVATAL</v>
      </c>
      <c r="C232" s="73">
        <f>+'4. Polg.Hiv.'!C32</f>
        <v>10760000</v>
      </c>
      <c r="D232" s="73">
        <f>+'4. Polg.Hiv.'!D32</f>
        <v>11303965</v>
      </c>
      <c r="E232" s="73">
        <f>+'4. Polg.Hiv.'!E32</f>
        <v>11303965</v>
      </c>
      <c r="F232" s="73">
        <f>+'4. Polg.Hiv.'!F32</f>
        <v>0</v>
      </c>
      <c r="G232" s="73"/>
      <c r="H232" s="73">
        <f>+'4. Polg.Hiv.'!H32</f>
        <v>6649553</v>
      </c>
      <c r="I232" s="73">
        <f>+'4. Polg.Hiv.'!I32</f>
        <v>9705924</v>
      </c>
      <c r="J232" s="73">
        <f>+'4. Polg.Hiv.'!J32</f>
        <v>0</v>
      </c>
      <c r="K232" s="73"/>
      <c r="L232" s="660"/>
      <c r="M232" s="660"/>
      <c r="N232" s="660"/>
      <c r="O232" s="660"/>
      <c r="P232" s="73">
        <f>+'4. Polg.Hiv.'!P32</f>
        <v>543965</v>
      </c>
      <c r="Q232" s="73">
        <f>+'4. Polg.Hiv.'!Q32</f>
        <v>0</v>
      </c>
      <c r="R232" s="73">
        <f>+'4. Polg.Hiv.'!R32</f>
        <v>0</v>
      </c>
      <c r="S232" s="73">
        <f>+'4. Polg.Hiv.'!S32</f>
        <v>543965</v>
      </c>
      <c r="U232" s="74"/>
    </row>
    <row r="233" spans="1:21" hidden="1" x14ac:dyDescent="0.25">
      <c r="A233" s="22"/>
      <c r="B233" s="56" t="str">
        <f t="shared" si="133"/>
        <v>Wass Albert Művelődési Központ és Könyvtár</v>
      </c>
      <c r="C233" s="73">
        <f>+'7. WAMKK'!C32</f>
        <v>18618000</v>
      </c>
      <c r="D233" s="73">
        <f>+'7. WAMKK'!D32</f>
        <v>18017555</v>
      </c>
      <c r="E233" s="73">
        <f>+'7. WAMKK'!E32</f>
        <v>31275555</v>
      </c>
      <c r="F233" s="73">
        <f>+'7. WAMKK'!F32</f>
        <v>0</v>
      </c>
      <c r="G233" s="73"/>
      <c r="H233" s="73">
        <f>+'7. WAMKK'!H32</f>
        <v>6515355</v>
      </c>
      <c r="I233" s="73">
        <f>+'7. WAMKK'!I32</f>
        <v>21064460</v>
      </c>
      <c r="J233" s="73">
        <f>+'7. WAMKK'!J32</f>
        <v>0</v>
      </c>
      <c r="K233" s="73"/>
      <c r="L233" s="660"/>
      <c r="M233" s="660"/>
      <c r="N233" s="660"/>
      <c r="O233" s="660"/>
      <c r="P233" s="73">
        <f>+'7. WAMKK'!P32</f>
        <v>-600445</v>
      </c>
      <c r="Q233" s="73">
        <f>+'7. WAMKK'!Q32</f>
        <v>13258000</v>
      </c>
      <c r="R233" s="73">
        <f>+'7. WAMKK'!R32</f>
        <v>0</v>
      </c>
      <c r="S233" s="73">
        <f>+'7. WAMKK'!S32</f>
        <v>12657555</v>
      </c>
      <c r="U233" s="74"/>
    </row>
    <row r="234" spans="1:21" hidden="1" x14ac:dyDescent="0.25">
      <c r="A234" s="22"/>
      <c r="B234" s="56" t="str">
        <f t="shared" si="133"/>
        <v>Központi Konyha</v>
      </c>
      <c r="C234" s="73">
        <f>+'9. Közp. Konyha'!C32</f>
        <v>73070000</v>
      </c>
      <c r="D234" s="73">
        <f>+'9. Közp. Konyha'!D32</f>
        <v>73070000</v>
      </c>
      <c r="E234" s="73">
        <f>+'9. Közp. Konyha'!E32</f>
        <v>72394766</v>
      </c>
      <c r="F234" s="73">
        <f>+'9. Közp. Konyha'!F32</f>
        <v>0</v>
      </c>
      <c r="G234" s="73"/>
      <c r="H234" s="73">
        <f>+'9. Közp. Konyha'!H32</f>
        <v>41796581</v>
      </c>
      <c r="I234" s="73">
        <f>+'9. Közp. Konyha'!I32</f>
        <v>55559780</v>
      </c>
      <c r="J234" s="73">
        <f>+'9. Közp. Konyha'!J32</f>
        <v>0</v>
      </c>
      <c r="K234" s="73"/>
      <c r="L234" s="660"/>
      <c r="M234" s="660"/>
      <c r="N234" s="660"/>
      <c r="O234" s="660"/>
      <c r="P234" s="73">
        <f>+'9. Közp. Konyha'!P32</f>
        <v>0</v>
      </c>
      <c r="Q234" s="73">
        <f>+'9. Közp. Konyha'!Q32</f>
        <v>-675234</v>
      </c>
      <c r="R234" s="73">
        <f>+'9. Közp. Konyha'!R32</f>
        <v>0</v>
      </c>
      <c r="S234" s="73">
        <f>+'9. Közp. Konyha'!S32</f>
        <v>-675234</v>
      </c>
      <c r="U234" s="74"/>
    </row>
    <row r="235" spans="1:21" hidden="1" x14ac:dyDescent="0.25">
      <c r="A235" s="22"/>
      <c r="B235" s="338" t="s">
        <v>437</v>
      </c>
      <c r="C235" s="339">
        <f>SUM(C229:C234)</f>
        <v>139574000</v>
      </c>
      <c r="D235" s="339">
        <f>SUM(D229:D234)</f>
        <v>139105520</v>
      </c>
      <c r="E235" s="339">
        <f>SUM(E229:E234)</f>
        <v>153688286</v>
      </c>
      <c r="F235" s="339">
        <f>SUM(F229:F234)</f>
        <v>0</v>
      </c>
      <c r="G235" s="339"/>
      <c r="H235" s="339">
        <f>SUM(H229:H234)</f>
        <v>73298370</v>
      </c>
      <c r="I235" s="339">
        <f>SUM(I229:I234)</f>
        <v>113548484</v>
      </c>
      <c r="J235" s="339">
        <f>SUM(J229:J234)</f>
        <v>0</v>
      </c>
      <c r="K235" s="339"/>
      <c r="L235" s="669"/>
      <c r="M235" s="669"/>
      <c r="N235" s="669"/>
      <c r="O235" s="669"/>
      <c r="P235" s="339">
        <f>SUM(P229:P234)</f>
        <v>-468480</v>
      </c>
      <c r="Q235" s="339">
        <f>SUM(Q229:Q234)</f>
        <v>14582766</v>
      </c>
      <c r="R235" s="339">
        <f>SUM(R229:R234)</f>
        <v>0</v>
      </c>
      <c r="S235" s="340">
        <f>SUM(S229:S234)</f>
        <v>14114286</v>
      </c>
      <c r="U235" s="74"/>
    </row>
    <row r="236" spans="1:21" hidden="1" x14ac:dyDescent="0.25">
      <c r="A236" s="22"/>
      <c r="B236" s="22"/>
      <c r="C236" s="73"/>
      <c r="D236" s="74"/>
      <c r="E236" s="74"/>
      <c r="F236" s="74"/>
      <c r="G236" s="74"/>
      <c r="H236" s="73"/>
      <c r="K236" s="74"/>
      <c r="L236" s="658"/>
      <c r="M236" s="659"/>
      <c r="N236" s="615"/>
      <c r="O236" s="660"/>
      <c r="P236" s="73"/>
      <c r="Q236" s="73"/>
      <c r="R236" s="73"/>
      <c r="S236" s="73"/>
      <c r="U236" s="74"/>
    </row>
    <row r="237" spans="1:21" hidden="1" x14ac:dyDescent="0.25">
      <c r="A237" s="22"/>
      <c r="B237" s="22"/>
      <c r="C237" s="73">
        <f>+C227+C219</f>
        <v>553329000</v>
      </c>
      <c r="D237" s="74"/>
      <c r="E237" s="74"/>
      <c r="F237" s="74"/>
      <c r="G237" s="74"/>
      <c r="H237" s="73"/>
      <c r="K237" s="74"/>
      <c r="L237" s="658"/>
      <c r="M237" s="659"/>
      <c r="N237" s="615"/>
      <c r="O237" s="660"/>
      <c r="P237" s="73"/>
      <c r="Q237" s="73"/>
      <c r="R237" s="73"/>
      <c r="S237" s="73"/>
      <c r="U237" s="74"/>
    </row>
    <row r="238" spans="1:21" hidden="1" x14ac:dyDescent="0.25">
      <c r="A238" s="22"/>
      <c r="B238" s="22"/>
      <c r="C238" s="73"/>
      <c r="D238" s="74"/>
      <c r="E238" s="74"/>
      <c r="F238" s="74"/>
      <c r="G238" s="74"/>
      <c r="H238" s="73"/>
      <c r="K238" s="74"/>
      <c r="L238" s="658"/>
      <c r="M238" s="659"/>
      <c r="N238" s="615"/>
      <c r="O238" s="660"/>
      <c r="P238" s="73"/>
      <c r="Q238" s="73"/>
      <c r="R238" s="73"/>
      <c r="S238" s="73"/>
      <c r="U238" s="74"/>
    </row>
    <row r="239" spans="1:21" hidden="1" x14ac:dyDescent="0.25">
      <c r="A239" s="22"/>
      <c r="B239" s="22"/>
      <c r="C239" s="73"/>
      <c r="D239" s="74"/>
      <c r="E239" s="74"/>
      <c r="F239" s="74"/>
      <c r="G239" s="74"/>
      <c r="H239" s="73"/>
      <c r="K239" s="74"/>
      <c r="L239" s="658"/>
      <c r="M239" s="659"/>
      <c r="N239" s="615"/>
      <c r="O239" s="660"/>
      <c r="P239" s="73"/>
      <c r="Q239" s="73"/>
      <c r="R239" s="73"/>
      <c r="S239" s="73"/>
      <c r="U239" s="74"/>
    </row>
    <row r="240" spans="1:21" hidden="1" x14ac:dyDescent="0.25">
      <c r="A240" s="22"/>
      <c r="B240" s="22"/>
      <c r="C240" s="22"/>
      <c r="D240" s="23"/>
      <c r="H240" s="22"/>
      <c r="L240" s="658"/>
      <c r="M240" s="659"/>
      <c r="N240" s="615"/>
      <c r="O240" s="660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660"/>
      <c r="M241" s="615"/>
      <c r="N241" s="615"/>
      <c r="O241" s="660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660"/>
      <c r="M242" s="615"/>
      <c r="N242" s="615"/>
      <c r="O242" s="660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660"/>
      <c r="M243" s="615"/>
      <c r="N243" s="615"/>
      <c r="O243" s="660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660"/>
      <c r="M244" s="615"/>
      <c r="N244" s="615"/>
      <c r="O244" s="660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660"/>
      <c r="M245" s="615"/>
      <c r="N245" s="615"/>
      <c r="O245" s="660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660"/>
      <c r="M246" s="615"/>
      <c r="N246" s="615"/>
      <c r="O246" s="660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660"/>
      <c r="M247" s="615"/>
      <c r="N247" s="615"/>
      <c r="O247" s="660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660"/>
      <c r="M248" s="615"/>
      <c r="N248" s="615"/>
      <c r="O248" s="660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660"/>
      <c r="M249" s="615"/>
      <c r="N249" s="615"/>
      <c r="O249" s="660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660"/>
      <c r="M250" s="615"/>
      <c r="N250" s="615"/>
      <c r="O250" s="660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660"/>
      <c r="M251" s="615"/>
      <c r="N251" s="615"/>
      <c r="O251" s="660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660"/>
      <c r="M252" s="615"/>
      <c r="N252" s="615"/>
      <c r="O252" s="660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660"/>
      <c r="M253" s="615"/>
      <c r="N253" s="615"/>
      <c r="O253" s="660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660"/>
      <c r="M254" s="615"/>
      <c r="N254" s="615"/>
      <c r="O254" s="660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660"/>
      <c r="M255" s="615"/>
      <c r="N255" s="615"/>
      <c r="O255" s="660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660"/>
      <c r="M256" s="615"/>
      <c r="N256" s="615"/>
      <c r="O256" s="660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660"/>
      <c r="M257" s="615"/>
      <c r="N257" s="615"/>
      <c r="O257" s="660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660"/>
      <c r="M258" s="615"/>
      <c r="N258" s="615"/>
      <c r="O258" s="660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660"/>
      <c r="M259" s="615"/>
      <c r="N259" s="615"/>
      <c r="O259" s="660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660"/>
      <c r="M260" s="615"/>
      <c r="N260" s="615"/>
      <c r="O260" s="660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660"/>
      <c r="M261" s="615"/>
      <c r="N261" s="615"/>
      <c r="O261" s="660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660"/>
      <c r="M262" s="615"/>
      <c r="N262" s="615"/>
      <c r="O262" s="660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660"/>
      <c r="M263" s="615"/>
      <c r="N263" s="615"/>
      <c r="O263" s="660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660"/>
      <c r="M264" s="615"/>
      <c r="N264" s="615"/>
      <c r="O264" s="660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660"/>
      <c r="M265" s="615"/>
      <c r="N265" s="615"/>
      <c r="O265" s="660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660"/>
      <c r="M266" s="615"/>
      <c r="N266" s="615"/>
      <c r="O266" s="660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660"/>
      <c r="M267" s="615"/>
      <c r="N267" s="615"/>
      <c r="O267" s="660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660"/>
      <c r="M268" s="615"/>
      <c r="N268" s="615"/>
      <c r="O268" s="660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660"/>
      <c r="M269" s="615"/>
      <c r="N269" s="615"/>
      <c r="O269" s="660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660"/>
      <c r="M270" s="615"/>
      <c r="N270" s="615"/>
      <c r="O270" s="660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660"/>
      <c r="M271" s="615"/>
      <c r="N271" s="615"/>
      <c r="O271" s="660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660"/>
      <c r="M272" s="615"/>
      <c r="N272" s="615"/>
      <c r="O272" s="660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660"/>
      <c r="M273" s="615"/>
      <c r="N273" s="615"/>
      <c r="O273" s="660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660"/>
      <c r="M274" s="615"/>
      <c r="N274" s="615"/>
      <c r="O274" s="660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660"/>
      <c r="M275" s="615"/>
      <c r="N275" s="615"/>
      <c r="O275" s="660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660"/>
      <c r="M276" s="615"/>
      <c r="N276" s="615"/>
      <c r="O276" s="660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660"/>
      <c r="M277" s="615"/>
      <c r="N277" s="615"/>
      <c r="O277" s="660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660"/>
      <c r="M278" s="615"/>
      <c r="N278" s="615"/>
      <c r="O278" s="660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660"/>
      <c r="M279" s="615"/>
      <c r="N279" s="615"/>
      <c r="O279" s="660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660"/>
      <c r="M280" s="615"/>
      <c r="N280" s="615"/>
      <c r="O280" s="660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660"/>
      <c r="M281" s="615"/>
      <c r="N281" s="615"/>
      <c r="O281" s="660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660"/>
      <c r="M282" s="615"/>
      <c r="N282" s="615"/>
      <c r="O282" s="660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660"/>
      <c r="M283" s="615"/>
      <c r="N283" s="615"/>
      <c r="O283" s="660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660"/>
      <c r="M284" s="615"/>
      <c r="N284" s="615"/>
      <c r="O284" s="660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660"/>
      <c r="M285" s="615"/>
      <c r="N285" s="615"/>
      <c r="O285" s="660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660"/>
      <c r="M286" s="615"/>
      <c r="N286" s="615"/>
      <c r="O286" s="660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660"/>
      <c r="M287" s="615"/>
      <c r="N287" s="615"/>
      <c r="O287" s="660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660"/>
      <c r="M288" s="615"/>
      <c r="N288" s="615"/>
      <c r="O288" s="660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660"/>
      <c r="M289" s="615"/>
      <c r="N289" s="615"/>
      <c r="O289" s="660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660"/>
      <c r="M290" s="615"/>
      <c r="N290" s="615"/>
      <c r="O290" s="660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>
        <f>+D168-C168</f>
        <v>62128000</v>
      </c>
      <c r="E291" s="23">
        <f>+E168-C168</f>
        <v>94404495</v>
      </c>
      <c r="H291" s="23"/>
      <c r="L291" s="660"/>
      <c r="M291" s="615"/>
      <c r="N291" s="615"/>
      <c r="O291" s="660"/>
      <c r="P291" s="22"/>
      <c r="Q291" s="22"/>
      <c r="R291" s="22"/>
      <c r="S291" s="22"/>
    </row>
    <row r="292" spans="1:19" x14ac:dyDescent="0.25">
      <c r="A292" s="56"/>
      <c r="B292" s="22"/>
      <c r="C292" s="22"/>
      <c r="D292" s="23"/>
      <c r="H292" s="22"/>
      <c r="L292" s="645"/>
      <c r="M292" s="610"/>
      <c r="N292" s="610"/>
      <c r="O292" s="643"/>
      <c r="P292" s="22"/>
      <c r="Q292" s="22"/>
      <c r="R292" s="22"/>
      <c r="S292" s="22"/>
    </row>
    <row r="293" spans="1:19" x14ac:dyDescent="0.25">
      <c r="A293" s="22"/>
      <c r="B293" s="22"/>
      <c r="C293" s="22"/>
      <c r="D293" s="23"/>
      <c r="H293" s="22"/>
      <c r="L293" s="645"/>
      <c r="M293" s="610"/>
      <c r="N293" s="610"/>
      <c r="O293" s="643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645"/>
      <c r="M294" s="610"/>
      <c r="N294" s="610"/>
      <c r="O294" s="643"/>
      <c r="P294" s="22"/>
      <c r="Q294" s="22"/>
      <c r="R294" s="22"/>
      <c r="S294" s="22"/>
    </row>
    <row r="295" spans="1:19" x14ac:dyDescent="0.25">
      <c r="A295" s="22"/>
      <c r="B295" s="725"/>
      <c r="C295" s="22"/>
      <c r="D295" s="23"/>
      <c r="H295" s="22"/>
      <c r="L295" s="645"/>
      <c r="M295" s="610"/>
      <c r="N295" s="610"/>
      <c r="O295" s="643"/>
      <c r="P295" s="22"/>
      <c r="Q295" s="22"/>
      <c r="R295" s="22"/>
      <c r="S295" s="22"/>
    </row>
    <row r="296" spans="1:19" x14ac:dyDescent="0.25">
      <c r="A296" s="22"/>
      <c r="B296" s="725"/>
      <c r="C296" s="22"/>
      <c r="D296" s="23"/>
      <c r="H296" s="22"/>
      <c r="L296" s="645"/>
      <c r="M296" s="610"/>
      <c r="N296" s="610"/>
      <c r="O296" s="643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645"/>
      <c r="M297" s="610"/>
      <c r="N297" s="610"/>
      <c r="O297" s="643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645"/>
      <c r="M298" s="610"/>
      <c r="N298" s="610"/>
      <c r="O298" s="643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645"/>
      <c r="M299" s="610"/>
      <c r="N299" s="610"/>
      <c r="O299" s="643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645"/>
      <c r="M300" s="610"/>
      <c r="N300" s="610"/>
      <c r="O300" s="643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645"/>
      <c r="M301" s="610"/>
      <c r="N301" s="610"/>
      <c r="O301" s="643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645"/>
      <c r="M302" s="610"/>
      <c r="N302" s="610"/>
      <c r="O302" s="643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645"/>
      <c r="M303" s="610"/>
      <c r="N303" s="610"/>
      <c r="O303" s="643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645"/>
      <c r="M304" s="610"/>
      <c r="N304" s="610"/>
      <c r="O304" s="643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645"/>
      <c r="M305" s="610"/>
      <c r="N305" s="610"/>
      <c r="O305" s="643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645"/>
      <c r="M306" s="610"/>
      <c r="N306" s="610"/>
      <c r="O306" s="643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645"/>
      <c r="M307" s="610"/>
      <c r="N307" s="610"/>
      <c r="O307" s="643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645"/>
      <c r="M308" s="610"/>
      <c r="N308" s="610"/>
      <c r="O308" s="643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645"/>
      <c r="M309" s="610"/>
      <c r="N309" s="610"/>
      <c r="O309" s="643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645"/>
      <c r="M310" s="610"/>
      <c r="N310" s="610"/>
      <c r="O310" s="643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645"/>
      <c r="M311" s="610"/>
      <c r="N311" s="610"/>
      <c r="O311" s="643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645"/>
      <c r="M312" s="610"/>
      <c r="N312" s="610"/>
      <c r="O312" s="643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645"/>
      <c r="M313" s="610"/>
      <c r="N313" s="610"/>
      <c r="O313" s="643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645"/>
      <c r="M314" s="610"/>
      <c r="N314" s="610"/>
      <c r="O314" s="643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645"/>
      <c r="M315" s="610"/>
      <c r="N315" s="610"/>
      <c r="O315" s="643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645"/>
      <c r="M316" s="610"/>
      <c r="N316" s="610"/>
      <c r="O316" s="643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645"/>
      <c r="M317" s="610"/>
      <c r="N317" s="610"/>
      <c r="O317" s="643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645"/>
      <c r="M318" s="610"/>
      <c r="N318" s="610"/>
      <c r="O318" s="643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645"/>
      <c r="M319" s="610"/>
      <c r="N319" s="610"/>
      <c r="O319" s="643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645"/>
      <c r="M320" s="610"/>
      <c r="N320" s="610"/>
      <c r="O320" s="643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645"/>
      <c r="M321" s="610"/>
      <c r="N321" s="610"/>
      <c r="O321" s="643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645"/>
      <c r="M322" s="610"/>
      <c r="N322" s="610"/>
      <c r="O322" s="643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645"/>
      <c r="M323" s="610"/>
      <c r="N323" s="610"/>
      <c r="O323" s="643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645"/>
      <c r="M324" s="610"/>
      <c r="N324" s="610"/>
      <c r="O324" s="643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645"/>
      <c r="M325" s="610"/>
      <c r="N325" s="610"/>
      <c r="O325" s="643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645"/>
      <c r="M326" s="610"/>
      <c r="N326" s="610"/>
      <c r="O326" s="643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645"/>
      <c r="M327" s="610"/>
      <c r="N327" s="610"/>
      <c r="O327" s="643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645"/>
      <c r="M328" s="610"/>
      <c r="N328" s="610"/>
      <c r="O328" s="643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645"/>
      <c r="M329" s="610"/>
      <c r="N329" s="610"/>
      <c r="O329" s="643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645"/>
      <c r="M330" s="610"/>
      <c r="N330" s="610"/>
      <c r="O330" s="643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645"/>
      <c r="M331" s="610"/>
      <c r="N331" s="610"/>
      <c r="O331" s="643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645"/>
      <c r="M332" s="610"/>
      <c r="N332" s="610"/>
      <c r="O332" s="643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645"/>
      <c r="M333" s="610"/>
      <c r="N333" s="610"/>
      <c r="O333" s="643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645"/>
      <c r="M334" s="610"/>
      <c r="N334" s="610"/>
      <c r="O334" s="643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645"/>
      <c r="M335" s="610"/>
      <c r="N335" s="610"/>
      <c r="O335" s="643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645"/>
      <c r="M336" s="610"/>
      <c r="N336" s="610"/>
      <c r="O336" s="643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645"/>
      <c r="M337" s="610"/>
      <c r="N337" s="610"/>
      <c r="O337" s="643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645"/>
      <c r="M338" s="610"/>
      <c r="N338" s="610"/>
      <c r="O338" s="643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645"/>
      <c r="M339" s="610"/>
      <c r="N339" s="610"/>
      <c r="O339" s="643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645"/>
      <c r="M340" s="610"/>
      <c r="N340" s="610"/>
      <c r="O340" s="643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645"/>
      <c r="M341" s="610"/>
      <c r="N341" s="610"/>
      <c r="O341" s="643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645"/>
      <c r="M342" s="610"/>
      <c r="N342" s="610"/>
      <c r="O342" s="643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645"/>
      <c r="M343" s="610"/>
      <c r="N343" s="610"/>
      <c r="O343" s="643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645"/>
      <c r="M344" s="610"/>
      <c r="N344" s="610"/>
      <c r="O344" s="643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645"/>
      <c r="M345" s="610"/>
      <c r="N345" s="610"/>
      <c r="O345" s="643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645"/>
      <c r="M346" s="610"/>
      <c r="N346" s="610"/>
      <c r="O346" s="643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645"/>
      <c r="M347" s="610"/>
      <c r="N347" s="610"/>
      <c r="O347" s="643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645"/>
      <c r="M348" s="610"/>
      <c r="N348" s="610"/>
      <c r="O348" s="643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645"/>
      <c r="M349" s="610"/>
      <c r="N349" s="610"/>
      <c r="O349" s="643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645"/>
      <c r="M350" s="610"/>
      <c r="N350" s="610"/>
      <c r="O350" s="643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645"/>
      <c r="M351" s="610"/>
      <c r="N351" s="610"/>
      <c r="O351" s="643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645"/>
      <c r="M352" s="610"/>
      <c r="N352" s="610"/>
      <c r="O352" s="643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645"/>
      <c r="M353" s="610"/>
      <c r="N353" s="610"/>
      <c r="O353" s="643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645"/>
      <c r="M354" s="610"/>
      <c r="N354" s="610"/>
      <c r="O354" s="643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645"/>
      <c r="M355" s="610"/>
      <c r="N355" s="610"/>
      <c r="O355" s="643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645"/>
      <c r="M356" s="610"/>
      <c r="N356" s="610"/>
      <c r="O356" s="643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645"/>
      <c r="M357" s="610"/>
      <c r="N357" s="610"/>
      <c r="O357" s="643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645"/>
      <c r="M358" s="610"/>
      <c r="N358" s="610"/>
      <c r="O358" s="643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645"/>
      <c r="M359" s="610"/>
      <c r="N359" s="610"/>
      <c r="O359" s="643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645"/>
      <c r="M360" s="610"/>
      <c r="N360" s="610"/>
      <c r="O360" s="643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645"/>
      <c r="M361" s="610"/>
      <c r="N361" s="610"/>
      <c r="O361" s="643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645"/>
      <c r="M362" s="610"/>
      <c r="N362" s="610"/>
      <c r="O362" s="643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645"/>
      <c r="M363" s="610"/>
      <c r="N363" s="610"/>
      <c r="O363" s="643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645"/>
      <c r="M364" s="610"/>
      <c r="N364" s="610"/>
      <c r="O364" s="643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645"/>
      <c r="M365" s="610"/>
      <c r="N365" s="610"/>
      <c r="O365" s="643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645"/>
      <c r="M366" s="610"/>
      <c r="N366" s="610"/>
      <c r="O366" s="643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645"/>
      <c r="M367" s="610"/>
      <c r="N367" s="610"/>
      <c r="O367" s="643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645"/>
      <c r="M368" s="610"/>
      <c r="N368" s="610"/>
      <c r="O368" s="643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645"/>
      <c r="M369" s="610"/>
      <c r="N369" s="610"/>
      <c r="O369" s="643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645"/>
      <c r="M370" s="610"/>
      <c r="N370" s="610"/>
      <c r="O370" s="643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645"/>
      <c r="M371" s="610"/>
      <c r="N371" s="610"/>
      <c r="O371" s="643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645"/>
      <c r="M372" s="610"/>
      <c r="N372" s="610"/>
      <c r="O372" s="643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645"/>
      <c r="M373" s="610"/>
      <c r="N373" s="610"/>
      <c r="O373" s="643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645"/>
      <c r="M374" s="610"/>
      <c r="N374" s="610"/>
      <c r="O374" s="643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645"/>
      <c r="M375" s="610"/>
      <c r="N375" s="610"/>
      <c r="O375" s="643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645"/>
      <c r="M376" s="610"/>
      <c r="N376" s="610"/>
      <c r="O376" s="643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645"/>
      <c r="M377" s="610"/>
      <c r="N377" s="610"/>
      <c r="O377" s="643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645"/>
      <c r="M378" s="610"/>
      <c r="N378" s="610"/>
      <c r="O378" s="643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645"/>
      <c r="M379" s="610"/>
      <c r="N379" s="610"/>
      <c r="O379" s="643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645"/>
      <c r="M380" s="610"/>
      <c r="N380" s="610"/>
      <c r="O380" s="643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645"/>
      <c r="M381" s="610"/>
      <c r="N381" s="610"/>
      <c r="O381" s="643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645"/>
      <c r="M382" s="610"/>
      <c r="N382" s="610"/>
      <c r="O382" s="643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645"/>
      <c r="M383" s="610"/>
      <c r="N383" s="610"/>
      <c r="O383" s="643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645"/>
      <c r="M384" s="610"/>
      <c r="N384" s="610"/>
      <c r="O384" s="643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645"/>
      <c r="M385" s="610"/>
      <c r="N385" s="610"/>
      <c r="O385" s="643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645"/>
      <c r="M386" s="610"/>
      <c r="N386" s="610"/>
      <c r="O386" s="643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645"/>
      <c r="M387" s="610"/>
      <c r="N387" s="610"/>
      <c r="O387" s="643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645"/>
      <c r="M388" s="610"/>
      <c r="N388" s="610"/>
      <c r="O388" s="643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645"/>
      <c r="M389" s="610"/>
      <c r="N389" s="610"/>
      <c r="O389" s="643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645"/>
      <c r="M390" s="610"/>
      <c r="N390" s="610"/>
      <c r="O390" s="643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645"/>
      <c r="M391" s="610"/>
      <c r="N391" s="610"/>
      <c r="O391" s="643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645"/>
      <c r="M392" s="610"/>
      <c r="N392" s="610"/>
      <c r="O392" s="643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645"/>
      <c r="M393" s="610"/>
      <c r="N393" s="610"/>
      <c r="O393" s="643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645"/>
      <c r="M394" s="610"/>
      <c r="N394" s="610"/>
      <c r="O394" s="643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645"/>
      <c r="M395" s="610"/>
      <c r="N395" s="610"/>
      <c r="O395" s="643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645"/>
      <c r="M396" s="610"/>
      <c r="N396" s="610"/>
      <c r="O396" s="643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645"/>
      <c r="M397" s="610"/>
      <c r="N397" s="610"/>
      <c r="O397" s="643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645"/>
      <c r="M398" s="610"/>
      <c r="N398" s="610"/>
      <c r="O398" s="643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645"/>
      <c r="M399" s="610"/>
      <c r="N399" s="610"/>
      <c r="O399" s="643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645"/>
      <c r="M400" s="610"/>
      <c r="N400" s="610"/>
      <c r="O400" s="643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645"/>
      <c r="M401" s="610"/>
      <c r="N401" s="610"/>
      <c r="O401" s="643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645"/>
      <c r="M402" s="610"/>
      <c r="N402" s="610"/>
      <c r="O402" s="643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645"/>
      <c r="M403" s="610"/>
      <c r="N403" s="610"/>
      <c r="O403" s="643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645"/>
      <c r="M404" s="610"/>
      <c r="N404" s="610"/>
      <c r="O404" s="643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645"/>
      <c r="M405" s="610"/>
      <c r="N405" s="610"/>
      <c r="O405" s="643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645"/>
      <c r="M406" s="610"/>
      <c r="N406" s="610"/>
      <c r="O406" s="643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645"/>
      <c r="M407" s="610"/>
      <c r="N407" s="610"/>
      <c r="O407" s="643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645"/>
      <c r="M408" s="610"/>
      <c r="N408" s="610"/>
      <c r="O408" s="643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645"/>
      <c r="M409" s="610"/>
      <c r="N409" s="610"/>
      <c r="O409" s="643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645"/>
      <c r="M410" s="610"/>
      <c r="N410" s="610"/>
      <c r="O410" s="643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645"/>
      <c r="M411" s="610"/>
      <c r="N411" s="610"/>
      <c r="O411" s="643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645"/>
      <c r="M412" s="610"/>
      <c r="N412" s="610"/>
      <c r="O412" s="643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645"/>
      <c r="M413" s="610"/>
      <c r="N413" s="610"/>
      <c r="O413" s="643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645"/>
      <c r="M414" s="610"/>
      <c r="N414" s="610"/>
      <c r="O414" s="643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645"/>
      <c r="M415" s="610"/>
      <c r="N415" s="610"/>
      <c r="O415" s="643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645"/>
      <c r="M416" s="610"/>
      <c r="N416" s="610"/>
      <c r="O416" s="643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645"/>
      <c r="M417" s="610"/>
      <c r="N417" s="610"/>
      <c r="O417" s="643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645"/>
      <c r="M418" s="610"/>
      <c r="N418" s="610"/>
      <c r="O418" s="643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645"/>
      <c r="M419" s="610"/>
      <c r="N419" s="610"/>
      <c r="O419" s="643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645"/>
      <c r="M420" s="610"/>
      <c r="N420" s="610"/>
      <c r="O420" s="643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645"/>
      <c r="M421" s="610"/>
      <c r="N421" s="610"/>
      <c r="O421" s="643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645"/>
      <c r="M422" s="610"/>
      <c r="N422" s="610"/>
      <c r="O422" s="643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645"/>
      <c r="M423" s="610"/>
      <c r="N423" s="610"/>
      <c r="O423" s="643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645"/>
      <c r="M424" s="610"/>
      <c r="N424" s="610"/>
      <c r="O424" s="643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59055118110236227" bottom="0" header="0.51181102362204722" footer="0.51181102362204722"/>
  <pageSetup paperSize="9" scale="53" fitToHeight="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zoomScale="75" zoomScaleNormal="75" zoomScaleSheetLayoutView="75" workbookViewId="0">
      <selection activeCell="B3" sqref="B3"/>
    </sheetView>
  </sheetViews>
  <sheetFormatPr defaultRowHeight="13.2" x14ac:dyDescent="0.25"/>
  <cols>
    <col min="1" max="1" width="8.5546875" style="25" customWidth="1"/>
    <col min="2" max="2" width="55.6640625" style="13" customWidth="1"/>
    <col min="3" max="6" width="15.44140625" style="13" customWidth="1"/>
    <col min="7" max="7" width="0.6640625" style="13" customWidth="1"/>
    <col min="8" max="9" width="15.44140625" style="13" customWidth="1"/>
    <col min="10" max="10" width="14.5546875" style="13" customWidth="1"/>
    <col min="11" max="11" width="0.6640625" style="13" customWidth="1"/>
    <col min="12" max="13" width="12.21875" style="13" customWidth="1"/>
    <col min="14" max="14" width="12" style="13" customWidth="1"/>
    <col min="15" max="15" width="1.5546875" style="13" customWidth="1"/>
    <col min="16" max="17" width="14.5546875" style="13" customWidth="1"/>
    <col min="18" max="18" width="16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299" t="s">
        <v>418</v>
      </c>
      <c r="B1" s="227"/>
      <c r="C1" s="227"/>
      <c r="D1" s="227"/>
      <c r="E1" s="769"/>
      <c r="F1" s="227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/>
      <c r="M1" s="225"/>
      <c r="N1" s="225"/>
      <c r="O1" s="229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167430000</v>
      </c>
      <c r="D5" s="250">
        <f t="shared" ref="D5:E5" si="0">+D89</f>
        <v>170414273</v>
      </c>
      <c r="E5" s="250">
        <f t="shared" si="0"/>
        <v>170414273</v>
      </c>
      <c r="F5" s="250">
        <f>+F89</f>
        <v>0</v>
      </c>
      <c r="G5" s="250"/>
      <c r="H5" s="250">
        <f>+H89</f>
        <v>92897253</v>
      </c>
      <c r="I5" s="250">
        <f t="shared" ref="I5:J5" si="1">+I89</f>
        <v>132799102</v>
      </c>
      <c r="J5" s="250">
        <f t="shared" si="1"/>
        <v>0</v>
      </c>
      <c r="K5" s="89"/>
      <c r="L5" s="651">
        <f t="shared" ref="L5:N6" si="2">IF(H5&gt;0,H5/C5,0)</f>
        <v>0.5548423400824225</v>
      </c>
      <c r="M5" s="651">
        <f t="shared" si="2"/>
        <v>0.77927217986019282</v>
      </c>
      <c r="N5" s="651">
        <f t="shared" si="2"/>
        <v>0</v>
      </c>
      <c r="O5" s="89"/>
      <c r="P5" s="250">
        <f>+P89</f>
        <v>2984273</v>
      </c>
      <c r="Q5" s="250">
        <f>+Q89</f>
        <v>0</v>
      </c>
      <c r="R5" s="250">
        <f>+R89</f>
        <v>0</v>
      </c>
      <c r="S5" s="250">
        <f>+S89</f>
        <v>2984273</v>
      </c>
      <c r="T5" s="133">
        <f>IF(C5=0,0,+S5/C5)</f>
        <v>1.7824004061398793E-2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167430000</v>
      </c>
      <c r="D6" s="252">
        <f t="shared" ref="D6:F6" si="4">+D102</f>
        <v>170414273</v>
      </c>
      <c r="E6" s="252">
        <f t="shared" si="4"/>
        <v>170414273</v>
      </c>
      <c r="F6" s="252">
        <f t="shared" si="4"/>
        <v>0</v>
      </c>
      <c r="G6" s="252"/>
      <c r="H6" s="252">
        <f>+H102</f>
        <v>101087865</v>
      </c>
      <c r="I6" s="252">
        <f t="shared" ref="I6:J6" si="5">+I102</f>
        <v>137661385</v>
      </c>
      <c r="J6" s="252">
        <f t="shared" si="5"/>
        <v>0</v>
      </c>
      <c r="K6" s="67"/>
      <c r="L6" s="651">
        <f t="shared" si="2"/>
        <v>0.60376196022218243</v>
      </c>
      <c r="M6" s="651">
        <f t="shared" si="2"/>
        <v>0.80780431460691093</v>
      </c>
      <c r="N6" s="651">
        <f t="shared" si="2"/>
        <v>0</v>
      </c>
      <c r="O6" s="67"/>
      <c r="P6" s="252">
        <f>+P102</f>
        <v>2984273</v>
      </c>
      <c r="Q6" s="252">
        <f t="shared" ref="Q6:S6" si="6">+Q102</f>
        <v>0</v>
      </c>
      <c r="R6" s="252">
        <f t="shared" si="6"/>
        <v>0</v>
      </c>
      <c r="S6" s="252">
        <f t="shared" si="6"/>
        <v>2984273</v>
      </c>
      <c r="T6" s="31">
        <f>IF(C6=0,0,+S6/C6)</f>
        <v>1.7824004061398793E-2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405</v>
      </c>
      <c r="C7" s="252">
        <f>+C6-C5</f>
        <v>0</v>
      </c>
      <c r="D7" s="252">
        <f t="shared" ref="D7:H7" si="7">+D6-D5</f>
        <v>0</v>
      </c>
      <c r="E7" s="252">
        <f t="shared" si="7"/>
        <v>0</v>
      </c>
      <c r="F7" s="252">
        <f t="shared" si="7"/>
        <v>0</v>
      </c>
      <c r="G7" s="252"/>
      <c r="H7" s="252">
        <f t="shared" si="7"/>
        <v>8190612</v>
      </c>
      <c r="I7" s="252">
        <f>+I6-I5</f>
        <v>4862283</v>
      </c>
      <c r="J7" s="252">
        <f t="shared" ref="J7" si="8">+J6-J5</f>
        <v>0</v>
      </c>
      <c r="K7" s="67"/>
      <c r="L7" s="651"/>
      <c r="M7" s="651"/>
      <c r="N7" s="651"/>
      <c r="O7" s="67"/>
      <c r="P7" s="252">
        <f t="shared" ref="P7:S7" si="9">+P6-P5</f>
        <v>0</v>
      </c>
      <c r="Q7" s="252">
        <f t="shared" si="9"/>
        <v>0</v>
      </c>
      <c r="R7" s="252">
        <f t="shared" si="9"/>
        <v>0</v>
      </c>
      <c r="S7" s="252">
        <f t="shared" si="9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x14ac:dyDescent="0.25">
      <c r="A8" s="235"/>
      <c r="B8" s="236"/>
      <c r="C8" s="621"/>
      <c r="D8" s="622"/>
      <c r="E8" s="622"/>
      <c r="F8" s="622"/>
      <c r="G8" s="623"/>
      <c r="H8" s="623"/>
      <c r="I8" s="623"/>
      <c r="J8" s="623"/>
      <c r="K8" s="623"/>
      <c r="L8" s="137"/>
      <c r="M8" s="137"/>
      <c r="N8" s="137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17" t="s">
        <v>404</v>
      </c>
      <c r="D9" s="925"/>
      <c r="E9" s="925"/>
      <c r="F9" s="926"/>
      <c r="G9" s="154"/>
      <c r="H9" s="917" t="s">
        <v>403</v>
      </c>
      <c r="I9" s="925"/>
      <c r="J9" s="925"/>
      <c r="K9" s="925"/>
      <c r="L9" s="925"/>
      <c r="M9" s="925"/>
      <c r="N9" s="926"/>
      <c r="O9" s="154"/>
      <c r="P9" s="917" t="s">
        <v>400</v>
      </c>
      <c r="Q9" s="925"/>
      <c r="R9" s="925"/>
      <c r="S9" s="925"/>
      <c r="T9" s="926"/>
      <c r="U9" s="199"/>
      <c r="V9" s="195"/>
      <c r="W9" s="122"/>
      <c r="X9" s="122"/>
    </row>
    <row r="10" spans="1:26" x14ac:dyDescent="0.25">
      <c r="A10" s="268"/>
      <c r="B10" s="267"/>
      <c r="C10" s="233"/>
      <c r="D10" s="88"/>
      <c r="E10" s="88"/>
      <c r="F10" s="234"/>
      <c r="G10" s="134"/>
      <c r="H10" s="914" t="s">
        <v>413</v>
      </c>
      <c r="I10" s="927"/>
      <c r="J10" s="928"/>
      <c r="K10" s="134"/>
      <c r="L10" s="914" t="s">
        <v>412</v>
      </c>
      <c r="M10" s="927"/>
      <c r="N10" s="928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6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16"/>
      <c r="M12" s="14"/>
      <c r="N12" s="16"/>
      <c r="O12" s="68"/>
      <c r="P12" s="272"/>
      <c r="Q12" s="272"/>
      <c r="R12" s="272"/>
      <c r="S12" s="272"/>
      <c r="T12" s="68"/>
      <c r="U12" s="68"/>
      <c r="V12" s="255"/>
    </row>
    <row r="13" spans="1:26" x14ac:dyDescent="0.25">
      <c r="A13" s="5" t="s">
        <v>0</v>
      </c>
      <c r="B13" s="5" t="s">
        <v>3</v>
      </c>
      <c r="C13" s="190">
        <f>SUM(C14:C28)</f>
        <v>136770000</v>
      </c>
      <c r="D13" s="190">
        <f t="shared" ref="D13:J13" si="10">SUM(D14:D28)</f>
        <v>138910000</v>
      </c>
      <c r="E13" s="190">
        <f t="shared" si="10"/>
        <v>138910000</v>
      </c>
      <c r="F13" s="190">
        <f t="shared" si="10"/>
        <v>0</v>
      </c>
      <c r="G13" s="190"/>
      <c r="H13" s="190">
        <f t="shared" si="10"/>
        <v>73242121</v>
      </c>
      <c r="I13" s="190">
        <f t="shared" si="10"/>
        <v>105852857</v>
      </c>
      <c r="J13" s="190">
        <f t="shared" si="10"/>
        <v>0</v>
      </c>
      <c r="K13" s="10"/>
      <c r="L13" s="600">
        <f t="shared" ref="L13" si="11">+H13/C13</f>
        <v>0.53551305841924401</v>
      </c>
      <c r="M13" s="600">
        <f>+I13/D13</f>
        <v>0.7620247426391189</v>
      </c>
      <c r="N13" s="600">
        <f t="shared" ref="N13" si="12">+J13/E13</f>
        <v>0</v>
      </c>
      <c r="O13" s="10"/>
      <c r="P13" s="296">
        <f t="shared" ref="P13:P76" si="13">+(D13-C13)*P$10</f>
        <v>2140000</v>
      </c>
      <c r="Q13" s="296">
        <f t="shared" ref="Q13:Q76" si="14">+(E13-D13)*Q$10</f>
        <v>0</v>
      </c>
      <c r="R13" s="296">
        <f t="shared" ref="R13:R76" si="15">+(F13-E13)*R$10</f>
        <v>0</v>
      </c>
      <c r="S13" s="296">
        <f t="shared" ref="S13:S14" si="16">+P13*P$10+Q13*Q$10+R13*R$10</f>
        <v>2140000</v>
      </c>
      <c r="T13" s="282">
        <f t="shared" ref="T13:T76" si="17">IF(C13=0,0,+S13/C13)</f>
        <v>1.5646706149009287E-2</v>
      </c>
      <c r="U13" s="120"/>
      <c r="V13" s="195">
        <f t="shared" ref="V13:V15" si="18">+S13-E13+C13</f>
        <v>0</v>
      </c>
    </row>
    <row r="14" spans="1:26" x14ac:dyDescent="0.25">
      <c r="A14" s="20" t="s">
        <v>1</v>
      </c>
      <c r="B14" s="20"/>
      <c r="C14" s="96"/>
      <c r="D14" s="68"/>
      <c r="E14" s="68"/>
      <c r="F14" s="68"/>
      <c r="G14" s="68"/>
      <c r="H14" s="68"/>
      <c r="I14" s="68"/>
      <c r="J14" s="68"/>
      <c r="K14" s="16"/>
      <c r="L14" s="603"/>
      <c r="M14" s="603"/>
      <c r="N14" s="603"/>
      <c r="O14" s="16"/>
      <c r="P14" s="272">
        <f t="shared" si="13"/>
        <v>0</v>
      </c>
      <c r="Q14" s="272">
        <f t="shared" si="14"/>
        <v>0</v>
      </c>
      <c r="R14" s="272">
        <f t="shared" si="15"/>
        <v>0</v>
      </c>
      <c r="S14" s="272">
        <f t="shared" si="16"/>
        <v>0</v>
      </c>
      <c r="T14" s="281">
        <f t="shared" si="17"/>
        <v>0</v>
      </c>
      <c r="U14" s="120"/>
      <c r="V14" s="195">
        <f t="shared" si="18"/>
        <v>0</v>
      </c>
    </row>
    <row r="15" spans="1:26" x14ac:dyDescent="0.25">
      <c r="A15" s="20" t="s">
        <v>2</v>
      </c>
      <c r="B15" s="482" t="s">
        <v>357</v>
      </c>
      <c r="C15" s="565">
        <v>126600000</v>
      </c>
      <c r="D15" s="68">
        <v>123618797</v>
      </c>
      <c r="E15" s="68">
        <v>122679797</v>
      </c>
      <c r="F15" s="68"/>
      <c r="G15" s="68"/>
      <c r="H15" s="68">
        <v>61511472</v>
      </c>
      <c r="I15" s="68">
        <v>93214283</v>
      </c>
      <c r="J15" s="68"/>
      <c r="K15" s="16"/>
      <c r="L15" s="603">
        <f t="shared" ref="L15:L27" si="19">IF(H15&gt;0,H15/C15,0)</f>
        <v>0.48587260663507109</v>
      </c>
      <c r="M15" s="603">
        <f t="shared" ref="M15:M27" si="20">IF(I15&gt;0,I15/D15,0)</f>
        <v>0.754046190887944</v>
      </c>
      <c r="N15" s="603">
        <f t="shared" ref="N15:N27" si="21">IF(J15&gt;0,J15/E15,0)</f>
        <v>0</v>
      </c>
      <c r="O15" s="16"/>
      <c r="P15" s="81">
        <f t="shared" si="13"/>
        <v>-2981203</v>
      </c>
      <c r="Q15" s="81">
        <f t="shared" si="14"/>
        <v>-939000</v>
      </c>
      <c r="R15" s="81">
        <f t="shared" si="15"/>
        <v>0</v>
      </c>
      <c r="S15" s="81">
        <f>+P15*P$10+Q15*Q$10+R15*R$10</f>
        <v>-3920203</v>
      </c>
      <c r="T15" s="281">
        <f t="shared" si="17"/>
        <v>-3.0965268562401265E-2</v>
      </c>
      <c r="U15" s="120"/>
      <c r="V15" s="195">
        <f t="shared" si="18"/>
        <v>0</v>
      </c>
    </row>
    <row r="16" spans="1:26" ht="26.4" x14ac:dyDescent="0.25">
      <c r="A16" s="482" t="s">
        <v>578</v>
      </c>
      <c r="B16" s="20" t="s">
        <v>4</v>
      </c>
      <c r="C16" s="96">
        <v>520000</v>
      </c>
      <c r="D16" s="68">
        <f>1474000+345000</f>
        <v>1819000</v>
      </c>
      <c r="E16" s="68">
        <f>1818000+690000</f>
        <v>2508000</v>
      </c>
      <c r="F16" s="68"/>
      <c r="G16" s="68"/>
      <c r="H16" s="68">
        <f>1473458+345000</f>
        <v>1818458</v>
      </c>
      <c r="I16" s="68">
        <f>1817458+517500</f>
        <v>2334958</v>
      </c>
      <c r="J16" s="68"/>
      <c r="K16" s="16"/>
      <c r="L16" s="603">
        <f t="shared" si="19"/>
        <v>3.4970346153846155</v>
      </c>
      <c r="M16" s="603">
        <f t="shared" si="20"/>
        <v>1.2836492578339747</v>
      </c>
      <c r="N16" s="603">
        <f t="shared" si="21"/>
        <v>0</v>
      </c>
      <c r="O16" s="16"/>
      <c r="P16" s="81">
        <f t="shared" si="13"/>
        <v>1299000</v>
      </c>
      <c r="Q16" s="81">
        <f t="shared" si="14"/>
        <v>689000</v>
      </c>
      <c r="R16" s="81">
        <f t="shared" si="15"/>
        <v>0</v>
      </c>
      <c r="S16" s="81">
        <f t="shared" ref="S16:S27" si="22">+P16*P$10+Q16*Q$10+R16*R$10</f>
        <v>1988000</v>
      </c>
      <c r="T16" s="281">
        <f t="shared" si="17"/>
        <v>3.8230769230769233</v>
      </c>
      <c r="U16" s="120"/>
      <c r="V16" s="195">
        <f t="shared" ref="V16:V76" si="23">+S16-E16+C16</f>
        <v>0</v>
      </c>
    </row>
    <row r="17" spans="1:23" x14ac:dyDescent="0.25">
      <c r="A17" s="20" t="s">
        <v>13</v>
      </c>
      <c r="B17" s="20" t="s">
        <v>5</v>
      </c>
      <c r="C17" s="96">
        <v>0</v>
      </c>
      <c r="D17" s="68">
        <v>0</v>
      </c>
      <c r="E17" s="68">
        <v>0</v>
      </c>
      <c r="F17" s="68"/>
      <c r="G17" s="68"/>
      <c r="H17" s="68">
        <v>0</v>
      </c>
      <c r="I17" s="68">
        <v>0</v>
      </c>
      <c r="J17" s="68"/>
      <c r="K17" s="16"/>
      <c r="L17" s="603">
        <f t="shared" si="19"/>
        <v>0</v>
      </c>
      <c r="M17" s="603">
        <f t="shared" si="20"/>
        <v>0</v>
      </c>
      <c r="N17" s="603">
        <f t="shared" si="21"/>
        <v>0</v>
      </c>
      <c r="O17" s="16"/>
      <c r="P17" s="81">
        <f t="shared" si="13"/>
        <v>0</v>
      </c>
      <c r="Q17" s="81">
        <f t="shared" si="14"/>
        <v>0</v>
      </c>
      <c r="R17" s="81">
        <f t="shared" si="15"/>
        <v>0</v>
      </c>
      <c r="S17" s="81">
        <f t="shared" si="22"/>
        <v>0</v>
      </c>
      <c r="T17" s="281">
        <f t="shared" si="17"/>
        <v>0</v>
      </c>
      <c r="U17" s="120"/>
      <c r="V17" s="195">
        <f t="shared" si="23"/>
        <v>0</v>
      </c>
    </row>
    <row r="18" spans="1:23" x14ac:dyDescent="0.25">
      <c r="A18" s="482" t="s">
        <v>380</v>
      </c>
      <c r="B18" s="20" t="s">
        <v>6</v>
      </c>
      <c r="C18" s="96">
        <v>0</v>
      </c>
      <c r="D18" s="68">
        <v>382203</v>
      </c>
      <c r="E18" s="68">
        <v>382203</v>
      </c>
      <c r="F18" s="68"/>
      <c r="G18" s="68"/>
      <c r="H18" s="68">
        <v>382203</v>
      </c>
      <c r="I18" s="68">
        <v>382203</v>
      </c>
      <c r="J18" s="68"/>
      <c r="K18" s="16"/>
      <c r="L18" s="603" t="e">
        <f t="shared" si="19"/>
        <v>#DIV/0!</v>
      </c>
      <c r="M18" s="603">
        <f t="shared" si="20"/>
        <v>1</v>
      </c>
      <c r="N18" s="603">
        <f t="shared" si="21"/>
        <v>0</v>
      </c>
      <c r="O18" s="16"/>
      <c r="P18" s="81">
        <f t="shared" si="13"/>
        <v>382203</v>
      </c>
      <c r="Q18" s="81">
        <f t="shared" si="14"/>
        <v>0</v>
      </c>
      <c r="R18" s="81">
        <f t="shared" si="15"/>
        <v>0</v>
      </c>
      <c r="S18" s="81">
        <f t="shared" si="22"/>
        <v>382203</v>
      </c>
      <c r="T18" s="281">
        <f t="shared" si="17"/>
        <v>0</v>
      </c>
      <c r="U18" s="120"/>
      <c r="V18" s="195">
        <f t="shared" si="23"/>
        <v>0</v>
      </c>
      <c r="W18" s="2"/>
    </row>
    <row r="19" spans="1:23" x14ac:dyDescent="0.25">
      <c r="A19" s="20" t="s">
        <v>14</v>
      </c>
      <c r="B19" s="20" t="s">
        <v>7</v>
      </c>
      <c r="C19" s="96">
        <v>8450000</v>
      </c>
      <c r="D19" s="68">
        <v>8450000</v>
      </c>
      <c r="E19" s="68">
        <v>8450000</v>
      </c>
      <c r="F19" s="68"/>
      <c r="G19" s="68"/>
      <c r="H19" s="68">
        <v>6135042</v>
      </c>
      <c r="I19" s="68">
        <v>6174404</v>
      </c>
      <c r="J19" s="68"/>
      <c r="K19" s="16"/>
      <c r="L19" s="603">
        <f t="shared" si="19"/>
        <v>0.7260404733727811</v>
      </c>
      <c r="M19" s="603">
        <f t="shared" si="20"/>
        <v>0.73069869822485212</v>
      </c>
      <c r="N19" s="603">
        <f t="shared" si="21"/>
        <v>0</v>
      </c>
      <c r="O19" s="16"/>
      <c r="P19" s="81">
        <f t="shared" si="13"/>
        <v>0</v>
      </c>
      <c r="Q19" s="81">
        <f t="shared" si="14"/>
        <v>0</v>
      </c>
      <c r="R19" s="81">
        <f t="shared" si="15"/>
        <v>0</v>
      </c>
      <c r="S19" s="81">
        <f t="shared" si="22"/>
        <v>0</v>
      </c>
      <c r="T19" s="281">
        <f t="shared" si="17"/>
        <v>0</v>
      </c>
      <c r="U19" s="120"/>
      <c r="V19" s="195">
        <f t="shared" si="23"/>
        <v>0</v>
      </c>
    </row>
    <row r="20" spans="1:23" x14ac:dyDescent="0.25">
      <c r="A20" s="20" t="s">
        <v>15</v>
      </c>
      <c r="B20" s="20" t="s">
        <v>8</v>
      </c>
      <c r="C20" s="96">
        <v>0</v>
      </c>
      <c r="D20" s="68">
        <v>0</v>
      </c>
      <c r="E20" s="68">
        <v>0</v>
      </c>
      <c r="F20" s="68"/>
      <c r="G20" s="68"/>
      <c r="H20" s="68">
        <v>0</v>
      </c>
      <c r="I20" s="68">
        <v>0</v>
      </c>
      <c r="J20" s="68"/>
      <c r="K20" s="16"/>
      <c r="L20" s="603">
        <f t="shared" si="19"/>
        <v>0</v>
      </c>
      <c r="M20" s="603">
        <f t="shared" si="20"/>
        <v>0</v>
      </c>
      <c r="N20" s="603">
        <f t="shared" si="21"/>
        <v>0</v>
      </c>
      <c r="O20" s="16"/>
      <c r="P20" s="81">
        <f t="shared" si="13"/>
        <v>0</v>
      </c>
      <c r="Q20" s="81">
        <f t="shared" si="14"/>
        <v>0</v>
      </c>
      <c r="R20" s="81">
        <f t="shared" si="15"/>
        <v>0</v>
      </c>
      <c r="S20" s="81">
        <f t="shared" si="22"/>
        <v>0</v>
      </c>
      <c r="T20" s="281">
        <f t="shared" si="17"/>
        <v>0</v>
      </c>
      <c r="U20" s="120"/>
      <c r="V20" s="195">
        <f t="shared" si="23"/>
        <v>0</v>
      </c>
    </row>
    <row r="21" spans="1:23" x14ac:dyDescent="0.25">
      <c r="A21" s="20" t="s">
        <v>16</v>
      </c>
      <c r="B21" s="20" t="s">
        <v>9</v>
      </c>
      <c r="C21" s="96">
        <v>400000</v>
      </c>
      <c r="D21" s="68">
        <v>400000</v>
      </c>
      <c r="E21" s="68">
        <v>400000</v>
      </c>
      <c r="F21" s="68"/>
      <c r="G21" s="68"/>
      <c r="H21" s="68">
        <v>137925</v>
      </c>
      <c r="I21" s="68">
        <v>222420</v>
      </c>
      <c r="J21" s="68"/>
      <c r="K21" s="16"/>
      <c r="L21" s="603">
        <f t="shared" si="19"/>
        <v>0.34481250000000002</v>
      </c>
      <c r="M21" s="603">
        <f t="shared" si="20"/>
        <v>0.55605000000000004</v>
      </c>
      <c r="N21" s="603">
        <f t="shared" si="21"/>
        <v>0</v>
      </c>
      <c r="O21" s="16"/>
      <c r="P21" s="81">
        <f t="shared" si="13"/>
        <v>0</v>
      </c>
      <c r="Q21" s="81">
        <f t="shared" si="14"/>
        <v>0</v>
      </c>
      <c r="R21" s="81">
        <f t="shared" si="15"/>
        <v>0</v>
      </c>
      <c r="S21" s="81">
        <f t="shared" si="22"/>
        <v>0</v>
      </c>
      <c r="T21" s="281">
        <f t="shared" si="17"/>
        <v>0</v>
      </c>
      <c r="U21" s="120"/>
      <c r="V21" s="195">
        <f t="shared" si="23"/>
        <v>0</v>
      </c>
    </row>
    <row r="22" spans="1:23" x14ac:dyDescent="0.25">
      <c r="A22" s="20" t="s">
        <v>17</v>
      </c>
      <c r="B22" s="20" t="s">
        <v>10</v>
      </c>
      <c r="C22" s="96">
        <v>0</v>
      </c>
      <c r="D22" s="68">
        <v>0</v>
      </c>
      <c r="E22" s="68">
        <v>0</v>
      </c>
      <c r="F22" s="68"/>
      <c r="G22" s="68"/>
      <c r="H22" s="68">
        <v>0</v>
      </c>
      <c r="I22" s="68">
        <v>0</v>
      </c>
      <c r="J22" s="68"/>
      <c r="K22" s="16"/>
      <c r="L22" s="603">
        <f t="shared" si="19"/>
        <v>0</v>
      </c>
      <c r="M22" s="603">
        <f t="shared" si="20"/>
        <v>0</v>
      </c>
      <c r="N22" s="603">
        <f t="shared" si="21"/>
        <v>0</v>
      </c>
      <c r="O22" s="16"/>
      <c r="P22" s="81">
        <f t="shared" si="13"/>
        <v>0</v>
      </c>
      <c r="Q22" s="81">
        <f t="shared" si="14"/>
        <v>0</v>
      </c>
      <c r="R22" s="81">
        <f t="shared" si="15"/>
        <v>0</v>
      </c>
      <c r="S22" s="81">
        <f t="shared" si="22"/>
        <v>0</v>
      </c>
      <c r="T22" s="281">
        <f t="shared" si="17"/>
        <v>0</v>
      </c>
      <c r="U22" s="120"/>
      <c r="V22" s="195">
        <f t="shared" si="23"/>
        <v>0</v>
      </c>
    </row>
    <row r="23" spans="1:23" x14ac:dyDescent="0.25">
      <c r="A23" s="20" t="s">
        <v>18</v>
      </c>
      <c r="B23" s="20" t="s">
        <v>11</v>
      </c>
      <c r="C23" s="96">
        <v>0</v>
      </c>
      <c r="D23" s="68">
        <v>2220000</v>
      </c>
      <c r="E23" s="68">
        <v>2470000</v>
      </c>
      <c r="F23" s="68"/>
      <c r="G23" s="68"/>
      <c r="H23" s="68">
        <v>2167531</v>
      </c>
      <c r="I23" s="68">
        <v>2435099</v>
      </c>
      <c r="J23" s="68"/>
      <c r="K23" s="16"/>
      <c r="L23" s="603" t="e">
        <f t="shared" si="19"/>
        <v>#DIV/0!</v>
      </c>
      <c r="M23" s="603">
        <f t="shared" si="20"/>
        <v>1.0968914414414415</v>
      </c>
      <c r="N23" s="603">
        <f t="shared" si="21"/>
        <v>0</v>
      </c>
      <c r="O23" s="16"/>
      <c r="P23" s="81">
        <f t="shared" si="13"/>
        <v>2220000</v>
      </c>
      <c r="Q23" s="81">
        <f t="shared" si="14"/>
        <v>250000</v>
      </c>
      <c r="R23" s="81">
        <f t="shared" si="15"/>
        <v>0</v>
      </c>
      <c r="S23" s="81">
        <f t="shared" si="22"/>
        <v>2470000</v>
      </c>
      <c r="T23" s="281">
        <f t="shared" si="17"/>
        <v>0</v>
      </c>
      <c r="U23" s="120"/>
      <c r="V23" s="195">
        <f t="shared" si="23"/>
        <v>0</v>
      </c>
    </row>
    <row r="24" spans="1:23" x14ac:dyDescent="0.25">
      <c r="A24" s="20" t="s">
        <v>19</v>
      </c>
      <c r="B24" s="20"/>
      <c r="C24" s="96"/>
      <c r="D24" s="68"/>
      <c r="E24" s="68"/>
      <c r="F24" s="68"/>
      <c r="G24" s="68"/>
      <c r="H24" s="68"/>
      <c r="I24" s="68"/>
      <c r="J24" s="68"/>
      <c r="K24" s="16"/>
      <c r="L24" s="603">
        <f t="shared" si="19"/>
        <v>0</v>
      </c>
      <c r="M24" s="603">
        <f t="shared" si="20"/>
        <v>0</v>
      </c>
      <c r="N24" s="603">
        <f t="shared" si="21"/>
        <v>0</v>
      </c>
      <c r="O24" s="16"/>
      <c r="P24" s="81">
        <f t="shared" si="13"/>
        <v>0</v>
      </c>
      <c r="Q24" s="81">
        <f t="shared" si="14"/>
        <v>0</v>
      </c>
      <c r="R24" s="81">
        <f t="shared" si="15"/>
        <v>0</v>
      </c>
      <c r="S24" s="81">
        <f t="shared" si="22"/>
        <v>0</v>
      </c>
      <c r="T24" s="281">
        <f t="shared" si="17"/>
        <v>0</v>
      </c>
      <c r="U24" s="120"/>
      <c r="V24" s="195">
        <f t="shared" ref="V24:V34" si="24">+S24-E24+C24</f>
        <v>0</v>
      </c>
    </row>
    <row r="25" spans="1:23" ht="26.4" x14ac:dyDescent="0.25">
      <c r="A25" s="20" t="s">
        <v>20</v>
      </c>
      <c r="B25" s="20" t="s">
        <v>107</v>
      </c>
      <c r="C25" s="96">
        <v>0</v>
      </c>
      <c r="D25" s="68">
        <v>0</v>
      </c>
      <c r="E25" s="68">
        <v>0</v>
      </c>
      <c r="F25" s="68"/>
      <c r="G25" s="68"/>
      <c r="H25" s="68">
        <v>0</v>
      </c>
      <c r="I25" s="68">
        <v>0</v>
      </c>
      <c r="J25" s="68"/>
      <c r="K25" s="16"/>
      <c r="L25" s="603">
        <f t="shared" si="19"/>
        <v>0</v>
      </c>
      <c r="M25" s="603">
        <f t="shared" si="20"/>
        <v>0</v>
      </c>
      <c r="N25" s="603">
        <f t="shared" si="21"/>
        <v>0</v>
      </c>
      <c r="O25" s="16"/>
      <c r="P25" s="81">
        <f t="shared" si="13"/>
        <v>0</v>
      </c>
      <c r="Q25" s="81">
        <f t="shared" si="14"/>
        <v>0</v>
      </c>
      <c r="R25" s="81">
        <f t="shared" si="15"/>
        <v>0</v>
      </c>
      <c r="S25" s="81">
        <f t="shared" si="22"/>
        <v>0</v>
      </c>
      <c r="T25" s="281">
        <f t="shared" si="17"/>
        <v>0</v>
      </c>
      <c r="U25" s="120"/>
      <c r="V25" s="195">
        <f t="shared" si="24"/>
        <v>0</v>
      </c>
    </row>
    <row r="26" spans="1:23" x14ac:dyDescent="0.25">
      <c r="A26" s="20" t="s">
        <v>22</v>
      </c>
      <c r="B26" s="20" t="s">
        <v>23</v>
      </c>
      <c r="C26" s="96">
        <v>0</v>
      </c>
      <c r="D26" s="68">
        <v>0</v>
      </c>
      <c r="E26" s="68">
        <v>0</v>
      </c>
      <c r="F26" s="68"/>
      <c r="G26" s="68"/>
      <c r="H26" s="68">
        <v>0</v>
      </c>
      <c r="I26" s="68">
        <v>0</v>
      </c>
      <c r="J26" s="68"/>
      <c r="K26" s="16"/>
      <c r="L26" s="603">
        <f t="shared" si="19"/>
        <v>0</v>
      </c>
      <c r="M26" s="603">
        <f t="shared" si="20"/>
        <v>0</v>
      </c>
      <c r="N26" s="603">
        <f t="shared" si="21"/>
        <v>0</v>
      </c>
      <c r="O26" s="16"/>
      <c r="P26" s="81">
        <f t="shared" si="13"/>
        <v>0</v>
      </c>
      <c r="Q26" s="81">
        <f t="shared" si="14"/>
        <v>0</v>
      </c>
      <c r="R26" s="81">
        <f t="shared" si="15"/>
        <v>0</v>
      </c>
      <c r="S26" s="81">
        <f t="shared" si="22"/>
        <v>0</v>
      </c>
      <c r="T26" s="281">
        <f t="shared" si="17"/>
        <v>0</v>
      </c>
      <c r="U26" s="120"/>
      <c r="V26" s="195">
        <f t="shared" si="24"/>
        <v>0</v>
      </c>
    </row>
    <row r="27" spans="1:23" x14ac:dyDescent="0.25">
      <c r="A27" s="20" t="s">
        <v>24</v>
      </c>
      <c r="B27" s="20" t="s">
        <v>25</v>
      </c>
      <c r="C27" s="96">
        <v>800000</v>
      </c>
      <c r="D27" s="68">
        <v>2020000</v>
      </c>
      <c r="E27" s="68">
        <v>2020000</v>
      </c>
      <c r="F27" s="68"/>
      <c r="G27" s="68"/>
      <c r="H27" s="68">
        <v>1089490</v>
      </c>
      <c r="I27" s="68">
        <v>1089490</v>
      </c>
      <c r="J27" s="68"/>
      <c r="K27" s="16"/>
      <c r="L27" s="603">
        <f t="shared" si="19"/>
        <v>1.3618625</v>
      </c>
      <c r="M27" s="603">
        <f t="shared" si="20"/>
        <v>0.53935148514851483</v>
      </c>
      <c r="N27" s="603">
        <f t="shared" si="21"/>
        <v>0</v>
      </c>
      <c r="O27" s="16"/>
      <c r="P27" s="81">
        <f t="shared" si="13"/>
        <v>1220000</v>
      </c>
      <c r="Q27" s="81">
        <f t="shared" si="14"/>
        <v>0</v>
      </c>
      <c r="R27" s="81">
        <f t="shared" si="15"/>
        <v>0</v>
      </c>
      <c r="S27" s="81">
        <f t="shared" si="22"/>
        <v>1220000</v>
      </c>
      <c r="T27" s="281">
        <f t="shared" si="17"/>
        <v>1.5249999999999999</v>
      </c>
      <c r="U27" s="120"/>
      <c r="V27" s="195">
        <f t="shared" si="24"/>
        <v>0</v>
      </c>
    </row>
    <row r="28" spans="1:23" x14ac:dyDescent="0.25">
      <c r="A28" s="11"/>
      <c r="B28" s="12"/>
      <c r="C28" s="291"/>
      <c r="D28" s="68"/>
      <c r="E28" s="68"/>
      <c r="F28" s="68"/>
      <c r="G28" s="68"/>
      <c r="H28" s="68"/>
      <c r="I28" s="68"/>
      <c r="J28" s="68"/>
      <c r="K28" s="16"/>
      <c r="L28" s="602"/>
      <c r="M28" s="602"/>
      <c r="N28" s="602"/>
      <c r="O28" s="16"/>
      <c r="P28" s="81"/>
      <c r="Q28" s="81"/>
      <c r="R28" s="81"/>
      <c r="S28" s="81"/>
      <c r="T28" s="281"/>
      <c r="U28" s="120"/>
      <c r="V28" s="195"/>
    </row>
    <row r="29" spans="1:23" x14ac:dyDescent="0.25">
      <c r="A29" s="5" t="s">
        <v>26</v>
      </c>
      <c r="B29" s="5" t="s">
        <v>27</v>
      </c>
      <c r="C29" s="190">
        <f>SUM(C30:C31)</f>
        <v>17900000</v>
      </c>
      <c r="D29" s="190">
        <f t="shared" ref="D29:J29" si="25">SUM(D30:D31)</f>
        <v>18200308</v>
      </c>
      <c r="E29" s="190">
        <f t="shared" si="25"/>
        <v>18200308</v>
      </c>
      <c r="F29" s="190">
        <f t="shared" si="25"/>
        <v>0</v>
      </c>
      <c r="G29" s="190"/>
      <c r="H29" s="190">
        <f t="shared" si="25"/>
        <v>11393724</v>
      </c>
      <c r="I29" s="190">
        <f t="shared" si="25"/>
        <v>15628466</v>
      </c>
      <c r="J29" s="190">
        <f t="shared" si="25"/>
        <v>0</v>
      </c>
      <c r="K29" s="10"/>
      <c r="L29" s="600">
        <f t="shared" ref="L29:L30" si="26">IF(H29&gt;0,H29/C29,0)</f>
        <v>0.63652089385474864</v>
      </c>
      <c r="M29" s="600">
        <f t="shared" ref="M29:M30" si="27">IF(I29&gt;0,I29/D29,0)</f>
        <v>0.85869239135953079</v>
      </c>
      <c r="N29" s="600">
        <f t="shared" ref="N29:N30" si="28">IF(J29&gt;0,J29/E29,0)</f>
        <v>0</v>
      </c>
      <c r="O29" s="10"/>
      <c r="P29" s="296">
        <f t="shared" si="13"/>
        <v>300308</v>
      </c>
      <c r="Q29" s="296">
        <f t="shared" si="14"/>
        <v>0</v>
      </c>
      <c r="R29" s="296">
        <f t="shared" si="15"/>
        <v>0</v>
      </c>
      <c r="S29" s="296">
        <f t="shared" ref="S29:S30" si="29">+P29*P$10+Q29*Q$10+R29*R$10</f>
        <v>300308</v>
      </c>
      <c r="T29" s="282">
        <f t="shared" si="17"/>
        <v>1.6776983240223465E-2</v>
      </c>
      <c r="U29" s="120"/>
      <c r="V29" s="195">
        <f t="shared" si="24"/>
        <v>0</v>
      </c>
    </row>
    <row r="30" spans="1:23" x14ac:dyDescent="0.25">
      <c r="A30" s="20"/>
      <c r="B30" s="20" t="s">
        <v>28</v>
      </c>
      <c r="C30" s="96">
        <v>17900000</v>
      </c>
      <c r="D30" s="68">
        <v>18200308</v>
      </c>
      <c r="E30" s="68">
        <v>18200308</v>
      </c>
      <c r="F30" s="68"/>
      <c r="G30" s="68"/>
      <c r="H30" s="68">
        <v>11393724</v>
      </c>
      <c r="I30" s="68">
        <v>15628466</v>
      </c>
      <c r="J30" s="68"/>
      <c r="K30" s="16"/>
      <c r="L30" s="603">
        <f t="shared" si="26"/>
        <v>0.63652089385474864</v>
      </c>
      <c r="M30" s="603">
        <f t="shared" si="27"/>
        <v>0.85869239135953079</v>
      </c>
      <c r="N30" s="603">
        <f t="shared" si="28"/>
        <v>0</v>
      </c>
      <c r="O30" s="16"/>
      <c r="P30" s="81">
        <f t="shared" si="13"/>
        <v>300308</v>
      </c>
      <c r="Q30" s="81">
        <f t="shared" si="14"/>
        <v>0</v>
      </c>
      <c r="R30" s="81">
        <f t="shared" si="15"/>
        <v>0</v>
      </c>
      <c r="S30" s="81">
        <f t="shared" si="29"/>
        <v>300308</v>
      </c>
      <c r="T30" s="281">
        <f t="shared" si="17"/>
        <v>1.6776983240223465E-2</v>
      </c>
      <c r="U30" s="120"/>
      <c r="V30" s="195">
        <f t="shared" si="24"/>
        <v>0</v>
      </c>
    </row>
    <row r="31" spans="1:23" x14ac:dyDescent="0.25">
      <c r="A31" s="20"/>
      <c r="B31" s="14"/>
      <c r="C31" s="96"/>
      <c r="D31" s="68"/>
      <c r="E31" s="68"/>
      <c r="F31" s="68"/>
      <c r="G31" s="68"/>
      <c r="H31" s="68"/>
      <c r="I31" s="68"/>
      <c r="J31" s="68"/>
      <c r="K31" s="16"/>
      <c r="L31" s="602"/>
      <c r="M31" s="602"/>
      <c r="N31" s="602"/>
      <c r="O31" s="16"/>
      <c r="P31" s="81"/>
      <c r="Q31" s="81"/>
      <c r="R31" s="81"/>
      <c r="S31" s="81"/>
      <c r="T31" s="281"/>
      <c r="U31" s="120"/>
      <c r="V31" s="195"/>
    </row>
    <row r="32" spans="1:23" x14ac:dyDescent="0.25">
      <c r="A32" s="5" t="s">
        <v>29</v>
      </c>
      <c r="B32" s="5" t="s">
        <v>30</v>
      </c>
      <c r="C32" s="190">
        <f>+C33+C41+C48+C66+C71</f>
        <v>10760000</v>
      </c>
      <c r="D32" s="190">
        <f t="shared" ref="D32:J32" si="30">+D33+D41+D48+D66+D71</f>
        <v>11303965</v>
      </c>
      <c r="E32" s="190">
        <f t="shared" si="30"/>
        <v>11303965</v>
      </c>
      <c r="F32" s="190">
        <f t="shared" si="30"/>
        <v>0</v>
      </c>
      <c r="G32" s="190"/>
      <c r="H32" s="190">
        <f t="shared" si="30"/>
        <v>6649553</v>
      </c>
      <c r="I32" s="190">
        <f t="shared" si="30"/>
        <v>9705924</v>
      </c>
      <c r="J32" s="190">
        <f t="shared" si="30"/>
        <v>0</v>
      </c>
      <c r="K32" s="10"/>
      <c r="L32" s="600">
        <f t="shared" ref="L32:L34" si="31">IF(H32&gt;0,H32/C32,0)</f>
        <v>0.61798819702602226</v>
      </c>
      <c r="M32" s="600">
        <f t="shared" ref="M32:M34" si="32">IF(I32&gt;0,I32/D32,0)</f>
        <v>0.85863004706755552</v>
      </c>
      <c r="N32" s="600">
        <f t="shared" ref="N32:N34" si="33">IF(J32&gt;0,J32/E32,0)</f>
        <v>0</v>
      </c>
      <c r="O32" s="10"/>
      <c r="P32" s="296">
        <f t="shared" si="13"/>
        <v>543965</v>
      </c>
      <c r="Q32" s="296">
        <f t="shared" si="14"/>
        <v>0</v>
      </c>
      <c r="R32" s="296">
        <f t="shared" si="15"/>
        <v>0</v>
      </c>
      <c r="S32" s="296">
        <f t="shared" ref="S32:S89" si="34">+P32*P$10+Q32*Q$10+R32*R$10</f>
        <v>543965</v>
      </c>
      <c r="T32" s="282">
        <f t="shared" si="17"/>
        <v>5.0554368029739775E-2</v>
      </c>
      <c r="U32" s="120"/>
      <c r="V32" s="195">
        <f t="shared" si="24"/>
        <v>0</v>
      </c>
    </row>
    <row r="33" spans="1:22" x14ac:dyDescent="0.25">
      <c r="A33" s="39" t="s">
        <v>31</v>
      </c>
      <c r="B33" s="39" t="s">
        <v>32</v>
      </c>
      <c r="C33" s="374">
        <f>SUM(C34:C40)</f>
        <v>1800000</v>
      </c>
      <c r="D33" s="374">
        <f t="shared" ref="D33:J33" si="35">SUM(D34:D40)</f>
        <v>2050000</v>
      </c>
      <c r="E33" s="374">
        <f t="shared" si="35"/>
        <v>2250000</v>
      </c>
      <c r="F33" s="374">
        <f t="shared" si="35"/>
        <v>0</v>
      </c>
      <c r="G33" s="374"/>
      <c r="H33" s="374">
        <f t="shared" si="35"/>
        <v>1148842</v>
      </c>
      <c r="I33" s="374">
        <f t="shared" si="35"/>
        <v>1948937</v>
      </c>
      <c r="J33" s="374">
        <f t="shared" si="35"/>
        <v>0</v>
      </c>
      <c r="K33" s="16"/>
      <c r="L33" s="603">
        <f t="shared" si="31"/>
        <v>0.63824555555555551</v>
      </c>
      <c r="M33" s="602">
        <f t="shared" si="32"/>
        <v>0.95070097560975608</v>
      </c>
      <c r="N33" s="602">
        <f t="shared" si="33"/>
        <v>0</v>
      </c>
      <c r="O33" s="16"/>
      <c r="P33" s="81">
        <f t="shared" si="13"/>
        <v>250000</v>
      </c>
      <c r="Q33" s="81">
        <f t="shared" si="14"/>
        <v>200000</v>
      </c>
      <c r="R33" s="81">
        <f t="shared" si="15"/>
        <v>0</v>
      </c>
      <c r="S33" s="81">
        <f t="shared" si="34"/>
        <v>450000</v>
      </c>
      <c r="T33" s="281">
        <f t="shared" si="17"/>
        <v>0.25</v>
      </c>
      <c r="U33" s="120"/>
      <c r="V33" s="195">
        <f t="shared" si="24"/>
        <v>0</v>
      </c>
    </row>
    <row r="34" spans="1:22" x14ac:dyDescent="0.25">
      <c r="A34" s="20" t="s">
        <v>33</v>
      </c>
      <c r="B34" s="20" t="s">
        <v>35</v>
      </c>
      <c r="C34" s="96">
        <v>100000</v>
      </c>
      <c r="D34" s="68">
        <v>100000</v>
      </c>
      <c r="E34" s="68">
        <v>100000</v>
      </c>
      <c r="F34" s="68"/>
      <c r="G34" s="68"/>
      <c r="H34" s="68">
        <v>23850</v>
      </c>
      <c r="I34" s="68">
        <v>23850</v>
      </c>
      <c r="J34" s="68"/>
      <c r="K34" s="16"/>
      <c r="L34" s="603">
        <f t="shared" si="31"/>
        <v>0.23849999999999999</v>
      </c>
      <c r="M34" s="603">
        <f t="shared" si="32"/>
        <v>0.23849999999999999</v>
      </c>
      <c r="N34" s="603">
        <f t="shared" si="33"/>
        <v>0</v>
      </c>
      <c r="O34" s="16"/>
      <c r="P34" s="81">
        <f t="shared" si="13"/>
        <v>0</v>
      </c>
      <c r="Q34" s="81">
        <f t="shared" si="14"/>
        <v>0</v>
      </c>
      <c r="R34" s="81">
        <f t="shared" si="15"/>
        <v>0</v>
      </c>
      <c r="S34" s="81">
        <f t="shared" si="34"/>
        <v>0</v>
      </c>
      <c r="T34" s="281">
        <f t="shared" si="17"/>
        <v>0</v>
      </c>
      <c r="U34" s="120"/>
      <c r="V34" s="195">
        <f t="shared" si="24"/>
        <v>0</v>
      </c>
    </row>
    <row r="35" spans="1:22" x14ac:dyDescent="0.25">
      <c r="A35" s="20"/>
      <c r="B35" s="20" t="s">
        <v>89</v>
      </c>
      <c r="C35" s="96"/>
      <c r="D35" s="68"/>
      <c r="E35" s="68"/>
      <c r="F35" s="68"/>
      <c r="G35" s="68"/>
      <c r="H35" s="68"/>
      <c r="I35" s="68"/>
      <c r="J35" s="68"/>
      <c r="K35" s="16"/>
      <c r="L35" s="603"/>
      <c r="M35" s="603"/>
      <c r="N35" s="603"/>
      <c r="O35" s="16"/>
      <c r="P35" s="81">
        <f t="shared" si="13"/>
        <v>0</v>
      </c>
      <c r="Q35" s="81">
        <f t="shared" si="14"/>
        <v>0</v>
      </c>
      <c r="R35" s="81">
        <f t="shared" si="15"/>
        <v>0</v>
      </c>
      <c r="S35" s="81">
        <f t="shared" si="34"/>
        <v>0</v>
      </c>
      <c r="T35" s="281">
        <f t="shared" si="17"/>
        <v>0</v>
      </c>
      <c r="U35" s="120"/>
      <c r="V35" s="195">
        <f t="shared" si="23"/>
        <v>0</v>
      </c>
    </row>
    <row r="36" spans="1:22" x14ac:dyDescent="0.25">
      <c r="A36" s="20" t="s">
        <v>34</v>
      </c>
      <c r="B36" s="20" t="s">
        <v>36</v>
      </c>
      <c r="C36" s="96">
        <v>1700000</v>
      </c>
      <c r="D36" s="68">
        <v>1950000</v>
      </c>
      <c r="E36" s="68">
        <v>2150000</v>
      </c>
      <c r="F36" s="68"/>
      <c r="G36" s="68"/>
      <c r="H36" s="68">
        <v>1124992</v>
      </c>
      <c r="I36" s="68">
        <v>1925087</v>
      </c>
      <c r="J36" s="68"/>
      <c r="K36" s="16"/>
      <c r="L36" s="603">
        <f t="shared" ref="L36" si="36">IF(H36&gt;0,H36/C36,0)</f>
        <v>0.66176000000000001</v>
      </c>
      <c r="M36" s="603">
        <f t="shared" ref="M36" si="37">IF(I36&gt;0,I36/D36,0)</f>
        <v>0.98722410256410253</v>
      </c>
      <c r="N36" s="603">
        <f t="shared" ref="N36" si="38">IF(J36&gt;0,J36/E36,0)</f>
        <v>0</v>
      </c>
      <c r="O36" s="16"/>
      <c r="P36" s="81">
        <f t="shared" si="13"/>
        <v>250000</v>
      </c>
      <c r="Q36" s="81">
        <f t="shared" si="14"/>
        <v>200000</v>
      </c>
      <c r="R36" s="81">
        <f t="shared" si="15"/>
        <v>0</v>
      </c>
      <c r="S36" s="81">
        <f t="shared" si="34"/>
        <v>450000</v>
      </c>
      <c r="T36" s="281">
        <f t="shared" si="17"/>
        <v>0.26470588235294118</v>
      </c>
      <c r="U36" s="120"/>
      <c r="V36" s="195">
        <f t="shared" si="23"/>
        <v>0</v>
      </c>
    </row>
    <row r="37" spans="1:22" x14ac:dyDescent="0.25">
      <c r="A37" s="20"/>
      <c r="B37" s="20" t="s">
        <v>105</v>
      </c>
      <c r="C37" s="96"/>
      <c r="D37" s="68"/>
      <c r="E37" s="68"/>
      <c r="F37" s="68"/>
      <c r="G37" s="68"/>
      <c r="H37" s="68"/>
      <c r="I37" s="68"/>
      <c r="J37" s="68"/>
      <c r="K37" s="16"/>
      <c r="L37" s="603"/>
      <c r="M37" s="603"/>
      <c r="N37" s="603"/>
      <c r="O37" s="16"/>
      <c r="P37" s="81">
        <f t="shared" si="13"/>
        <v>0</v>
      </c>
      <c r="Q37" s="81">
        <f t="shared" si="14"/>
        <v>0</v>
      </c>
      <c r="R37" s="81">
        <f t="shared" si="15"/>
        <v>0</v>
      </c>
      <c r="S37" s="81">
        <f t="shared" si="34"/>
        <v>0</v>
      </c>
      <c r="T37" s="281">
        <f t="shared" si="17"/>
        <v>0</v>
      </c>
      <c r="U37" s="120"/>
      <c r="V37" s="195">
        <f t="shared" si="23"/>
        <v>0</v>
      </c>
    </row>
    <row r="38" spans="1:22" x14ac:dyDescent="0.25">
      <c r="A38" s="20"/>
      <c r="B38" s="20" t="s">
        <v>95</v>
      </c>
      <c r="C38" s="96"/>
      <c r="D38" s="68"/>
      <c r="E38" s="68"/>
      <c r="F38" s="68"/>
      <c r="G38" s="68"/>
      <c r="H38" s="68"/>
      <c r="I38" s="68"/>
      <c r="J38" s="68"/>
      <c r="K38" s="16"/>
      <c r="L38" s="603"/>
      <c r="M38" s="603"/>
      <c r="N38" s="603"/>
      <c r="O38" s="16"/>
      <c r="P38" s="81">
        <f t="shared" si="13"/>
        <v>0</v>
      </c>
      <c r="Q38" s="81">
        <f t="shared" si="14"/>
        <v>0</v>
      </c>
      <c r="R38" s="81">
        <f t="shared" si="15"/>
        <v>0</v>
      </c>
      <c r="S38" s="81">
        <f t="shared" si="34"/>
        <v>0</v>
      </c>
      <c r="T38" s="281">
        <f t="shared" si="17"/>
        <v>0</v>
      </c>
      <c r="U38" s="120"/>
      <c r="V38" s="195">
        <f t="shared" si="23"/>
        <v>0</v>
      </c>
    </row>
    <row r="39" spans="1:22" x14ac:dyDescent="0.25">
      <c r="A39" s="20"/>
      <c r="B39" s="20" t="s">
        <v>94</v>
      </c>
      <c r="C39" s="96"/>
      <c r="D39" s="68"/>
      <c r="E39" s="68"/>
      <c r="F39" s="68"/>
      <c r="G39" s="68"/>
      <c r="H39" s="68"/>
      <c r="I39" s="68"/>
      <c r="J39" s="68"/>
      <c r="K39" s="16"/>
      <c r="L39" s="603"/>
      <c r="M39" s="603"/>
      <c r="N39" s="603"/>
      <c r="O39" s="16"/>
      <c r="P39" s="81">
        <f t="shared" si="13"/>
        <v>0</v>
      </c>
      <c r="Q39" s="81">
        <f t="shared" si="14"/>
        <v>0</v>
      </c>
      <c r="R39" s="81">
        <f t="shared" si="15"/>
        <v>0</v>
      </c>
      <c r="S39" s="81">
        <f t="shared" si="34"/>
        <v>0</v>
      </c>
      <c r="T39" s="281">
        <f t="shared" si="17"/>
        <v>0</v>
      </c>
      <c r="U39" s="120"/>
      <c r="V39" s="195">
        <f t="shared" si="23"/>
        <v>0</v>
      </c>
    </row>
    <row r="40" spans="1:22" x14ac:dyDescent="0.25">
      <c r="A40" s="20"/>
      <c r="B40" s="20" t="s">
        <v>93</v>
      </c>
      <c r="C40" s="96"/>
      <c r="D40" s="68"/>
      <c r="E40" s="68"/>
      <c r="F40" s="68"/>
      <c r="G40" s="68"/>
      <c r="H40" s="68"/>
      <c r="I40" s="68"/>
      <c r="J40" s="68"/>
      <c r="K40" s="16"/>
      <c r="L40" s="603"/>
      <c r="M40" s="603"/>
      <c r="N40" s="603"/>
      <c r="O40" s="16"/>
      <c r="P40" s="81">
        <f t="shared" si="13"/>
        <v>0</v>
      </c>
      <c r="Q40" s="81">
        <f t="shared" si="14"/>
        <v>0</v>
      </c>
      <c r="R40" s="81">
        <f t="shared" si="15"/>
        <v>0</v>
      </c>
      <c r="S40" s="81">
        <f t="shared" si="34"/>
        <v>0</v>
      </c>
      <c r="T40" s="281">
        <f t="shared" si="17"/>
        <v>0</v>
      </c>
      <c r="U40" s="120"/>
      <c r="V40" s="195">
        <f t="shared" si="23"/>
        <v>0</v>
      </c>
    </row>
    <row r="41" spans="1:22" x14ac:dyDescent="0.25">
      <c r="A41" s="39" t="s">
        <v>37</v>
      </c>
      <c r="B41" s="39" t="s">
        <v>38</v>
      </c>
      <c r="C41" s="374">
        <f>SUM(C42:C47)</f>
        <v>960000</v>
      </c>
      <c r="D41" s="374">
        <f t="shared" ref="D41:J41" si="39">SUM(D42:D47)</f>
        <v>960000</v>
      </c>
      <c r="E41" s="374">
        <f t="shared" si="39"/>
        <v>800000</v>
      </c>
      <c r="F41" s="374">
        <f t="shared" si="39"/>
        <v>0</v>
      </c>
      <c r="G41" s="374"/>
      <c r="H41" s="374">
        <f t="shared" si="39"/>
        <v>573918</v>
      </c>
      <c r="I41" s="374">
        <f t="shared" si="39"/>
        <v>681817</v>
      </c>
      <c r="J41" s="374">
        <f t="shared" si="39"/>
        <v>0</v>
      </c>
      <c r="K41" s="375"/>
      <c r="L41" s="603">
        <f t="shared" ref="L41:L42" si="40">IF(H41&gt;0,H41/C41,0)</f>
        <v>0.59783125000000004</v>
      </c>
      <c r="M41" s="604">
        <f t="shared" ref="M41:M42" si="41">IF(I41&gt;0,I41/D41,0)</f>
        <v>0.7102260416666667</v>
      </c>
      <c r="N41" s="604">
        <f t="shared" ref="N41:N42" si="42">IF(J41&gt;0,J41/E41,0)</f>
        <v>0</v>
      </c>
      <c r="O41" s="375"/>
      <c r="P41" s="376">
        <f t="shared" si="13"/>
        <v>0</v>
      </c>
      <c r="Q41" s="376">
        <f t="shared" si="14"/>
        <v>-160000</v>
      </c>
      <c r="R41" s="376">
        <f t="shared" si="15"/>
        <v>0</v>
      </c>
      <c r="S41" s="376">
        <f t="shared" si="34"/>
        <v>-160000</v>
      </c>
      <c r="T41" s="281">
        <f t="shared" si="17"/>
        <v>-0.16666666666666666</v>
      </c>
      <c r="U41" s="120"/>
      <c r="V41" s="195">
        <f t="shared" si="23"/>
        <v>0</v>
      </c>
    </row>
    <row r="42" spans="1:22" x14ac:dyDescent="0.25">
      <c r="A42" s="20" t="s">
        <v>39</v>
      </c>
      <c r="B42" s="20" t="s">
        <v>40</v>
      </c>
      <c r="C42" s="96">
        <v>560000</v>
      </c>
      <c r="D42" s="68">
        <v>560000</v>
      </c>
      <c r="E42" s="68">
        <v>510000</v>
      </c>
      <c r="F42" s="68"/>
      <c r="G42" s="68"/>
      <c r="H42" s="68">
        <v>426593</v>
      </c>
      <c r="I42" s="68">
        <v>463493</v>
      </c>
      <c r="J42" s="68"/>
      <c r="K42" s="16"/>
      <c r="L42" s="603">
        <f t="shared" si="40"/>
        <v>0.76177321428571432</v>
      </c>
      <c r="M42" s="603">
        <f t="shared" si="41"/>
        <v>0.8276660714285714</v>
      </c>
      <c r="N42" s="603">
        <f t="shared" si="42"/>
        <v>0</v>
      </c>
      <c r="O42" s="16"/>
      <c r="P42" s="81">
        <f t="shared" si="13"/>
        <v>0</v>
      </c>
      <c r="Q42" s="81">
        <f t="shared" si="14"/>
        <v>-50000</v>
      </c>
      <c r="R42" s="81">
        <f t="shared" si="15"/>
        <v>0</v>
      </c>
      <c r="S42" s="81">
        <f t="shared" si="34"/>
        <v>-50000</v>
      </c>
      <c r="T42" s="281">
        <f t="shared" si="17"/>
        <v>-8.9285714285714288E-2</v>
      </c>
      <c r="U42" s="120"/>
      <c r="V42" s="195">
        <f t="shared" si="23"/>
        <v>0</v>
      </c>
    </row>
    <row r="43" spans="1:22" x14ac:dyDescent="0.25">
      <c r="A43" s="20"/>
      <c r="B43" s="20" t="s">
        <v>41</v>
      </c>
      <c r="C43" s="96"/>
      <c r="D43" s="68"/>
      <c r="E43" s="68"/>
      <c r="F43" s="68"/>
      <c r="G43" s="68"/>
      <c r="H43" s="68"/>
      <c r="I43" s="68"/>
      <c r="J43" s="68"/>
      <c r="K43" s="16"/>
      <c r="L43" s="603"/>
      <c r="M43" s="603"/>
      <c r="N43" s="603"/>
      <c r="O43" s="16"/>
      <c r="P43" s="81">
        <f t="shared" si="13"/>
        <v>0</v>
      </c>
      <c r="Q43" s="81">
        <f t="shared" si="14"/>
        <v>0</v>
      </c>
      <c r="R43" s="81">
        <f t="shared" si="15"/>
        <v>0</v>
      </c>
      <c r="S43" s="81">
        <f t="shared" si="34"/>
        <v>0</v>
      </c>
      <c r="T43" s="281">
        <f t="shared" si="17"/>
        <v>0</v>
      </c>
      <c r="U43" s="120"/>
      <c r="V43" s="195">
        <f t="shared" si="23"/>
        <v>0</v>
      </c>
    </row>
    <row r="44" spans="1:22" x14ac:dyDescent="0.25">
      <c r="A44" s="20"/>
      <c r="B44" s="20" t="s">
        <v>42</v>
      </c>
      <c r="C44" s="96"/>
      <c r="D44" s="68"/>
      <c r="E44" s="68"/>
      <c r="F44" s="68"/>
      <c r="G44" s="68"/>
      <c r="H44" s="68"/>
      <c r="I44" s="68"/>
      <c r="J44" s="68"/>
      <c r="K44" s="16"/>
      <c r="L44" s="603"/>
      <c r="M44" s="603"/>
      <c r="N44" s="603"/>
      <c r="O44" s="16"/>
      <c r="P44" s="81">
        <f t="shared" si="13"/>
        <v>0</v>
      </c>
      <c r="Q44" s="81">
        <f t="shared" si="14"/>
        <v>0</v>
      </c>
      <c r="R44" s="81">
        <f t="shared" si="15"/>
        <v>0</v>
      </c>
      <c r="S44" s="81">
        <f t="shared" si="34"/>
        <v>0</v>
      </c>
      <c r="T44" s="281">
        <f t="shared" si="17"/>
        <v>0</v>
      </c>
      <c r="U44" s="120"/>
      <c r="V44" s="195">
        <f t="shared" si="23"/>
        <v>0</v>
      </c>
    </row>
    <row r="45" spans="1:22" x14ac:dyDescent="0.25">
      <c r="A45" s="20"/>
      <c r="B45" s="20" t="s">
        <v>43</v>
      </c>
      <c r="C45" s="96"/>
      <c r="D45" s="68"/>
      <c r="E45" s="68"/>
      <c r="F45" s="68"/>
      <c r="G45" s="68"/>
      <c r="H45" s="68"/>
      <c r="I45" s="68"/>
      <c r="J45" s="68"/>
      <c r="K45" s="16"/>
      <c r="L45" s="603">
        <f t="shared" ref="L45:L46" si="43">IF(H45&gt;0,H45/C45,0)</f>
        <v>0</v>
      </c>
      <c r="M45" s="603">
        <f t="shared" ref="M45:M46" si="44">IF(I45&gt;0,I45/D45,0)</f>
        <v>0</v>
      </c>
      <c r="N45" s="603">
        <f t="shared" ref="N45:N46" si="45">IF(J45&gt;0,J45/E45,0)</f>
        <v>0</v>
      </c>
      <c r="O45" s="16"/>
      <c r="P45" s="81">
        <f t="shared" si="13"/>
        <v>0</v>
      </c>
      <c r="Q45" s="81">
        <f t="shared" si="14"/>
        <v>0</v>
      </c>
      <c r="R45" s="81">
        <f t="shared" si="15"/>
        <v>0</v>
      </c>
      <c r="S45" s="81">
        <f t="shared" si="34"/>
        <v>0</v>
      </c>
      <c r="T45" s="281">
        <f t="shared" si="17"/>
        <v>0</v>
      </c>
      <c r="U45" s="120"/>
      <c r="V45" s="195">
        <f t="shared" si="23"/>
        <v>0</v>
      </c>
    </row>
    <row r="46" spans="1:22" x14ac:dyDescent="0.25">
      <c r="A46" s="20" t="s">
        <v>44</v>
      </c>
      <c r="B46" s="20" t="s">
        <v>45</v>
      </c>
      <c r="C46" s="96">
        <v>400000</v>
      </c>
      <c r="D46" s="68">
        <v>400000</v>
      </c>
      <c r="E46" s="68">
        <v>290000</v>
      </c>
      <c r="F46" s="68"/>
      <c r="G46" s="68"/>
      <c r="H46" s="68">
        <v>147325</v>
      </c>
      <c r="I46" s="68">
        <v>218324</v>
      </c>
      <c r="J46" s="68"/>
      <c r="K46" s="16"/>
      <c r="L46" s="603">
        <f t="shared" si="43"/>
        <v>0.36831249999999999</v>
      </c>
      <c r="M46" s="603">
        <f t="shared" si="44"/>
        <v>0.54581000000000002</v>
      </c>
      <c r="N46" s="603">
        <f t="shared" si="45"/>
        <v>0</v>
      </c>
      <c r="O46" s="16"/>
      <c r="P46" s="81">
        <f t="shared" si="13"/>
        <v>0</v>
      </c>
      <c r="Q46" s="81">
        <f t="shared" si="14"/>
        <v>-110000</v>
      </c>
      <c r="R46" s="81">
        <f t="shared" si="15"/>
        <v>0</v>
      </c>
      <c r="S46" s="81">
        <f t="shared" si="34"/>
        <v>-110000</v>
      </c>
      <c r="T46" s="281">
        <f t="shared" si="17"/>
        <v>-0.27500000000000002</v>
      </c>
      <c r="U46" s="120"/>
      <c r="V46" s="195">
        <f t="shared" si="23"/>
        <v>0</v>
      </c>
    </row>
    <row r="47" spans="1:22" x14ac:dyDescent="0.25">
      <c r="A47" s="20"/>
      <c r="B47" s="20" t="s">
        <v>46</v>
      </c>
      <c r="C47" s="96"/>
      <c r="D47" s="68"/>
      <c r="E47" s="68"/>
      <c r="F47" s="68"/>
      <c r="G47" s="68"/>
      <c r="H47" s="68"/>
      <c r="I47" s="68"/>
      <c r="J47" s="68"/>
      <c r="K47" s="16"/>
      <c r="L47" s="603"/>
      <c r="M47" s="603"/>
      <c r="N47" s="603"/>
      <c r="O47" s="16"/>
      <c r="P47" s="81">
        <f t="shared" si="13"/>
        <v>0</v>
      </c>
      <c r="Q47" s="81">
        <f t="shared" si="14"/>
        <v>0</v>
      </c>
      <c r="R47" s="81">
        <f t="shared" si="15"/>
        <v>0</v>
      </c>
      <c r="S47" s="81">
        <f t="shared" si="34"/>
        <v>0</v>
      </c>
      <c r="T47" s="281">
        <f t="shared" si="17"/>
        <v>0</v>
      </c>
      <c r="U47" s="120"/>
      <c r="V47" s="195">
        <f t="shared" si="23"/>
        <v>0</v>
      </c>
    </row>
    <row r="48" spans="1:22" x14ac:dyDescent="0.25">
      <c r="A48" s="39" t="s">
        <v>47</v>
      </c>
      <c r="B48" s="39" t="s">
        <v>48</v>
      </c>
      <c r="C48" s="374">
        <f>SUM(C49:C65)</f>
        <v>5400000</v>
      </c>
      <c r="D48" s="374">
        <f t="shared" ref="D48:J48" si="46">SUM(D49:D65)</f>
        <v>5581960</v>
      </c>
      <c r="E48" s="374">
        <f t="shared" si="46"/>
        <v>5631960</v>
      </c>
      <c r="F48" s="374">
        <f t="shared" si="46"/>
        <v>0</v>
      </c>
      <c r="G48" s="374"/>
      <c r="H48" s="374">
        <f t="shared" si="46"/>
        <v>3377592</v>
      </c>
      <c r="I48" s="374">
        <f t="shared" si="46"/>
        <v>4753515</v>
      </c>
      <c r="J48" s="374">
        <f t="shared" si="46"/>
        <v>0</v>
      </c>
      <c r="K48" s="16"/>
      <c r="L48" s="603">
        <f t="shared" ref="L48:L49" si="47">IF(H48&gt;0,H48/C48,0)</f>
        <v>0.62548000000000004</v>
      </c>
      <c r="M48" s="603">
        <f t="shared" ref="M48" si="48">IF(I48&gt;0,I48/D48,0)</f>
        <v>0.85158528545528811</v>
      </c>
      <c r="N48" s="603">
        <f t="shared" ref="N48:N49" si="49">IF(J48&gt;0,J48/E48,0)</f>
        <v>0</v>
      </c>
      <c r="O48" s="16"/>
      <c r="P48" s="81">
        <f t="shared" si="13"/>
        <v>181960</v>
      </c>
      <c r="Q48" s="81">
        <f t="shared" si="14"/>
        <v>50000</v>
      </c>
      <c r="R48" s="81">
        <f t="shared" si="15"/>
        <v>0</v>
      </c>
      <c r="S48" s="81">
        <f t="shared" si="34"/>
        <v>231960</v>
      </c>
      <c r="T48" s="281">
        <f t="shared" si="17"/>
        <v>4.2955555555555552E-2</v>
      </c>
      <c r="U48" s="120"/>
      <c r="V48" s="195">
        <f t="shared" si="23"/>
        <v>0</v>
      </c>
    </row>
    <row r="49" spans="1:22" x14ac:dyDescent="0.25">
      <c r="A49" s="20" t="s">
        <v>49</v>
      </c>
      <c r="B49" s="20" t="s">
        <v>50</v>
      </c>
      <c r="C49" s="96">
        <v>2400000</v>
      </c>
      <c r="D49" s="68">
        <v>2400000</v>
      </c>
      <c r="E49" s="68">
        <v>2400000</v>
      </c>
      <c r="F49" s="68"/>
      <c r="G49" s="68"/>
      <c r="H49" s="68">
        <v>1358912</v>
      </c>
      <c r="I49" s="68">
        <v>1931323</v>
      </c>
      <c r="J49" s="68"/>
      <c r="K49" s="16"/>
      <c r="L49" s="603">
        <f t="shared" si="47"/>
        <v>0.56621333333333335</v>
      </c>
      <c r="M49" s="603">
        <f>IF(I49&gt;0,I49/D49,0)</f>
        <v>0.8047179166666667</v>
      </c>
      <c r="N49" s="603">
        <f t="shared" si="49"/>
        <v>0</v>
      </c>
      <c r="O49" s="16"/>
      <c r="P49" s="81">
        <f t="shared" si="13"/>
        <v>0</v>
      </c>
      <c r="Q49" s="81">
        <f t="shared" si="14"/>
        <v>0</v>
      </c>
      <c r="R49" s="81">
        <f t="shared" si="15"/>
        <v>0</v>
      </c>
      <c r="S49" s="81">
        <f t="shared" si="34"/>
        <v>0</v>
      </c>
      <c r="T49" s="281">
        <f t="shared" si="17"/>
        <v>0</v>
      </c>
      <c r="U49" s="120"/>
      <c r="V49" s="195">
        <f t="shared" si="23"/>
        <v>0</v>
      </c>
    </row>
    <row r="50" spans="1:22" x14ac:dyDescent="0.25">
      <c r="A50" s="20" t="s">
        <v>103</v>
      </c>
      <c r="B50" s="20" t="s">
        <v>97</v>
      </c>
      <c r="C50" s="96"/>
      <c r="D50" s="68"/>
      <c r="E50" s="68"/>
      <c r="F50" s="68"/>
      <c r="G50" s="68"/>
      <c r="H50" s="68"/>
      <c r="I50" s="68"/>
      <c r="J50" s="68"/>
      <c r="K50" s="16"/>
      <c r="L50" s="603"/>
      <c r="M50" s="603"/>
      <c r="N50" s="603"/>
      <c r="O50" s="16"/>
      <c r="P50" s="81">
        <f t="shared" si="13"/>
        <v>0</v>
      </c>
      <c r="Q50" s="81">
        <f t="shared" si="14"/>
        <v>0</v>
      </c>
      <c r="R50" s="81">
        <f t="shared" si="15"/>
        <v>0</v>
      </c>
      <c r="S50" s="81">
        <f t="shared" si="34"/>
        <v>0</v>
      </c>
      <c r="T50" s="281">
        <f t="shared" si="17"/>
        <v>0</v>
      </c>
      <c r="U50" s="120"/>
      <c r="V50" s="195">
        <f t="shared" si="23"/>
        <v>0</v>
      </c>
    </row>
    <row r="51" spans="1:22" x14ac:dyDescent="0.25">
      <c r="A51" s="20"/>
      <c r="B51" s="20" t="s">
        <v>98</v>
      </c>
      <c r="C51" s="96"/>
      <c r="D51" s="68"/>
      <c r="E51" s="68"/>
      <c r="F51" s="68"/>
      <c r="G51" s="68"/>
      <c r="H51" s="68"/>
      <c r="I51" s="68"/>
      <c r="J51" s="68"/>
      <c r="K51" s="16"/>
      <c r="L51" s="603"/>
      <c r="M51" s="603"/>
      <c r="N51" s="603"/>
      <c r="O51" s="16"/>
      <c r="P51" s="81">
        <f t="shared" si="13"/>
        <v>0</v>
      </c>
      <c r="Q51" s="81">
        <f t="shared" si="14"/>
        <v>0</v>
      </c>
      <c r="R51" s="81">
        <f t="shared" si="15"/>
        <v>0</v>
      </c>
      <c r="S51" s="81">
        <f t="shared" si="34"/>
        <v>0</v>
      </c>
      <c r="T51" s="281">
        <f t="shared" si="17"/>
        <v>0</v>
      </c>
      <c r="U51" s="120"/>
      <c r="V51" s="195">
        <f t="shared" si="23"/>
        <v>0</v>
      </c>
    </row>
    <row r="52" spans="1:22" x14ac:dyDescent="0.25">
      <c r="A52" s="20"/>
      <c r="B52" s="20" t="s">
        <v>99</v>
      </c>
      <c r="C52" s="96"/>
      <c r="D52" s="68"/>
      <c r="E52" s="68"/>
      <c r="F52" s="68"/>
      <c r="G52" s="68"/>
      <c r="H52" s="68"/>
      <c r="I52" s="68"/>
      <c r="J52" s="68"/>
      <c r="K52" s="16"/>
      <c r="L52" s="603"/>
      <c r="M52" s="603"/>
      <c r="N52" s="603"/>
      <c r="O52" s="16"/>
      <c r="P52" s="81">
        <f t="shared" si="13"/>
        <v>0</v>
      </c>
      <c r="Q52" s="81">
        <f t="shared" si="14"/>
        <v>0</v>
      </c>
      <c r="R52" s="81">
        <f t="shared" si="15"/>
        <v>0</v>
      </c>
      <c r="S52" s="81">
        <f t="shared" si="34"/>
        <v>0</v>
      </c>
      <c r="T52" s="281">
        <f t="shared" si="17"/>
        <v>0</v>
      </c>
      <c r="U52" s="120"/>
      <c r="V52" s="195">
        <f t="shared" si="23"/>
        <v>0</v>
      </c>
    </row>
    <row r="53" spans="1:22" x14ac:dyDescent="0.25">
      <c r="A53" s="20" t="s">
        <v>51</v>
      </c>
      <c r="B53" s="20" t="s">
        <v>52</v>
      </c>
      <c r="C53" s="96">
        <v>0</v>
      </c>
      <c r="D53" s="68">
        <v>0</v>
      </c>
      <c r="E53" s="68">
        <v>0</v>
      </c>
      <c r="F53" s="68"/>
      <c r="G53" s="68"/>
      <c r="H53" s="68">
        <v>0</v>
      </c>
      <c r="I53" s="68">
        <v>0</v>
      </c>
      <c r="J53" s="68"/>
      <c r="K53" s="16"/>
      <c r="L53" s="603">
        <f t="shared" ref="L53" si="50">IF(H53&gt;0,H53/C53,0)</f>
        <v>0</v>
      </c>
      <c r="M53" s="603">
        <f t="shared" ref="M53" si="51">IF(I53&gt;0,I53/D53,0)</f>
        <v>0</v>
      </c>
      <c r="N53" s="603">
        <f t="shared" ref="N53" si="52">IF(J53&gt;0,J53/E53,0)</f>
        <v>0</v>
      </c>
      <c r="O53" s="16"/>
      <c r="P53" s="81">
        <f t="shared" si="13"/>
        <v>0</v>
      </c>
      <c r="Q53" s="81">
        <f t="shared" si="14"/>
        <v>0</v>
      </c>
      <c r="R53" s="81">
        <f t="shared" si="15"/>
        <v>0</v>
      </c>
      <c r="S53" s="81">
        <f t="shared" si="34"/>
        <v>0</v>
      </c>
      <c r="T53" s="281">
        <f t="shared" si="17"/>
        <v>0</v>
      </c>
      <c r="U53" s="120"/>
      <c r="V53" s="195">
        <f t="shared" si="23"/>
        <v>0</v>
      </c>
    </row>
    <row r="54" spans="1:22" x14ac:dyDescent="0.25">
      <c r="A54" s="20"/>
      <c r="B54" s="20" t="s">
        <v>90</v>
      </c>
      <c r="C54" s="96"/>
      <c r="D54" s="68"/>
      <c r="E54" s="68"/>
      <c r="F54" s="68"/>
      <c r="G54" s="68"/>
      <c r="H54" s="68"/>
      <c r="I54" s="68"/>
      <c r="J54" s="68"/>
      <c r="K54" s="16"/>
      <c r="L54" s="603"/>
      <c r="M54" s="603"/>
      <c r="N54" s="603"/>
      <c r="O54" s="16"/>
      <c r="P54" s="81">
        <f t="shared" si="13"/>
        <v>0</v>
      </c>
      <c r="Q54" s="81">
        <f t="shared" si="14"/>
        <v>0</v>
      </c>
      <c r="R54" s="81">
        <f t="shared" si="15"/>
        <v>0</v>
      </c>
      <c r="S54" s="81">
        <f t="shared" si="34"/>
        <v>0</v>
      </c>
      <c r="T54" s="281">
        <f t="shared" si="17"/>
        <v>0</v>
      </c>
      <c r="U54" s="120"/>
      <c r="V54" s="195">
        <f t="shared" si="23"/>
        <v>0</v>
      </c>
    </row>
    <row r="55" spans="1:22" x14ac:dyDescent="0.25">
      <c r="A55" s="20"/>
      <c r="B55" s="20" t="s">
        <v>53</v>
      </c>
      <c r="C55" s="96"/>
      <c r="D55" s="68"/>
      <c r="E55" s="68"/>
      <c r="F55" s="68"/>
      <c r="G55" s="68"/>
      <c r="H55" s="68"/>
      <c r="I55" s="68"/>
      <c r="J55" s="68"/>
      <c r="K55" s="16"/>
      <c r="L55" s="603"/>
      <c r="M55" s="603"/>
      <c r="N55" s="603"/>
      <c r="O55" s="16"/>
      <c r="P55" s="81">
        <f t="shared" si="13"/>
        <v>0</v>
      </c>
      <c r="Q55" s="81">
        <f t="shared" si="14"/>
        <v>0</v>
      </c>
      <c r="R55" s="81">
        <f t="shared" si="15"/>
        <v>0</v>
      </c>
      <c r="S55" s="81">
        <f t="shared" si="34"/>
        <v>0</v>
      </c>
      <c r="T55" s="281">
        <f t="shared" si="17"/>
        <v>0</v>
      </c>
      <c r="U55" s="120"/>
      <c r="V55" s="195">
        <f t="shared" si="23"/>
        <v>0</v>
      </c>
    </row>
    <row r="56" spans="1:22" x14ac:dyDescent="0.25">
      <c r="A56" s="20" t="s">
        <v>54</v>
      </c>
      <c r="B56" s="20" t="s">
        <v>55</v>
      </c>
      <c r="C56" s="96">
        <v>0</v>
      </c>
      <c r="D56" s="68">
        <v>0</v>
      </c>
      <c r="E56" s="68">
        <v>0</v>
      </c>
      <c r="F56" s="68"/>
      <c r="G56" s="68"/>
      <c r="H56" s="68">
        <v>0</v>
      </c>
      <c r="I56" s="68">
        <v>0</v>
      </c>
      <c r="J56" s="68"/>
      <c r="K56" s="16"/>
      <c r="L56" s="603">
        <f t="shared" ref="L56" si="53">IF(H56&gt;0,H56/C56,0)</f>
        <v>0</v>
      </c>
      <c r="M56" s="603">
        <f t="shared" ref="M56" si="54">IF(I56&gt;0,I56/D56,0)</f>
        <v>0</v>
      </c>
      <c r="N56" s="603">
        <f t="shared" ref="N56" si="55">IF(J56&gt;0,J56/E56,0)</f>
        <v>0</v>
      </c>
      <c r="O56" s="16"/>
      <c r="P56" s="81">
        <f t="shared" si="13"/>
        <v>0</v>
      </c>
      <c r="Q56" s="81">
        <f t="shared" si="14"/>
        <v>0</v>
      </c>
      <c r="R56" s="81">
        <f t="shared" si="15"/>
        <v>0</v>
      </c>
      <c r="S56" s="81">
        <f t="shared" si="34"/>
        <v>0</v>
      </c>
      <c r="T56" s="281">
        <f t="shared" si="17"/>
        <v>0</v>
      </c>
      <c r="U56" s="120"/>
      <c r="V56" s="195">
        <f t="shared" si="23"/>
        <v>0</v>
      </c>
    </row>
    <row r="57" spans="1:22" x14ac:dyDescent="0.25">
      <c r="A57" s="20"/>
      <c r="B57" s="20" t="s">
        <v>56</v>
      </c>
      <c r="C57" s="96"/>
      <c r="D57" s="68"/>
      <c r="E57" s="68"/>
      <c r="F57" s="68"/>
      <c r="G57" s="68"/>
      <c r="H57" s="68"/>
      <c r="I57" s="68"/>
      <c r="J57" s="68"/>
      <c r="K57" s="16"/>
      <c r="L57" s="603"/>
      <c r="M57" s="603"/>
      <c r="N57" s="603"/>
      <c r="O57" s="16"/>
      <c r="P57" s="81">
        <f t="shared" si="13"/>
        <v>0</v>
      </c>
      <c r="Q57" s="81">
        <f t="shared" si="14"/>
        <v>0</v>
      </c>
      <c r="R57" s="81">
        <f t="shared" si="15"/>
        <v>0</v>
      </c>
      <c r="S57" s="81">
        <f t="shared" si="34"/>
        <v>0</v>
      </c>
      <c r="T57" s="281">
        <f t="shared" si="17"/>
        <v>0</v>
      </c>
      <c r="U57" s="120"/>
      <c r="V57" s="195">
        <f t="shared" si="23"/>
        <v>0</v>
      </c>
    </row>
    <row r="58" spans="1:22" x14ac:dyDescent="0.25">
      <c r="A58" s="20" t="s">
        <v>57</v>
      </c>
      <c r="B58" s="20" t="s">
        <v>91</v>
      </c>
      <c r="C58" s="96">
        <v>100000</v>
      </c>
      <c r="D58" s="68">
        <v>100000</v>
      </c>
      <c r="E58" s="68">
        <v>16000</v>
      </c>
      <c r="F58" s="68"/>
      <c r="G58" s="68"/>
      <c r="H58" s="68">
        <v>0</v>
      </c>
      <c r="I58" s="68">
        <v>16000</v>
      </c>
      <c r="J58" s="68"/>
      <c r="K58" s="16"/>
      <c r="L58" s="603">
        <f t="shared" ref="L58" si="56">IF(H58&gt;0,H58/C58,0)</f>
        <v>0</v>
      </c>
      <c r="M58" s="603">
        <f t="shared" ref="M58" si="57">IF(I58&gt;0,I58/D58,0)</f>
        <v>0.16</v>
      </c>
      <c r="N58" s="603">
        <f t="shared" ref="N58" si="58">IF(J58&gt;0,J58/E58,0)</f>
        <v>0</v>
      </c>
      <c r="O58" s="16"/>
      <c r="P58" s="81">
        <f t="shared" si="13"/>
        <v>0</v>
      </c>
      <c r="Q58" s="81">
        <f t="shared" si="14"/>
        <v>-84000</v>
      </c>
      <c r="R58" s="81">
        <f t="shared" si="15"/>
        <v>0</v>
      </c>
      <c r="S58" s="81">
        <f t="shared" si="34"/>
        <v>-84000</v>
      </c>
      <c r="T58" s="281">
        <f t="shared" si="17"/>
        <v>-0.84</v>
      </c>
      <c r="U58" s="120"/>
      <c r="V58" s="195">
        <f t="shared" si="23"/>
        <v>0</v>
      </c>
    </row>
    <row r="59" spans="1:22" x14ac:dyDescent="0.25">
      <c r="A59" s="20"/>
      <c r="B59" s="20" t="s">
        <v>58</v>
      </c>
      <c r="C59" s="96"/>
      <c r="D59" s="68"/>
      <c r="E59" s="68"/>
      <c r="F59" s="68"/>
      <c r="G59" s="68"/>
      <c r="H59" s="68"/>
      <c r="I59" s="68"/>
      <c r="J59" s="68"/>
      <c r="K59" s="16"/>
      <c r="L59" s="603"/>
      <c r="M59" s="603"/>
      <c r="N59" s="603"/>
      <c r="O59" s="16"/>
      <c r="P59" s="81">
        <f t="shared" si="13"/>
        <v>0</v>
      </c>
      <c r="Q59" s="81">
        <f t="shared" si="14"/>
        <v>0</v>
      </c>
      <c r="R59" s="81">
        <f t="shared" si="15"/>
        <v>0</v>
      </c>
      <c r="S59" s="81">
        <f t="shared" si="34"/>
        <v>0</v>
      </c>
      <c r="T59" s="281">
        <f t="shared" si="17"/>
        <v>0</v>
      </c>
      <c r="U59" s="120"/>
      <c r="V59" s="195">
        <f t="shared" si="23"/>
        <v>0</v>
      </c>
    </row>
    <row r="60" spans="1:22" x14ac:dyDescent="0.25">
      <c r="A60" s="20" t="s">
        <v>59</v>
      </c>
      <c r="B60" s="20" t="s">
        <v>60</v>
      </c>
      <c r="C60" s="96">
        <v>0</v>
      </c>
      <c r="D60" s="68">
        <v>0</v>
      </c>
      <c r="E60" s="68">
        <v>0</v>
      </c>
      <c r="F60" s="68"/>
      <c r="G60" s="68"/>
      <c r="H60" s="68">
        <v>0</v>
      </c>
      <c r="I60" s="68">
        <v>0</v>
      </c>
      <c r="J60" s="68"/>
      <c r="K60" s="16"/>
      <c r="L60" s="603">
        <f t="shared" ref="L60" si="59">IF(H60&gt;0,H60/C60,0)</f>
        <v>0</v>
      </c>
      <c r="M60" s="603">
        <f t="shared" ref="M60" si="60">IF(I60&gt;0,I60/D60,0)</f>
        <v>0</v>
      </c>
      <c r="N60" s="603">
        <f t="shared" ref="N60" si="61">IF(J60&gt;0,J60/E60,0)</f>
        <v>0</v>
      </c>
      <c r="O60" s="16"/>
      <c r="P60" s="81">
        <f t="shared" si="13"/>
        <v>0</v>
      </c>
      <c r="Q60" s="81">
        <f t="shared" si="14"/>
        <v>0</v>
      </c>
      <c r="R60" s="81">
        <f t="shared" si="15"/>
        <v>0</v>
      </c>
      <c r="S60" s="81">
        <f t="shared" si="34"/>
        <v>0</v>
      </c>
      <c r="T60" s="281">
        <f t="shared" si="17"/>
        <v>0</v>
      </c>
      <c r="U60" s="120"/>
      <c r="V60" s="195">
        <f t="shared" si="23"/>
        <v>0</v>
      </c>
    </row>
    <row r="61" spans="1:22" ht="26.4" x14ac:dyDescent="0.25">
      <c r="A61" s="20"/>
      <c r="B61" s="20" t="s">
        <v>61</v>
      </c>
      <c r="C61" s="96"/>
      <c r="D61" s="68"/>
      <c r="E61" s="68"/>
      <c r="F61" s="68"/>
      <c r="G61" s="68"/>
      <c r="H61" s="68"/>
      <c r="I61" s="68"/>
      <c r="J61" s="68"/>
      <c r="K61" s="16"/>
      <c r="L61" s="603"/>
      <c r="M61" s="603"/>
      <c r="N61" s="603"/>
      <c r="O61" s="16"/>
      <c r="P61" s="81">
        <f t="shared" si="13"/>
        <v>0</v>
      </c>
      <c r="Q61" s="81">
        <f t="shared" si="14"/>
        <v>0</v>
      </c>
      <c r="R61" s="81">
        <f t="shared" si="15"/>
        <v>0</v>
      </c>
      <c r="S61" s="81">
        <f t="shared" si="34"/>
        <v>0</v>
      </c>
      <c r="T61" s="281">
        <f t="shared" si="17"/>
        <v>0</v>
      </c>
      <c r="U61" s="120"/>
      <c r="V61" s="195">
        <f t="shared" si="23"/>
        <v>0</v>
      </c>
    </row>
    <row r="62" spans="1:22" x14ac:dyDescent="0.25">
      <c r="A62" s="20" t="s">
        <v>62</v>
      </c>
      <c r="B62" s="20" t="s">
        <v>63</v>
      </c>
      <c r="C62" s="96">
        <v>1300000</v>
      </c>
      <c r="D62" s="68">
        <v>1350000</v>
      </c>
      <c r="E62" s="68">
        <v>1350000</v>
      </c>
      <c r="F62" s="68"/>
      <c r="G62" s="68"/>
      <c r="H62" s="68">
        <v>965660</v>
      </c>
      <c r="I62" s="68">
        <v>1157660</v>
      </c>
      <c r="J62" s="68"/>
      <c r="K62" s="16"/>
      <c r="L62" s="603">
        <f t="shared" ref="L62" si="62">IF(H62&gt;0,H62/C62,0)</f>
        <v>0.74281538461538466</v>
      </c>
      <c r="M62" s="603">
        <f t="shared" ref="M62" si="63">IF(I62&gt;0,I62/D62,0)</f>
        <v>0.85752592592592591</v>
      </c>
      <c r="N62" s="603">
        <f t="shared" ref="N62" si="64">IF(J62&gt;0,J62/E62,0)</f>
        <v>0</v>
      </c>
      <c r="O62" s="16"/>
      <c r="P62" s="81">
        <f t="shared" si="13"/>
        <v>50000</v>
      </c>
      <c r="Q62" s="81">
        <f t="shared" si="14"/>
        <v>0</v>
      </c>
      <c r="R62" s="81">
        <f t="shared" si="15"/>
        <v>0</v>
      </c>
      <c r="S62" s="81">
        <f t="shared" si="34"/>
        <v>50000</v>
      </c>
      <c r="T62" s="281">
        <f t="shared" si="17"/>
        <v>3.8461538461538464E-2</v>
      </c>
      <c r="U62" s="120"/>
      <c r="V62" s="195">
        <f t="shared" si="23"/>
        <v>0</v>
      </c>
    </row>
    <row r="63" spans="1:22" ht="27" customHeight="1" x14ac:dyDescent="0.25">
      <c r="A63" s="20"/>
      <c r="B63" s="20" t="s">
        <v>102</v>
      </c>
      <c r="C63" s="96"/>
      <c r="D63" s="68"/>
      <c r="E63" s="68"/>
      <c r="F63" s="68"/>
      <c r="G63" s="68"/>
      <c r="H63" s="68"/>
      <c r="I63" s="68"/>
      <c r="J63" s="68"/>
      <c r="K63" s="16"/>
      <c r="L63" s="603"/>
      <c r="M63" s="603"/>
      <c r="N63" s="603"/>
      <c r="O63" s="16"/>
      <c r="P63" s="81">
        <f t="shared" si="13"/>
        <v>0</v>
      </c>
      <c r="Q63" s="81">
        <f t="shared" si="14"/>
        <v>0</v>
      </c>
      <c r="R63" s="81">
        <f t="shared" si="15"/>
        <v>0</v>
      </c>
      <c r="S63" s="81">
        <f t="shared" si="34"/>
        <v>0</v>
      </c>
      <c r="T63" s="281">
        <f t="shared" si="17"/>
        <v>0</v>
      </c>
      <c r="U63" s="120"/>
      <c r="V63" s="195">
        <f t="shared" si="23"/>
        <v>0</v>
      </c>
    </row>
    <row r="64" spans="1:22" x14ac:dyDescent="0.25">
      <c r="A64" s="20" t="s">
        <v>64</v>
      </c>
      <c r="B64" s="20" t="s">
        <v>65</v>
      </c>
      <c r="C64" s="96">
        <v>1600000</v>
      </c>
      <c r="D64" s="68">
        <v>1731960</v>
      </c>
      <c r="E64" s="68">
        <v>1865960</v>
      </c>
      <c r="F64" s="68"/>
      <c r="G64" s="68"/>
      <c r="H64" s="68">
        <v>1053020</v>
      </c>
      <c r="I64" s="68">
        <v>1648532</v>
      </c>
      <c r="J64" s="68"/>
      <c r="K64" s="16"/>
      <c r="L64" s="603">
        <f t="shared" ref="L64" si="65">IF(H64&gt;0,H64/C64,0)</f>
        <v>0.65813750000000004</v>
      </c>
      <c r="M64" s="603">
        <f t="shared" ref="M64" si="66">IF(I64&gt;0,I64/D64,0)</f>
        <v>0.95183029631169314</v>
      </c>
      <c r="N64" s="603">
        <f t="shared" ref="N64" si="67">IF(J64&gt;0,J64/E64,0)</f>
        <v>0</v>
      </c>
      <c r="O64" s="16"/>
      <c r="P64" s="81">
        <f t="shared" si="13"/>
        <v>131960</v>
      </c>
      <c r="Q64" s="81">
        <f t="shared" si="14"/>
        <v>134000</v>
      </c>
      <c r="R64" s="81">
        <f t="shared" si="15"/>
        <v>0</v>
      </c>
      <c r="S64" s="81">
        <f t="shared" si="34"/>
        <v>265960</v>
      </c>
      <c r="T64" s="281">
        <f t="shared" si="17"/>
        <v>0.16622500000000001</v>
      </c>
      <c r="U64" s="120"/>
      <c r="V64" s="195">
        <f t="shared" si="23"/>
        <v>0</v>
      </c>
    </row>
    <row r="65" spans="1:22" ht="39.6" x14ac:dyDescent="0.25">
      <c r="A65" s="20"/>
      <c r="B65" s="20" t="s">
        <v>66</v>
      </c>
      <c r="C65" s="96"/>
      <c r="D65" s="68"/>
      <c r="E65" s="68"/>
      <c r="F65" s="68"/>
      <c r="G65" s="68"/>
      <c r="H65" s="68"/>
      <c r="I65" s="68"/>
      <c r="J65" s="68"/>
      <c r="K65" s="16"/>
      <c r="L65" s="603"/>
      <c r="M65" s="603"/>
      <c r="N65" s="603"/>
      <c r="O65" s="16"/>
      <c r="P65" s="81">
        <f t="shared" si="13"/>
        <v>0</v>
      </c>
      <c r="Q65" s="81">
        <f t="shared" si="14"/>
        <v>0</v>
      </c>
      <c r="R65" s="81">
        <f t="shared" si="15"/>
        <v>0</v>
      </c>
      <c r="S65" s="81">
        <f t="shared" si="34"/>
        <v>0</v>
      </c>
      <c r="T65" s="281">
        <f t="shared" si="17"/>
        <v>0</v>
      </c>
      <c r="U65" s="120"/>
      <c r="V65" s="195">
        <f t="shared" si="23"/>
        <v>0</v>
      </c>
    </row>
    <row r="66" spans="1:22" x14ac:dyDescent="0.25">
      <c r="A66" s="39" t="s">
        <v>67</v>
      </c>
      <c r="B66" s="39" t="s">
        <v>68</v>
      </c>
      <c r="C66" s="374">
        <f>SUM(C67:C70)</f>
        <v>400000</v>
      </c>
      <c r="D66" s="374">
        <f t="shared" ref="D66:J66" si="68">SUM(D67:D70)</f>
        <v>400000</v>
      </c>
      <c r="E66" s="374">
        <f t="shared" si="68"/>
        <v>250000</v>
      </c>
      <c r="F66" s="374">
        <f t="shared" si="68"/>
        <v>0</v>
      </c>
      <c r="G66" s="374"/>
      <c r="H66" s="374">
        <f t="shared" si="68"/>
        <v>91105</v>
      </c>
      <c r="I66" s="374">
        <f t="shared" si="68"/>
        <v>124145</v>
      </c>
      <c r="J66" s="374">
        <f t="shared" si="68"/>
        <v>0</v>
      </c>
      <c r="K66" s="16"/>
      <c r="L66" s="603">
        <f t="shared" ref="L66:L67" si="69">IF(H66&gt;0,H66/C66,0)</f>
        <v>0.22776250000000001</v>
      </c>
      <c r="M66" s="603">
        <f t="shared" ref="M66:M67" si="70">IF(I66&gt;0,I66/D66,0)</f>
        <v>0.31036249999999999</v>
      </c>
      <c r="N66" s="603">
        <f t="shared" ref="N66:N67" si="71">IF(J66&gt;0,J66/E66,0)</f>
        <v>0</v>
      </c>
      <c r="O66" s="16"/>
      <c r="P66" s="81">
        <f t="shared" si="13"/>
        <v>0</v>
      </c>
      <c r="Q66" s="81">
        <f t="shared" si="14"/>
        <v>-150000</v>
      </c>
      <c r="R66" s="81">
        <f t="shared" si="15"/>
        <v>0</v>
      </c>
      <c r="S66" s="81">
        <f t="shared" si="34"/>
        <v>-150000</v>
      </c>
      <c r="T66" s="281">
        <f t="shared" si="17"/>
        <v>-0.375</v>
      </c>
      <c r="U66" s="120"/>
      <c r="V66" s="195">
        <f t="shared" si="23"/>
        <v>0</v>
      </c>
    </row>
    <row r="67" spans="1:22" x14ac:dyDescent="0.25">
      <c r="A67" s="20" t="s">
        <v>69</v>
      </c>
      <c r="B67" s="20" t="s">
        <v>70</v>
      </c>
      <c r="C67" s="96">
        <v>400000</v>
      </c>
      <c r="D67" s="68">
        <v>400000</v>
      </c>
      <c r="E67" s="68">
        <v>250000</v>
      </c>
      <c r="F67" s="68"/>
      <c r="G67" s="68"/>
      <c r="H67" s="68">
        <v>91105</v>
      </c>
      <c r="I67" s="68">
        <v>124145</v>
      </c>
      <c r="J67" s="68"/>
      <c r="K67" s="16"/>
      <c r="L67" s="603">
        <f t="shared" si="69"/>
        <v>0.22776250000000001</v>
      </c>
      <c r="M67" s="603">
        <f t="shared" si="70"/>
        <v>0.31036249999999999</v>
      </c>
      <c r="N67" s="603">
        <f t="shared" si="71"/>
        <v>0</v>
      </c>
      <c r="O67" s="16"/>
      <c r="P67" s="81">
        <f t="shared" si="13"/>
        <v>0</v>
      </c>
      <c r="Q67" s="81">
        <f t="shared" si="14"/>
        <v>-150000</v>
      </c>
      <c r="R67" s="81">
        <f t="shared" si="15"/>
        <v>0</v>
      </c>
      <c r="S67" s="81">
        <f t="shared" si="34"/>
        <v>-150000</v>
      </c>
      <c r="T67" s="281">
        <f t="shared" si="17"/>
        <v>-0.375</v>
      </c>
      <c r="U67" s="120"/>
      <c r="V67" s="195">
        <f t="shared" si="23"/>
        <v>0</v>
      </c>
    </row>
    <row r="68" spans="1:22" ht="39.6" x14ac:dyDescent="0.25">
      <c r="A68" s="20"/>
      <c r="B68" s="20" t="s">
        <v>71</v>
      </c>
      <c r="C68" s="96"/>
      <c r="D68" s="68"/>
      <c r="E68" s="68"/>
      <c r="F68" s="68"/>
      <c r="G68" s="68"/>
      <c r="H68" s="68"/>
      <c r="I68" s="68"/>
      <c r="J68" s="68"/>
      <c r="K68" s="16"/>
      <c r="L68" s="603"/>
      <c r="M68" s="603"/>
      <c r="N68" s="603"/>
      <c r="O68" s="16"/>
      <c r="P68" s="81">
        <f t="shared" si="13"/>
        <v>0</v>
      </c>
      <c r="Q68" s="81">
        <f t="shared" si="14"/>
        <v>0</v>
      </c>
      <c r="R68" s="81">
        <f t="shared" si="15"/>
        <v>0</v>
      </c>
      <c r="S68" s="81">
        <f t="shared" si="34"/>
        <v>0</v>
      </c>
      <c r="T68" s="281">
        <f t="shared" si="17"/>
        <v>0</v>
      </c>
      <c r="U68" s="120"/>
      <c r="V68" s="195">
        <f t="shared" si="23"/>
        <v>0</v>
      </c>
    </row>
    <row r="69" spans="1:22" x14ac:dyDescent="0.25">
      <c r="A69" s="20" t="s">
        <v>72</v>
      </c>
      <c r="B69" s="20" t="s">
        <v>100</v>
      </c>
      <c r="C69" s="96">
        <v>0</v>
      </c>
      <c r="D69" s="68">
        <v>0</v>
      </c>
      <c r="E69" s="68">
        <v>0</v>
      </c>
      <c r="F69" s="68"/>
      <c r="G69" s="68"/>
      <c r="H69" s="68">
        <v>0</v>
      </c>
      <c r="I69" s="68">
        <v>0</v>
      </c>
      <c r="J69" s="68"/>
      <c r="K69" s="16"/>
      <c r="L69" s="603">
        <f t="shared" ref="L69" si="72">IF(H69&gt;0,H69/C69,0)</f>
        <v>0</v>
      </c>
      <c r="M69" s="603">
        <f t="shared" ref="M69" si="73">IF(I69&gt;0,I69/D69,0)</f>
        <v>0</v>
      </c>
      <c r="N69" s="603">
        <f t="shared" ref="N69" si="74">IF(J69&gt;0,J69/E69,0)</f>
        <v>0</v>
      </c>
      <c r="O69" s="16"/>
      <c r="P69" s="81">
        <f t="shared" si="13"/>
        <v>0</v>
      </c>
      <c r="Q69" s="81">
        <f t="shared" si="14"/>
        <v>0</v>
      </c>
      <c r="R69" s="81">
        <f t="shared" si="15"/>
        <v>0</v>
      </c>
      <c r="S69" s="81">
        <f t="shared" si="34"/>
        <v>0</v>
      </c>
      <c r="T69" s="281">
        <f t="shared" si="17"/>
        <v>0</v>
      </c>
      <c r="U69" s="120"/>
      <c r="V69" s="195">
        <f t="shared" si="23"/>
        <v>0</v>
      </c>
    </row>
    <row r="70" spans="1:22" ht="26.7" customHeight="1" x14ac:dyDescent="0.25">
      <c r="A70" s="20"/>
      <c r="B70" s="20" t="s">
        <v>73</v>
      </c>
      <c r="C70" s="96"/>
      <c r="D70" s="68"/>
      <c r="E70" s="68"/>
      <c r="F70" s="68"/>
      <c r="G70" s="68"/>
      <c r="H70" s="68"/>
      <c r="I70" s="68"/>
      <c r="J70" s="68"/>
      <c r="K70" s="16"/>
      <c r="L70" s="603"/>
      <c r="M70" s="603"/>
      <c r="N70" s="603"/>
      <c r="O70" s="16"/>
      <c r="P70" s="81">
        <f t="shared" si="13"/>
        <v>0</v>
      </c>
      <c r="Q70" s="81">
        <f t="shared" si="14"/>
        <v>0</v>
      </c>
      <c r="R70" s="81">
        <f t="shared" si="15"/>
        <v>0</v>
      </c>
      <c r="S70" s="81">
        <f t="shared" si="34"/>
        <v>0</v>
      </c>
      <c r="T70" s="281">
        <f t="shared" si="17"/>
        <v>0</v>
      </c>
      <c r="U70" s="120"/>
      <c r="V70" s="195">
        <f t="shared" si="23"/>
        <v>0</v>
      </c>
    </row>
    <row r="71" spans="1:22" x14ac:dyDescent="0.25">
      <c r="A71" s="20" t="s">
        <v>74</v>
      </c>
      <c r="B71" s="20" t="s">
        <v>75</v>
      </c>
      <c r="C71" s="374">
        <f>SUM(C72:C81)</f>
        <v>2200000</v>
      </c>
      <c r="D71" s="374">
        <f t="shared" ref="D71:J71" si="75">SUM(D72:D81)</f>
        <v>2312005</v>
      </c>
      <c r="E71" s="374">
        <f t="shared" si="75"/>
        <v>2372005</v>
      </c>
      <c r="F71" s="374">
        <f t="shared" si="75"/>
        <v>0</v>
      </c>
      <c r="G71" s="374"/>
      <c r="H71" s="374">
        <f t="shared" si="75"/>
        <v>1458096</v>
      </c>
      <c r="I71" s="374">
        <f t="shared" si="75"/>
        <v>2197510</v>
      </c>
      <c r="J71" s="374">
        <f t="shared" si="75"/>
        <v>0</v>
      </c>
      <c r="K71" s="16"/>
      <c r="L71" s="603">
        <f t="shared" ref="L71:L72" si="76">IF(H71&gt;0,H71/C71,0)</f>
        <v>0.66277090909090908</v>
      </c>
      <c r="M71" s="603">
        <f t="shared" ref="M71:M72" si="77">IF(I71&gt;0,I71/D71,0)</f>
        <v>0.95047804827411708</v>
      </c>
      <c r="N71" s="603">
        <f t="shared" ref="N71:N72" si="78">IF(J71&gt;0,J71/E71,0)</f>
        <v>0</v>
      </c>
      <c r="O71" s="16"/>
      <c r="P71" s="81">
        <f t="shared" si="13"/>
        <v>112005</v>
      </c>
      <c r="Q71" s="81">
        <f t="shared" si="14"/>
        <v>60000</v>
      </c>
      <c r="R71" s="81">
        <f t="shared" si="15"/>
        <v>0</v>
      </c>
      <c r="S71" s="81">
        <f t="shared" si="34"/>
        <v>172005</v>
      </c>
      <c r="T71" s="281">
        <f t="shared" si="17"/>
        <v>7.8184090909090911E-2</v>
      </c>
      <c r="U71" s="120"/>
      <c r="V71" s="195">
        <f t="shared" si="23"/>
        <v>0</v>
      </c>
    </row>
    <row r="72" spans="1:22" x14ac:dyDescent="0.25">
      <c r="A72" s="20" t="s">
        <v>76</v>
      </c>
      <c r="B72" s="20" t="s">
        <v>77</v>
      </c>
      <c r="C72" s="96">
        <v>1500000</v>
      </c>
      <c r="D72" s="175">
        <v>1500000</v>
      </c>
      <c r="E72" s="68">
        <v>1550000</v>
      </c>
      <c r="F72" s="68"/>
      <c r="G72" s="68"/>
      <c r="H72" s="68">
        <v>993715</v>
      </c>
      <c r="I72" s="68">
        <v>1382197</v>
      </c>
      <c r="J72" s="68"/>
      <c r="K72" s="16"/>
      <c r="L72" s="603">
        <f t="shared" si="76"/>
        <v>0.66247666666666671</v>
      </c>
      <c r="M72" s="603">
        <f t="shared" si="77"/>
        <v>0.92146466666666671</v>
      </c>
      <c r="N72" s="603">
        <f t="shared" si="78"/>
        <v>0</v>
      </c>
      <c r="O72" s="16"/>
      <c r="P72" s="81">
        <f t="shared" si="13"/>
        <v>0</v>
      </c>
      <c r="Q72" s="81">
        <f t="shared" si="14"/>
        <v>50000</v>
      </c>
      <c r="R72" s="81">
        <f t="shared" si="15"/>
        <v>0</v>
      </c>
      <c r="S72" s="81">
        <f t="shared" si="34"/>
        <v>50000</v>
      </c>
      <c r="T72" s="281">
        <f t="shared" si="17"/>
        <v>3.3333333333333333E-2</v>
      </c>
      <c r="U72" s="120"/>
      <c r="V72" s="195">
        <f t="shared" si="23"/>
        <v>0</v>
      </c>
    </row>
    <row r="73" spans="1:22" x14ac:dyDescent="0.25">
      <c r="A73" s="20"/>
      <c r="B73" s="20" t="s">
        <v>78</v>
      </c>
      <c r="C73" s="96"/>
      <c r="D73" s="68"/>
      <c r="E73" s="68"/>
      <c r="F73" s="68"/>
      <c r="G73" s="68"/>
      <c r="H73" s="68"/>
      <c r="I73" s="68"/>
      <c r="J73" s="68"/>
      <c r="K73" s="16"/>
      <c r="L73" s="603"/>
      <c r="M73" s="603"/>
      <c r="N73" s="603"/>
      <c r="O73" s="16"/>
      <c r="P73" s="81">
        <f t="shared" si="13"/>
        <v>0</v>
      </c>
      <c r="Q73" s="81">
        <f t="shared" si="14"/>
        <v>0</v>
      </c>
      <c r="R73" s="81">
        <f t="shared" si="15"/>
        <v>0</v>
      </c>
      <c r="S73" s="81">
        <f t="shared" si="34"/>
        <v>0</v>
      </c>
      <c r="T73" s="281">
        <f t="shared" si="17"/>
        <v>0</v>
      </c>
      <c r="U73" s="120"/>
      <c r="V73" s="195">
        <f t="shared" si="23"/>
        <v>0</v>
      </c>
    </row>
    <row r="74" spans="1:22" x14ac:dyDescent="0.25">
      <c r="A74" s="20" t="s">
        <v>79</v>
      </c>
      <c r="B74" s="20" t="s">
        <v>80</v>
      </c>
      <c r="C74" s="96">
        <v>0</v>
      </c>
      <c r="D74" s="68">
        <v>0</v>
      </c>
      <c r="E74" s="68">
        <v>0</v>
      </c>
      <c r="F74" s="68"/>
      <c r="G74" s="68"/>
      <c r="H74" s="68">
        <v>0</v>
      </c>
      <c r="I74" s="68">
        <v>0</v>
      </c>
      <c r="J74" s="68"/>
      <c r="K74" s="16"/>
      <c r="L74" s="603">
        <f t="shared" ref="L74" si="79">IF(H74&gt;0,H74/C74,0)</f>
        <v>0</v>
      </c>
      <c r="M74" s="603">
        <f t="shared" ref="M74" si="80">IF(I74&gt;0,I74/D74,0)</f>
        <v>0</v>
      </c>
      <c r="N74" s="603">
        <f t="shared" ref="N74" si="81">IF(J74&gt;0,J74/E74,0)</f>
        <v>0</v>
      </c>
      <c r="O74" s="16"/>
      <c r="P74" s="81">
        <f t="shared" si="13"/>
        <v>0</v>
      </c>
      <c r="Q74" s="81">
        <f t="shared" si="14"/>
        <v>0</v>
      </c>
      <c r="R74" s="81">
        <f t="shared" si="15"/>
        <v>0</v>
      </c>
      <c r="S74" s="81">
        <f t="shared" si="34"/>
        <v>0</v>
      </c>
      <c r="T74" s="281">
        <f t="shared" si="17"/>
        <v>0</v>
      </c>
      <c r="U74" s="120"/>
      <c r="V74" s="195">
        <f t="shared" si="23"/>
        <v>0</v>
      </c>
    </row>
    <row r="75" spans="1:22" ht="26.4" x14ac:dyDescent="0.25">
      <c r="A75" s="20"/>
      <c r="B75" s="20" t="s">
        <v>101</v>
      </c>
      <c r="C75" s="96"/>
      <c r="D75" s="68"/>
      <c r="E75" s="68"/>
      <c r="F75" s="68"/>
      <c r="G75" s="68"/>
      <c r="H75" s="68"/>
      <c r="I75" s="68"/>
      <c r="J75" s="68"/>
      <c r="K75" s="16"/>
      <c r="L75" s="603"/>
      <c r="M75" s="603"/>
      <c r="N75" s="603"/>
      <c r="O75" s="16"/>
      <c r="P75" s="81">
        <f t="shared" si="13"/>
        <v>0</v>
      </c>
      <c r="Q75" s="81">
        <f t="shared" si="14"/>
        <v>0</v>
      </c>
      <c r="R75" s="81">
        <f t="shared" si="15"/>
        <v>0</v>
      </c>
      <c r="S75" s="81">
        <f t="shared" si="34"/>
        <v>0</v>
      </c>
      <c r="T75" s="281">
        <f t="shared" si="17"/>
        <v>0</v>
      </c>
      <c r="U75" s="120"/>
      <c r="V75" s="195">
        <f t="shared" si="23"/>
        <v>0</v>
      </c>
    </row>
    <row r="76" spans="1:22" x14ac:dyDescent="0.25">
      <c r="A76" s="20" t="s">
        <v>81</v>
      </c>
      <c r="B76" s="20" t="s">
        <v>82</v>
      </c>
      <c r="C76" s="96"/>
      <c r="D76" s="68"/>
      <c r="E76" s="68"/>
      <c r="F76" s="68"/>
      <c r="G76" s="68"/>
      <c r="H76" s="68"/>
      <c r="I76" s="68"/>
      <c r="J76" s="68"/>
      <c r="K76" s="16"/>
      <c r="L76" s="603"/>
      <c r="M76" s="603"/>
      <c r="N76" s="603"/>
      <c r="O76" s="16"/>
      <c r="P76" s="81">
        <f t="shared" si="13"/>
        <v>0</v>
      </c>
      <c r="Q76" s="81">
        <f t="shared" si="14"/>
        <v>0</v>
      </c>
      <c r="R76" s="81">
        <f t="shared" si="15"/>
        <v>0</v>
      </c>
      <c r="S76" s="81">
        <f t="shared" si="34"/>
        <v>0</v>
      </c>
      <c r="T76" s="281">
        <f t="shared" si="17"/>
        <v>0</v>
      </c>
      <c r="U76" s="120"/>
      <c r="V76" s="195">
        <f t="shared" si="23"/>
        <v>0</v>
      </c>
    </row>
    <row r="77" spans="1:22" ht="26.4" x14ac:dyDescent="0.25">
      <c r="A77" s="20"/>
      <c r="B77" s="20" t="s">
        <v>106</v>
      </c>
      <c r="C77" s="96"/>
      <c r="D77" s="68"/>
      <c r="E77" s="68"/>
      <c r="F77" s="68"/>
      <c r="G77" s="68"/>
      <c r="H77" s="68"/>
      <c r="I77" s="68"/>
      <c r="J77" s="68"/>
      <c r="K77" s="16"/>
      <c r="L77" s="603"/>
      <c r="M77" s="603"/>
      <c r="N77" s="603"/>
      <c r="O77" s="16"/>
      <c r="P77" s="81">
        <f t="shared" ref="P77:P80" si="82">+(D77-C77)*P$10</f>
        <v>0</v>
      </c>
      <c r="Q77" s="81">
        <f t="shared" ref="Q77:Q80" si="83">+(E77-D77)*Q$10</f>
        <v>0</v>
      </c>
      <c r="R77" s="81">
        <f t="shared" ref="R77:R80" si="84">+(F77-E77)*R$10</f>
        <v>0</v>
      </c>
      <c r="S77" s="81">
        <f t="shared" si="34"/>
        <v>0</v>
      </c>
      <c r="T77" s="281">
        <f t="shared" ref="T77:T99" si="85">IF(C77=0,0,+S77/C77)</f>
        <v>0</v>
      </c>
      <c r="U77" s="120"/>
      <c r="V77" s="195">
        <f t="shared" ref="V77:V80" si="86">+S77-E77+C77</f>
        <v>0</v>
      </c>
    </row>
    <row r="78" spans="1:22" x14ac:dyDescent="0.25">
      <c r="A78" s="20" t="s">
        <v>84</v>
      </c>
      <c r="B78" s="20" t="s">
        <v>85</v>
      </c>
      <c r="C78" s="96"/>
      <c r="D78" s="68"/>
      <c r="E78" s="68"/>
      <c r="F78" s="68"/>
      <c r="G78" s="68"/>
      <c r="H78" s="68"/>
      <c r="I78" s="68"/>
      <c r="J78" s="68"/>
      <c r="K78" s="16"/>
      <c r="L78" s="603"/>
      <c r="M78" s="603"/>
      <c r="N78" s="603"/>
      <c r="O78" s="16"/>
      <c r="P78" s="81">
        <f t="shared" si="82"/>
        <v>0</v>
      </c>
      <c r="Q78" s="81">
        <f t="shared" si="83"/>
        <v>0</v>
      </c>
      <c r="R78" s="81">
        <f t="shared" si="84"/>
        <v>0</v>
      </c>
      <c r="S78" s="81">
        <f t="shared" si="34"/>
        <v>0</v>
      </c>
      <c r="T78" s="281">
        <f t="shared" si="85"/>
        <v>0</v>
      </c>
      <c r="U78" s="120"/>
      <c r="V78" s="195">
        <f t="shared" si="86"/>
        <v>0</v>
      </c>
    </row>
    <row r="79" spans="1:22" x14ac:dyDescent="0.25">
      <c r="A79" s="20"/>
      <c r="B79" s="20" t="s">
        <v>86</v>
      </c>
      <c r="C79" s="96"/>
      <c r="D79" s="68"/>
      <c r="E79" s="68"/>
      <c r="F79" s="68"/>
      <c r="G79" s="68"/>
      <c r="H79" s="68"/>
      <c r="I79" s="68"/>
      <c r="J79" s="68"/>
      <c r="K79" s="16"/>
      <c r="L79" s="603"/>
      <c r="M79" s="603"/>
      <c r="N79" s="603"/>
      <c r="O79" s="16"/>
      <c r="P79" s="81">
        <f t="shared" si="82"/>
        <v>0</v>
      </c>
      <c r="Q79" s="81">
        <f t="shared" si="83"/>
        <v>0</v>
      </c>
      <c r="R79" s="81">
        <f t="shared" si="84"/>
        <v>0</v>
      </c>
      <c r="S79" s="81">
        <f t="shared" si="34"/>
        <v>0</v>
      </c>
      <c r="T79" s="281">
        <f t="shared" si="85"/>
        <v>0</v>
      </c>
      <c r="U79" s="120"/>
      <c r="V79" s="195">
        <f t="shared" si="86"/>
        <v>0</v>
      </c>
    </row>
    <row r="80" spans="1:22" x14ac:dyDescent="0.25">
      <c r="A80" s="20" t="s">
        <v>87</v>
      </c>
      <c r="B80" s="20" t="s">
        <v>88</v>
      </c>
      <c r="C80" s="96">
        <v>700000</v>
      </c>
      <c r="D80" s="68">
        <v>812005</v>
      </c>
      <c r="E80" s="68">
        <v>822005</v>
      </c>
      <c r="F80" s="68"/>
      <c r="G80" s="68"/>
      <c r="H80" s="68">
        <v>464381</v>
      </c>
      <c r="I80" s="68">
        <v>815313</v>
      </c>
      <c r="J80" s="68"/>
      <c r="K80" s="16"/>
      <c r="L80" s="603">
        <f t="shared" ref="L80" si="87">IF(H80&gt;0,H80/C80,0)</f>
        <v>0.66340142857142859</v>
      </c>
      <c r="M80" s="603">
        <f t="shared" ref="M80" si="88">IF(I80&gt;0,I80/D80,0)</f>
        <v>1.0040738665402307</v>
      </c>
      <c r="N80" s="603">
        <f t="shared" ref="N80" si="89">IF(J80&gt;0,J80/E80,0)</f>
        <v>0</v>
      </c>
      <c r="O80" s="16"/>
      <c r="P80" s="81">
        <f t="shared" si="82"/>
        <v>112005</v>
      </c>
      <c r="Q80" s="81">
        <f t="shared" si="83"/>
        <v>10000</v>
      </c>
      <c r="R80" s="81">
        <f t="shared" si="84"/>
        <v>0</v>
      </c>
      <c r="S80" s="81">
        <f t="shared" si="34"/>
        <v>122005</v>
      </c>
      <c r="T80" s="281">
        <f t="shared" si="85"/>
        <v>0.17429285714285714</v>
      </c>
      <c r="U80" s="120"/>
      <c r="V80" s="195">
        <f t="shared" si="86"/>
        <v>0</v>
      </c>
    </row>
    <row r="81" spans="1:24" ht="54.6" customHeight="1" x14ac:dyDescent="0.25">
      <c r="A81" s="20"/>
      <c r="B81" s="20" t="s">
        <v>92</v>
      </c>
      <c r="C81" s="96"/>
      <c r="D81" s="68"/>
      <c r="E81" s="68"/>
      <c r="F81" s="68"/>
      <c r="G81" s="68"/>
      <c r="H81" s="68"/>
      <c r="I81" s="68"/>
      <c r="J81" s="68"/>
      <c r="K81" s="16"/>
      <c r="L81" s="603"/>
      <c r="M81" s="603"/>
      <c r="N81" s="603"/>
      <c r="O81" s="16"/>
      <c r="P81" s="81">
        <f>+(D81-C81)*P$10</f>
        <v>0</v>
      </c>
      <c r="Q81" s="81">
        <f>+(E81-D81)*Q$10</f>
        <v>0</v>
      </c>
      <c r="R81" s="81">
        <f>+(F81-E81)*R$10</f>
        <v>0</v>
      </c>
      <c r="S81" s="81">
        <f t="shared" si="34"/>
        <v>0</v>
      </c>
      <c r="T81" s="281">
        <f t="shared" si="85"/>
        <v>0</v>
      </c>
      <c r="U81" s="120"/>
      <c r="V81" s="195">
        <f t="shared" ref="V81:V82" si="90">+S81-E81+C81</f>
        <v>0</v>
      </c>
    </row>
    <row r="82" spans="1:24" x14ac:dyDescent="0.25">
      <c r="A82" s="20"/>
      <c r="B82" s="20"/>
      <c r="C82" s="117"/>
      <c r="D82" s="68"/>
      <c r="E82" s="68"/>
      <c r="F82" s="68"/>
      <c r="G82" s="68"/>
      <c r="H82" s="68"/>
      <c r="I82" s="68"/>
      <c r="J82" s="68"/>
      <c r="K82" s="16"/>
      <c r="L82" s="603">
        <f t="shared" ref="L82:L84" si="91">IF(H82&gt;0,H82/C82,0)</f>
        <v>0</v>
      </c>
      <c r="M82" s="603">
        <f t="shared" ref="M82:M84" si="92">IF(I82&gt;0,I82/D82,0)</f>
        <v>0</v>
      </c>
      <c r="N82" s="603">
        <f t="shared" ref="N82:N84" si="93">IF(J82&gt;0,J82/E82,0)</f>
        <v>0</v>
      </c>
      <c r="O82" s="16"/>
      <c r="P82" s="81">
        <f t="shared" ref="P82" si="94">+(D82-C82)*P$10</f>
        <v>0</v>
      </c>
      <c r="Q82" s="81">
        <f t="shared" ref="Q82" si="95">+(E82-D82)*Q$10</f>
        <v>0</v>
      </c>
      <c r="R82" s="81">
        <f t="shared" ref="R82" si="96">+(F82-E82)*R$10</f>
        <v>0</v>
      </c>
      <c r="S82" s="81">
        <f t="shared" si="34"/>
        <v>0</v>
      </c>
      <c r="T82" s="281">
        <f t="shared" si="85"/>
        <v>0</v>
      </c>
      <c r="U82" s="120"/>
      <c r="V82" s="195">
        <f t="shared" si="90"/>
        <v>0</v>
      </c>
    </row>
    <row r="83" spans="1:24" s="42" customFormat="1" x14ac:dyDescent="0.25">
      <c r="A83" s="3" t="s">
        <v>158</v>
      </c>
      <c r="B83" s="3" t="s">
        <v>159</v>
      </c>
      <c r="C83" s="193">
        <f>SUM(C84)</f>
        <v>2000000</v>
      </c>
      <c r="D83" s="90">
        <f>SUM(D84)</f>
        <v>2000000</v>
      </c>
      <c r="E83" s="90">
        <f>SUM(E84)</f>
        <v>2000000</v>
      </c>
      <c r="F83" s="90">
        <f>SUM(F84)</f>
        <v>0</v>
      </c>
      <c r="G83" s="90"/>
      <c r="H83" s="90">
        <f>SUM(H84)</f>
        <v>1611855</v>
      </c>
      <c r="I83" s="90">
        <f>+I84</f>
        <v>1611855</v>
      </c>
      <c r="J83" s="90">
        <f>+J84</f>
        <v>0</v>
      </c>
      <c r="K83" s="32"/>
      <c r="L83" s="612">
        <f t="shared" si="91"/>
        <v>0.80592750000000002</v>
      </c>
      <c r="M83" s="612">
        <f t="shared" si="92"/>
        <v>0.80592750000000002</v>
      </c>
      <c r="N83" s="612">
        <f t="shared" si="93"/>
        <v>0</v>
      </c>
      <c r="O83" s="32"/>
      <c r="P83" s="298">
        <f t="shared" ref="P83:P85" si="97">+(D83-C83)*P$10</f>
        <v>0</v>
      </c>
      <c r="Q83" s="298">
        <f t="shared" ref="Q83:Q85" si="98">+(E83-D83)*Q$10</f>
        <v>0</v>
      </c>
      <c r="R83" s="298">
        <f t="shared" ref="R83:R85" si="99">+(F83-E83)*R$10</f>
        <v>0</v>
      </c>
      <c r="S83" s="298">
        <f t="shared" si="34"/>
        <v>0</v>
      </c>
      <c r="T83" s="282">
        <f t="shared" ref="T83:T85" si="100">IF(C83=0,0,+S83/C83)</f>
        <v>0</v>
      </c>
      <c r="U83" s="120"/>
      <c r="V83" s="195">
        <f t="shared" ref="V83:V85" si="101">+S83-E83+C83</f>
        <v>0</v>
      </c>
    </row>
    <row r="84" spans="1:24" x14ac:dyDescent="0.25">
      <c r="A84" s="482"/>
      <c r="B84" s="482" t="s">
        <v>460</v>
      </c>
      <c r="C84" s="117">
        <v>2000000</v>
      </c>
      <c r="D84" s="68">
        <v>2000000</v>
      </c>
      <c r="E84" s="68">
        <v>2000000</v>
      </c>
      <c r="F84" s="68"/>
      <c r="G84" s="68"/>
      <c r="H84" s="68">
        <v>1611855</v>
      </c>
      <c r="I84" s="175">
        <v>1611855</v>
      </c>
      <c r="J84" s="68"/>
      <c r="K84" s="16"/>
      <c r="L84" s="603">
        <f t="shared" si="91"/>
        <v>0.80592750000000002</v>
      </c>
      <c r="M84" s="603">
        <f t="shared" si="92"/>
        <v>0.80592750000000002</v>
      </c>
      <c r="N84" s="603">
        <f t="shared" si="93"/>
        <v>0</v>
      </c>
      <c r="O84" s="16"/>
      <c r="P84" s="81">
        <f t="shared" si="97"/>
        <v>0</v>
      </c>
      <c r="Q84" s="81">
        <f t="shared" si="98"/>
        <v>0</v>
      </c>
      <c r="R84" s="81">
        <f t="shared" si="99"/>
        <v>0</v>
      </c>
      <c r="S84" s="81">
        <f t="shared" si="34"/>
        <v>0</v>
      </c>
      <c r="T84" s="281">
        <f t="shared" si="100"/>
        <v>0</v>
      </c>
      <c r="U84" s="120"/>
      <c r="V84" s="195">
        <f t="shared" si="101"/>
        <v>0</v>
      </c>
    </row>
    <row r="85" spans="1:24" x14ac:dyDescent="0.25">
      <c r="A85" s="20"/>
      <c r="B85" s="20"/>
      <c r="C85" s="117"/>
      <c r="D85" s="68"/>
      <c r="E85" s="68"/>
      <c r="F85" s="68"/>
      <c r="G85" s="68"/>
      <c r="H85" s="68"/>
      <c r="I85" s="68"/>
      <c r="J85" s="68"/>
      <c r="K85" s="16"/>
      <c r="L85" s="603" t="e">
        <f t="shared" ref="L85" si="102">+H85/C85</f>
        <v>#DIV/0!</v>
      </c>
      <c r="M85" s="603" t="e">
        <f t="shared" ref="M85:M88" si="103">+I85/D85</f>
        <v>#DIV/0!</v>
      </c>
      <c r="N85" s="603" t="e">
        <f t="shared" ref="N85" si="104">+J85/E85</f>
        <v>#DIV/0!</v>
      </c>
      <c r="O85" s="16"/>
      <c r="P85" s="81">
        <f t="shared" si="97"/>
        <v>0</v>
      </c>
      <c r="Q85" s="81">
        <f t="shared" si="98"/>
        <v>0</v>
      </c>
      <c r="R85" s="81">
        <f t="shared" si="99"/>
        <v>0</v>
      </c>
      <c r="S85" s="81">
        <f t="shared" si="34"/>
        <v>0</v>
      </c>
      <c r="T85" s="281">
        <f t="shared" si="100"/>
        <v>0</v>
      </c>
      <c r="U85" s="120"/>
      <c r="V85" s="195">
        <f t="shared" si="101"/>
        <v>0</v>
      </c>
    </row>
    <row r="86" spans="1:24" s="42" customFormat="1" x14ac:dyDescent="0.25">
      <c r="A86" s="3" t="s">
        <v>173</v>
      </c>
      <c r="B86" s="3" t="s">
        <v>174</v>
      </c>
      <c r="C86" s="193">
        <f>SUM(C87)</f>
        <v>0</v>
      </c>
      <c r="D86" s="90">
        <f>SUM(D87)</f>
        <v>0</v>
      </c>
      <c r="E86" s="90">
        <f>SUM(E87)</f>
        <v>0</v>
      </c>
      <c r="F86" s="90">
        <f>SUM(F87)</f>
        <v>0</v>
      </c>
      <c r="G86" s="90"/>
      <c r="H86" s="90">
        <f>SUM(H87)</f>
        <v>0</v>
      </c>
      <c r="I86" s="90">
        <f>+I87</f>
        <v>0</v>
      </c>
      <c r="J86" s="90">
        <f>+J87</f>
        <v>0</v>
      </c>
      <c r="K86" s="32"/>
      <c r="L86" s="612">
        <f t="shared" ref="L86:L87" si="105">IF(H86&gt;0,H86/C86,0)</f>
        <v>0</v>
      </c>
      <c r="M86" s="612">
        <f t="shared" ref="M86:M87" si="106">IF(I86&gt;0,I86/D86,0)</f>
        <v>0</v>
      </c>
      <c r="N86" s="612">
        <f t="shared" ref="N86:N87" si="107">IF(J86&gt;0,J86/E86,0)</f>
        <v>0</v>
      </c>
      <c r="O86" s="32"/>
      <c r="P86" s="298">
        <f t="shared" ref="P86:P88" si="108">+(D86-C86)*P$10</f>
        <v>0</v>
      </c>
      <c r="Q86" s="298">
        <f t="shared" ref="Q86:Q88" si="109">+(E86-D86)*Q$10</f>
        <v>0</v>
      </c>
      <c r="R86" s="298">
        <f t="shared" ref="R86:R88" si="110">+(F86-E86)*R$10</f>
        <v>0</v>
      </c>
      <c r="S86" s="298">
        <f t="shared" si="34"/>
        <v>0</v>
      </c>
      <c r="T86" s="282">
        <f t="shared" ref="T86:T88" si="111">IF(C86=0,0,+S86/C86)</f>
        <v>0</v>
      </c>
      <c r="U86" s="120"/>
      <c r="V86" s="195">
        <f t="shared" ref="V86:V88" si="112">+S86-E86+C86</f>
        <v>0</v>
      </c>
    </row>
    <row r="87" spans="1:24" x14ac:dyDescent="0.25">
      <c r="A87" s="482"/>
      <c r="B87" s="482"/>
      <c r="C87" s="117"/>
      <c r="D87" s="68"/>
      <c r="E87" s="68"/>
      <c r="F87" s="68"/>
      <c r="G87" s="68"/>
      <c r="H87" s="68"/>
      <c r="I87" s="175"/>
      <c r="J87" s="68"/>
      <c r="K87" s="16"/>
      <c r="L87" s="603">
        <f t="shared" si="105"/>
        <v>0</v>
      </c>
      <c r="M87" s="603">
        <f t="shared" si="106"/>
        <v>0</v>
      </c>
      <c r="N87" s="603">
        <f t="shared" si="107"/>
        <v>0</v>
      </c>
      <c r="O87" s="16"/>
      <c r="P87" s="81">
        <f t="shared" si="108"/>
        <v>0</v>
      </c>
      <c r="Q87" s="81">
        <f t="shared" si="109"/>
        <v>0</v>
      </c>
      <c r="R87" s="81">
        <f t="shared" si="110"/>
        <v>0</v>
      </c>
      <c r="S87" s="81">
        <f t="shared" si="34"/>
        <v>0</v>
      </c>
      <c r="T87" s="281">
        <f t="shared" si="111"/>
        <v>0</v>
      </c>
      <c r="U87" s="120"/>
      <c r="V87" s="195">
        <f t="shared" si="112"/>
        <v>0</v>
      </c>
    </row>
    <row r="88" spans="1:24" hidden="1" x14ac:dyDescent="0.25">
      <c r="A88" s="20"/>
      <c r="B88" s="20"/>
      <c r="C88" s="117"/>
      <c r="D88" s="68"/>
      <c r="E88" s="68"/>
      <c r="F88" s="68"/>
      <c r="G88" s="68"/>
      <c r="H88" s="68"/>
      <c r="I88" s="68"/>
      <c r="J88" s="68"/>
      <c r="K88" s="16"/>
      <c r="L88" s="603" t="e">
        <f t="shared" ref="L88" si="113">+H88/C88</f>
        <v>#DIV/0!</v>
      </c>
      <c r="M88" s="603" t="e">
        <f t="shared" si="103"/>
        <v>#DIV/0!</v>
      </c>
      <c r="N88" s="603" t="e">
        <f t="shared" ref="N88" si="114">+J88/E88</f>
        <v>#DIV/0!</v>
      </c>
      <c r="O88" s="16"/>
      <c r="P88" s="81">
        <f t="shared" si="108"/>
        <v>0</v>
      </c>
      <c r="Q88" s="81">
        <f t="shared" si="109"/>
        <v>0</v>
      </c>
      <c r="R88" s="81">
        <f t="shared" si="110"/>
        <v>0</v>
      </c>
      <c r="S88" s="81">
        <f t="shared" si="34"/>
        <v>0</v>
      </c>
      <c r="T88" s="281">
        <f t="shared" si="111"/>
        <v>0</v>
      </c>
      <c r="U88" s="120"/>
      <c r="V88" s="195">
        <f t="shared" si="112"/>
        <v>0</v>
      </c>
    </row>
    <row r="89" spans="1:24" ht="18" customHeight="1" x14ac:dyDescent="0.25">
      <c r="A89" s="5"/>
      <c r="B89" s="471" t="s">
        <v>372</v>
      </c>
      <c r="C89" s="478">
        <f>C13+C29+C32+C83+C86</f>
        <v>167430000</v>
      </c>
      <c r="D89" s="478">
        <f>D13+D29+D32+D83+D86</f>
        <v>170414273</v>
      </c>
      <c r="E89" s="478">
        <f>E13+E29+E32+E83+E86</f>
        <v>170414273</v>
      </c>
      <c r="F89" s="478">
        <f>F13+F29+F32+F83+F86</f>
        <v>0</v>
      </c>
      <c r="G89" s="478"/>
      <c r="H89" s="478">
        <f>H13+H29+H32+H83+H86</f>
        <v>92897253</v>
      </c>
      <c r="I89" s="478">
        <f>I13+I29+I32+I83+I86</f>
        <v>132799102</v>
      </c>
      <c r="J89" s="478">
        <f>J13+J29+J32+J83+J86</f>
        <v>0</v>
      </c>
      <c r="K89" s="6"/>
      <c r="L89" s="600">
        <f t="shared" ref="L89" si="115">IF(H89&gt;0,H89/C89,0)</f>
        <v>0.5548423400824225</v>
      </c>
      <c r="M89" s="600">
        <f t="shared" ref="M89" si="116">IF(I89&gt;0,I89/D89,0)</f>
        <v>0.77927217986019282</v>
      </c>
      <c r="N89" s="600">
        <f t="shared" ref="N89" si="117">IF(J89&gt;0,J89/E89,0)</f>
        <v>0</v>
      </c>
      <c r="O89" s="6"/>
      <c r="P89" s="478">
        <f>+(D89-C89)*P$10</f>
        <v>2984273</v>
      </c>
      <c r="Q89" s="478">
        <f>+(E89-D89)*Q$10</f>
        <v>0</v>
      </c>
      <c r="R89" s="478">
        <f>+(F89-E89)*R$10</f>
        <v>0</v>
      </c>
      <c r="S89" s="478">
        <f t="shared" si="34"/>
        <v>2984273</v>
      </c>
      <c r="T89" s="282">
        <f t="shared" si="85"/>
        <v>1.7824004061398793E-2</v>
      </c>
      <c r="U89" s="120"/>
      <c r="V89" s="195">
        <f t="shared" ref="V89:V102" si="118">+S89-E89+C89</f>
        <v>0</v>
      </c>
    </row>
    <row r="90" spans="1:24" ht="10.35" customHeight="1" x14ac:dyDescent="0.25"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15"/>
      <c r="M90" s="615"/>
      <c r="N90" s="615"/>
      <c r="O90" s="98"/>
      <c r="P90" s="98"/>
      <c r="Q90" s="98"/>
      <c r="R90" s="98"/>
      <c r="S90" s="98"/>
      <c r="T90" s="98"/>
      <c r="U90" s="22"/>
      <c r="V90" s="195">
        <f t="shared" si="118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6"/>
      <c r="M91" s="616"/>
      <c r="N91" s="616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15"/>
      <c r="M92" s="615"/>
      <c r="N92" s="615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x14ac:dyDescent="0.25">
      <c r="A93" s="51" t="s">
        <v>240</v>
      </c>
      <c r="B93" s="48" t="s">
        <v>241</v>
      </c>
      <c r="C93" s="292">
        <f>C94</f>
        <v>0</v>
      </c>
      <c r="D93" s="290">
        <f>D94</f>
        <v>2984273</v>
      </c>
      <c r="E93" s="290">
        <f>E94</f>
        <v>2984273</v>
      </c>
      <c r="F93" s="290"/>
      <c r="G93" s="290"/>
      <c r="H93" s="290">
        <f>+H94</f>
        <v>9331645</v>
      </c>
      <c r="I93" s="290">
        <f>+I94</f>
        <v>9331645</v>
      </c>
      <c r="J93" s="290"/>
      <c r="K93" s="52"/>
      <c r="L93" s="612" t="e">
        <f t="shared" ref="L93:L102" si="119">IF(H93&gt;0,H93/C93,0)</f>
        <v>#DIV/0!</v>
      </c>
      <c r="M93" s="612">
        <f t="shared" ref="M93:M102" si="120">IF(I93&gt;0,I93/D93,0)</f>
        <v>3.1269407993169525</v>
      </c>
      <c r="N93" s="612">
        <f t="shared" ref="N93:N102" si="121">IF(J93&gt;0,J93/E93,0)</f>
        <v>0</v>
      </c>
      <c r="O93" s="52"/>
      <c r="P93" s="297">
        <f t="shared" ref="P93:P102" si="122">+(D93-C93)*P$10</f>
        <v>2984273</v>
      </c>
      <c r="Q93" s="297">
        <f t="shared" ref="Q93:Q102" si="123">+(E93-D93)*Q$10</f>
        <v>0</v>
      </c>
      <c r="R93" s="297">
        <f t="shared" ref="R93:R102" si="124">+(F93-E93)*R$10</f>
        <v>0</v>
      </c>
      <c r="S93" s="297">
        <f t="shared" ref="S93:S102" si="125">+P93*P$10+Q93*Q$10+R93*R$10</f>
        <v>2984273</v>
      </c>
      <c r="T93" s="282">
        <f t="shared" si="85"/>
        <v>0</v>
      </c>
      <c r="U93" s="120"/>
      <c r="V93" s="195">
        <f t="shared" si="118"/>
        <v>0</v>
      </c>
    </row>
    <row r="94" spans="1:24" s="50" customFormat="1" x14ac:dyDescent="0.25">
      <c r="A94" s="45" t="s">
        <v>260</v>
      </c>
      <c r="B94" s="45" t="s">
        <v>386</v>
      </c>
      <c r="C94" s="293">
        <v>0</v>
      </c>
      <c r="D94" s="294">
        <v>2984273</v>
      </c>
      <c r="E94" s="294">
        <v>2984273</v>
      </c>
      <c r="F94" s="294"/>
      <c r="G94" s="294"/>
      <c r="H94" s="294">
        <v>9331645</v>
      </c>
      <c r="I94" s="294">
        <v>9331645</v>
      </c>
      <c r="J94" s="294"/>
      <c r="K94" s="49"/>
      <c r="L94" s="603" t="e">
        <f t="shared" si="119"/>
        <v>#DIV/0!</v>
      </c>
      <c r="M94" s="603">
        <f t="shared" si="120"/>
        <v>3.1269407993169525</v>
      </c>
      <c r="N94" s="603">
        <f t="shared" si="121"/>
        <v>0</v>
      </c>
      <c r="O94" s="49"/>
      <c r="P94" s="81">
        <f t="shared" si="122"/>
        <v>2984273</v>
      </c>
      <c r="Q94" s="81">
        <f t="shared" si="123"/>
        <v>0</v>
      </c>
      <c r="R94" s="81">
        <f t="shared" si="124"/>
        <v>0</v>
      </c>
      <c r="S94" s="81">
        <f t="shared" si="125"/>
        <v>2984273</v>
      </c>
      <c r="T94" s="281">
        <f t="shared" si="85"/>
        <v>0</v>
      </c>
      <c r="U94" s="120"/>
      <c r="V94" s="195">
        <f t="shared" si="118"/>
        <v>0</v>
      </c>
    </row>
    <row r="95" spans="1:24" s="42" customFormat="1" x14ac:dyDescent="0.25">
      <c r="A95" s="3" t="s">
        <v>282</v>
      </c>
      <c r="B95" s="3" t="s">
        <v>283</v>
      </c>
      <c r="C95" s="193">
        <f>C96+C97+C98</f>
        <v>10000</v>
      </c>
      <c r="D95" s="67">
        <f>+D96+D98</f>
        <v>10000</v>
      </c>
      <c r="E95" s="67">
        <f>+E96+E98</f>
        <v>10000</v>
      </c>
      <c r="F95" s="67">
        <f>+F96+F98</f>
        <v>0</v>
      </c>
      <c r="G95" s="67"/>
      <c r="H95" s="67">
        <f>+H96+H98</f>
        <v>1548</v>
      </c>
      <c r="I95" s="67">
        <f>+I96+I98</f>
        <v>3626</v>
      </c>
      <c r="J95" s="67">
        <f>+J96+J98</f>
        <v>0</v>
      </c>
      <c r="K95" s="6"/>
      <c r="L95" s="612">
        <f t="shared" si="119"/>
        <v>0.15479999999999999</v>
      </c>
      <c r="M95" s="612">
        <f t="shared" si="120"/>
        <v>0.36259999999999998</v>
      </c>
      <c r="N95" s="612">
        <f t="shared" si="121"/>
        <v>0</v>
      </c>
      <c r="O95" s="6"/>
      <c r="P95" s="271">
        <f t="shared" si="122"/>
        <v>0</v>
      </c>
      <c r="Q95" s="271">
        <f t="shared" si="123"/>
        <v>0</v>
      </c>
      <c r="R95" s="271">
        <f t="shared" si="124"/>
        <v>0</v>
      </c>
      <c r="S95" s="271">
        <f t="shared" si="125"/>
        <v>0</v>
      </c>
      <c r="T95" s="282">
        <f t="shared" si="85"/>
        <v>0</v>
      </c>
      <c r="U95" s="120"/>
      <c r="V95" s="195">
        <f t="shared" si="118"/>
        <v>0</v>
      </c>
    </row>
    <row r="96" spans="1:24" x14ac:dyDescent="0.25">
      <c r="A96" s="45" t="s">
        <v>285</v>
      </c>
      <c r="B96" s="45" t="s">
        <v>387</v>
      </c>
      <c r="C96" s="293">
        <v>0</v>
      </c>
      <c r="D96" s="145">
        <v>0</v>
      </c>
      <c r="E96" s="145">
        <v>0</v>
      </c>
      <c r="F96" s="145"/>
      <c r="G96" s="145"/>
      <c r="H96" s="145">
        <v>0</v>
      </c>
      <c r="I96" s="145">
        <f>+H96</f>
        <v>0</v>
      </c>
      <c r="J96" s="145"/>
      <c r="K96" s="41"/>
      <c r="L96" s="603">
        <f t="shared" si="119"/>
        <v>0</v>
      </c>
      <c r="M96" s="603">
        <f t="shared" si="120"/>
        <v>0</v>
      </c>
      <c r="N96" s="603">
        <f t="shared" si="121"/>
        <v>0</v>
      </c>
      <c r="O96" s="41"/>
      <c r="P96" s="81">
        <f t="shared" si="122"/>
        <v>0</v>
      </c>
      <c r="Q96" s="81">
        <f t="shared" si="123"/>
        <v>0</v>
      </c>
      <c r="R96" s="81">
        <f t="shared" si="124"/>
        <v>0</v>
      </c>
      <c r="S96" s="81">
        <f t="shared" si="125"/>
        <v>0</v>
      </c>
      <c r="T96" s="281">
        <f t="shared" si="85"/>
        <v>0</v>
      </c>
      <c r="U96" s="120"/>
      <c r="V96" s="195">
        <f t="shared" si="118"/>
        <v>0</v>
      </c>
    </row>
    <row r="97" spans="1:22" x14ac:dyDescent="0.25">
      <c r="A97" s="45" t="s">
        <v>296</v>
      </c>
      <c r="B97" s="20" t="s">
        <v>297</v>
      </c>
      <c r="C97" s="293"/>
      <c r="D97" s="145"/>
      <c r="E97" s="145"/>
      <c r="F97" s="145"/>
      <c r="G97" s="145"/>
      <c r="H97" s="145"/>
      <c r="I97" s="145"/>
      <c r="J97" s="145"/>
      <c r="K97" s="41"/>
      <c r="L97" s="603">
        <f t="shared" si="119"/>
        <v>0</v>
      </c>
      <c r="M97" s="603">
        <f t="shared" si="120"/>
        <v>0</v>
      </c>
      <c r="N97" s="603">
        <f t="shared" si="121"/>
        <v>0</v>
      </c>
      <c r="O97" s="41"/>
      <c r="P97" s="81"/>
      <c r="Q97" s="81"/>
      <c r="R97" s="81"/>
      <c r="S97" s="81">
        <f t="shared" si="125"/>
        <v>0</v>
      </c>
      <c r="T97" s="281"/>
      <c r="U97" s="120"/>
      <c r="V97" s="195"/>
    </row>
    <row r="98" spans="1:22" ht="26.4" x14ac:dyDescent="0.25">
      <c r="A98" s="482" t="s">
        <v>457</v>
      </c>
      <c r="B98" s="482" t="s">
        <v>459</v>
      </c>
      <c r="C98" s="117">
        <v>10000</v>
      </c>
      <c r="D98" s="68">
        <f>5000+5000</f>
        <v>10000</v>
      </c>
      <c r="E98" s="68">
        <v>10000</v>
      </c>
      <c r="F98" s="68"/>
      <c r="G98" s="68"/>
      <c r="H98" s="68">
        <f>99+1449</f>
        <v>1548</v>
      </c>
      <c r="I98" s="68">
        <v>3626</v>
      </c>
      <c r="J98" s="68"/>
      <c r="K98" s="16"/>
      <c r="L98" s="603">
        <f t="shared" si="119"/>
        <v>0.15479999999999999</v>
      </c>
      <c r="M98" s="603">
        <f t="shared" si="120"/>
        <v>0.36259999999999998</v>
      </c>
      <c r="N98" s="603">
        <f t="shared" si="121"/>
        <v>0</v>
      </c>
      <c r="O98" s="16"/>
      <c r="P98" s="81">
        <f t="shared" si="122"/>
        <v>0</v>
      </c>
      <c r="Q98" s="81">
        <f t="shared" si="123"/>
        <v>0</v>
      </c>
      <c r="R98" s="81">
        <f t="shared" si="124"/>
        <v>0</v>
      </c>
      <c r="S98" s="81">
        <f t="shared" si="125"/>
        <v>0</v>
      </c>
      <c r="T98" s="281">
        <f t="shared" si="85"/>
        <v>0</v>
      </c>
      <c r="U98" s="120"/>
      <c r="V98" s="195">
        <f t="shared" si="118"/>
        <v>0</v>
      </c>
    </row>
    <row r="99" spans="1:22" s="42" customFormat="1" x14ac:dyDescent="0.25">
      <c r="A99" s="3" t="s">
        <v>328</v>
      </c>
      <c r="B99" s="3" t="s">
        <v>329</v>
      </c>
      <c r="C99" s="193">
        <f>+C100+C101</f>
        <v>167420000</v>
      </c>
      <c r="D99" s="90">
        <f>SUM(D100:D101)</f>
        <v>167420000</v>
      </c>
      <c r="E99" s="90">
        <f>SUM(E100:E101)</f>
        <v>167420000</v>
      </c>
      <c r="F99" s="90">
        <f>SUM(F100)</f>
        <v>0</v>
      </c>
      <c r="G99" s="90"/>
      <c r="H99" s="90">
        <f>SUM(H100:H101)</f>
        <v>91754672</v>
      </c>
      <c r="I99" s="90">
        <f>SUM(I100:I101)</f>
        <v>128326114</v>
      </c>
      <c r="J99" s="90">
        <f>+J100</f>
        <v>0</v>
      </c>
      <c r="K99" s="32"/>
      <c r="L99" s="612">
        <f t="shared" si="119"/>
        <v>0.54805084219328637</v>
      </c>
      <c r="M99" s="612">
        <f t="shared" si="120"/>
        <v>0.76649213952932749</v>
      </c>
      <c r="N99" s="612">
        <f t="shared" si="121"/>
        <v>0</v>
      </c>
      <c r="O99" s="32"/>
      <c r="P99" s="298">
        <f t="shared" si="122"/>
        <v>0</v>
      </c>
      <c r="Q99" s="298">
        <f t="shared" si="123"/>
        <v>0</v>
      </c>
      <c r="R99" s="298">
        <f t="shared" si="124"/>
        <v>0</v>
      </c>
      <c r="S99" s="298">
        <f t="shared" si="125"/>
        <v>0</v>
      </c>
      <c r="T99" s="282">
        <f t="shared" si="85"/>
        <v>0</v>
      </c>
      <c r="U99" s="120"/>
      <c r="V99" s="195">
        <f t="shared" si="118"/>
        <v>0</v>
      </c>
    </row>
    <row r="100" spans="1:22" x14ac:dyDescent="0.25">
      <c r="A100" s="44" t="s">
        <v>354</v>
      </c>
      <c r="B100" s="20" t="s">
        <v>383</v>
      </c>
      <c r="C100" s="117">
        <f>+C104</f>
        <v>165973266</v>
      </c>
      <c r="D100" s="68">
        <v>165973266</v>
      </c>
      <c r="E100" s="68">
        <v>165973266</v>
      </c>
      <c r="F100" s="68"/>
      <c r="G100" s="68"/>
      <c r="H100" s="68">
        <v>90307938</v>
      </c>
      <c r="I100" s="175">
        <v>126879380</v>
      </c>
      <c r="J100" s="68"/>
      <c r="K100" s="16"/>
      <c r="L100" s="603">
        <f t="shared" si="119"/>
        <v>0.54411135104131769</v>
      </c>
      <c r="M100" s="603">
        <f t="shared" si="120"/>
        <v>0.76445672883246152</v>
      </c>
      <c r="N100" s="603">
        <f t="shared" si="121"/>
        <v>0</v>
      </c>
      <c r="O100" s="16"/>
      <c r="P100" s="81">
        <f t="shared" si="122"/>
        <v>0</v>
      </c>
      <c r="Q100" s="81">
        <f t="shared" si="123"/>
        <v>0</v>
      </c>
      <c r="R100" s="81">
        <f t="shared" si="124"/>
        <v>0</v>
      </c>
      <c r="S100" s="81">
        <f t="shared" si="125"/>
        <v>0</v>
      </c>
      <c r="T100" s="281">
        <f t="shared" ref="T100:T102" si="126">IF(C100=0,0,+S100/C100)</f>
        <v>0</v>
      </c>
      <c r="U100" s="120"/>
      <c r="V100" s="195">
        <f t="shared" si="118"/>
        <v>0</v>
      </c>
    </row>
    <row r="101" spans="1:22" ht="14.4" x14ac:dyDescent="0.3">
      <c r="A101" s="20" t="s">
        <v>342</v>
      </c>
      <c r="B101" s="20" t="s">
        <v>343</v>
      </c>
      <c r="C101" s="722">
        <v>1446734</v>
      </c>
      <c r="D101" s="68">
        <v>1446734</v>
      </c>
      <c r="E101" s="68">
        <v>1446734</v>
      </c>
      <c r="F101" s="68"/>
      <c r="G101" s="68"/>
      <c r="H101" s="68">
        <v>1446734</v>
      </c>
      <c r="I101" s="68">
        <v>1446734</v>
      </c>
      <c r="J101" s="68"/>
      <c r="K101" s="16"/>
      <c r="L101" s="603">
        <f t="shared" si="119"/>
        <v>1</v>
      </c>
      <c r="M101" s="603">
        <f t="shared" si="120"/>
        <v>1</v>
      </c>
      <c r="N101" s="603">
        <f t="shared" si="121"/>
        <v>0</v>
      </c>
      <c r="O101" s="16"/>
      <c r="P101" s="81">
        <f t="shared" si="122"/>
        <v>0</v>
      </c>
      <c r="Q101" s="81">
        <f t="shared" si="123"/>
        <v>0</v>
      </c>
      <c r="R101" s="81">
        <f t="shared" si="124"/>
        <v>0</v>
      </c>
      <c r="S101" s="81">
        <f t="shared" si="125"/>
        <v>0</v>
      </c>
      <c r="T101" s="281">
        <f t="shared" si="126"/>
        <v>0</v>
      </c>
      <c r="U101" s="120"/>
      <c r="V101" s="195">
        <f t="shared" si="118"/>
        <v>0</v>
      </c>
    </row>
    <row r="102" spans="1:22" ht="18" customHeight="1" x14ac:dyDescent="0.25">
      <c r="A102" s="5"/>
      <c r="B102" s="471" t="s">
        <v>371</v>
      </c>
      <c r="C102" s="484">
        <f>+C93+C95+C99</f>
        <v>167430000</v>
      </c>
      <c r="D102" s="484">
        <f>+D93+D95+D99</f>
        <v>170414273</v>
      </c>
      <c r="E102" s="484">
        <f>+E94+E95+E99</f>
        <v>170414273</v>
      </c>
      <c r="F102" s="484">
        <f>+F94+F95+F99</f>
        <v>0</v>
      </c>
      <c r="G102" s="484"/>
      <c r="H102" s="484">
        <f>+H94+H95+H99</f>
        <v>101087865</v>
      </c>
      <c r="I102" s="484">
        <f t="shared" ref="I102" si="127">+I94+I95+I99</f>
        <v>137661385</v>
      </c>
      <c r="J102" s="484">
        <f t="shared" ref="J102" si="128">+J94+J95+J99</f>
        <v>0</v>
      </c>
      <c r="K102" s="10"/>
      <c r="L102" s="612">
        <f t="shared" si="119"/>
        <v>0.60376196022218243</v>
      </c>
      <c r="M102" s="612">
        <f t="shared" si="120"/>
        <v>0.80780431460691093</v>
      </c>
      <c r="N102" s="612">
        <f t="shared" si="121"/>
        <v>0</v>
      </c>
      <c r="O102" s="10"/>
      <c r="P102" s="483">
        <f t="shared" si="122"/>
        <v>2984273</v>
      </c>
      <c r="Q102" s="483">
        <f t="shared" si="123"/>
        <v>0</v>
      </c>
      <c r="R102" s="483">
        <f t="shared" si="124"/>
        <v>0</v>
      </c>
      <c r="S102" s="483">
        <f t="shared" si="125"/>
        <v>2984273</v>
      </c>
      <c r="T102" s="282">
        <f t="shared" si="126"/>
        <v>1.7824004061398793E-2</v>
      </c>
      <c r="U102" s="120"/>
      <c r="V102" s="195">
        <f t="shared" si="118"/>
        <v>0</v>
      </c>
    </row>
    <row r="103" spans="1:22" x14ac:dyDescent="0.25">
      <c r="C103" s="98"/>
      <c r="D103" s="98"/>
      <c r="E103" s="98"/>
      <c r="F103" s="98"/>
      <c r="G103" s="98"/>
      <c r="H103" s="98"/>
      <c r="I103" s="98"/>
      <c r="J103" s="98"/>
      <c r="L103" s="613"/>
      <c r="M103" s="613"/>
      <c r="N103" s="613"/>
      <c r="P103" s="276"/>
      <c r="Q103" s="276"/>
      <c r="R103" s="276"/>
      <c r="S103" s="276"/>
      <c r="T103" s="122"/>
      <c r="U103" s="295"/>
    </row>
    <row r="104" spans="1:22" x14ac:dyDescent="0.25">
      <c r="C104" s="98">
        <f>+C89-C93-C95-C101</f>
        <v>165973266</v>
      </c>
      <c r="D104" s="98"/>
      <c r="E104" s="98"/>
      <c r="F104" s="98"/>
      <c r="G104" s="98"/>
      <c r="H104" s="98"/>
      <c r="I104" s="98"/>
      <c r="J104" s="98"/>
      <c r="L104" s="617"/>
      <c r="M104" s="617"/>
      <c r="N104" s="617"/>
      <c r="P104" s="276"/>
      <c r="Q104" s="276"/>
      <c r="R104" s="276"/>
      <c r="S104" s="276"/>
      <c r="T104" s="122"/>
      <c r="U104" s="295"/>
    </row>
    <row r="105" spans="1:22" x14ac:dyDescent="0.25">
      <c r="L105" s="615"/>
      <c r="M105" s="615"/>
      <c r="N105" s="615"/>
      <c r="P105" s="276"/>
      <c r="Q105" s="276"/>
      <c r="R105" s="276"/>
      <c r="S105" s="276"/>
      <c r="U105" s="9"/>
    </row>
    <row r="106" spans="1:22" x14ac:dyDescent="0.25">
      <c r="L106" s="615"/>
      <c r="M106" s="615"/>
      <c r="N106" s="615"/>
      <c r="P106" s="276"/>
      <c r="Q106" s="276"/>
      <c r="R106" s="276"/>
      <c r="S106" s="276"/>
      <c r="U106" s="9"/>
    </row>
    <row r="107" spans="1:22" x14ac:dyDescent="0.25">
      <c r="A107" s="566"/>
      <c r="B107" s="59" t="s">
        <v>472</v>
      </c>
      <c r="C107" s="575">
        <f>+'12_B11'!D7</f>
        <v>163516994</v>
      </c>
      <c r="D107" s="98">
        <f>+C107-C104</f>
        <v>-2456272</v>
      </c>
      <c r="L107" s="615"/>
      <c r="M107" s="615"/>
      <c r="N107" s="615"/>
      <c r="P107" s="276"/>
      <c r="Q107" s="276"/>
      <c r="R107" s="276"/>
      <c r="S107" s="276"/>
      <c r="U107" s="9"/>
    </row>
    <row r="108" spans="1:22" x14ac:dyDescent="0.25">
      <c r="L108" s="615"/>
      <c r="M108" s="615"/>
      <c r="N108" s="615"/>
      <c r="P108" s="276"/>
      <c r="Q108" s="276"/>
      <c r="R108" s="276"/>
      <c r="S108" s="276"/>
      <c r="U108" s="9"/>
    </row>
    <row r="109" spans="1:22" x14ac:dyDescent="0.25">
      <c r="L109" s="615"/>
      <c r="M109" s="615"/>
      <c r="N109" s="615"/>
      <c r="P109" s="276"/>
      <c r="Q109" s="276"/>
      <c r="R109" s="276"/>
      <c r="S109" s="276"/>
    </row>
    <row r="110" spans="1:22" x14ac:dyDescent="0.25">
      <c r="L110" s="615"/>
      <c r="M110" s="615"/>
      <c r="N110" s="615"/>
      <c r="P110" s="276"/>
      <c r="Q110" s="276"/>
      <c r="R110" s="276"/>
      <c r="S110" s="276"/>
    </row>
    <row r="111" spans="1:22" x14ac:dyDescent="0.25">
      <c r="L111" s="615"/>
      <c r="M111" s="615"/>
      <c r="N111" s="615"/>
      <c r="P111" s="276"/>
      <c r="Q111" s="276"/>
      <c r="R111" s="276"/>
      <c r="S111" s="276"/>
      <c r="U111" s="2"/>
    </row>
    <row r="112" spans="1:22" x14ac:dyDescent="0.25">
      <c r="P112" s="276"/>
      <c r="Q112" s="276"/>
      <c r="R112" s="276"/>
      <c r="S112" s="276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3" fitToHeight="0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8"/>
  <sheetViews>
    <sheetView view="pageBreakPreview" zoomScaleNormal="65" zoomScaleSheetLayoutView="100" workbookViewId="0">
      <selection activeCell="B3" sqref="B3"/>
    </sheetView>
  </sheetViews>
  <sheetFormatPr defaultRowHeight="12.75" customHeight="1" x14ac:dyDescent="0.25"/>
  <cols>
    <col min="1" max="1" width="7.44140625" style="13" customWidth="1"/>
    <col min="2" max="2" width="55.44140625" style="13" customWidth="1"/>
    <col min="3" max="5" width="15.5546875" style="13" customWidth="1"/>
    <col min="6" max="6" width="14.109375" style="13" customWidth="1"/>
    <col min="7" max="7" width="0.6640625" style="13" customWidth="1"/>
    <col min="8" max="9" width="15.5546875" style="13" customWidth="1"/>
    <col min="10" max="10" width="13.77734375" style="13" customWidth="1"/>
    <col min="11" max="11" width="0.6640625" style="13" customWidth="1"/>
    <col min="12" max="12" width="12.6640625" style="13" customWidth="1"/>
    <col min="13" max="13" width="11.77734375" style="13" customWidth="1"/>
    <col min="14" max="14" width="12.21875" style="13" customWidth="1"/>
    <col min="15" max="15" width="0.6640625" style="13" customWidth="1"/>
    <col min="16" max="17" width="14.5546875" style="13" customWidth="1"/>
    <col min="18" max="18" width="14.77734375" style="13" customWidth="1"/>
    <col min="19" max="19" width="15.5546875" style="13" customWidth="1"/>
    <col min="21" max="21" width="1.5546875" customWidth="1"/>
    <col min="22" max="22" width="4.5546875" customWidth="1"/>
  </cols>
  <sheetData>
    <row r="1" spans="1:26" ht="24.6" x14ac:dyDescent="0.4">
      <c r="A1" s="228" t="s">
        <v>417</v>
      </c>
      <c r="B1" s="227"/>
      <c r="C1" s="227"/>
      <c r="D1" s="227"/>
      <c r="E1" s="769"/>
      <c r="F1" s="227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ht="13.2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ht="13.2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ht="13.2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267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93957000</v>
      </c>
      <c r="D5" s="250">
        <f t="shared" ref="D5:E5" si="0">+D89</f>
        <v>93957000</v>
      </c>
      <c r="E5" s="250">
        <f t="shared" si="0"/>
        <v>95957000</v>
      </c>
      <c r="F5" s="250">
        <f>+F89</f>
        <v>0</v>
      </c>
      <c r="G5" s="250"/>
      <c r="H5" s="250">
        <f>+H89</f>
        <v>45089842</v>
      </c>
      <c r="I5" s="250">
        <f t="shared" ref="I5:J5" si="1">+I89</f>
        <v>70236071</v>
      </c>
      <c r="J5" s="250">
        <f t="shared" si="1"/>
        <v>0</v>
      </c>
      <c r="K5" s="89"/>
      <c r="L5" s="651">
        <f t="shared" ref="L5:N6" si="2">IF(H5&gt;0,H5/C5,0)</f>
        <v>0.47989869834073035</v>
      </c>
      <c r="M5" s="651">
        <f t="shared" si="2"/>
        <v>0.74753420181572416</v>
      </c>
      <c r="N5" s="651">
        <f t="shared" si="2"/>
        <v>0</v>
      </c>
      <c r="O5" s="651"/>
      <c r="P5" s="250">
        <f>+P89</f>
        <v>0</v>
      </c>
      <c r="Q5" s="250">
        <f>+Q89</f>
        <v>2000000</v>
      </c>
      <c r="R5" s="250">
        <f>+R89</f>
        <v>0</v>
      </c>
      <c r="S5" s="250">
        <f>+S89</f>
        <v>2000000</v>
      </c>
      <c r="T5" s="133">
        <f>IF(C5=0,0,+S5/C5)</f>
        <v>2.1286333109826836E-2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93957000</v>
      </c>
      <c r="D6" s="252">
        <f t="shared" ref="D6:F6" si="4">+D102</f>
        <v>93957000</v>
      </c>
      <c r="E6" s="252">
        <f t="shared" si="4"/>
        <v>95957000</v>
      </c>
      <c r="F6" s="252">
        <f t="shared" si="4"/>
        <v>0</v>
      </c>
      <c r="G6" s="252"/>
      <c r="H6" s="252">
        <f t="shared" ref="H6:J6" si="5">+H102</f>
        <v>48449408</v>
      </c>
      <c r="I6" s="252">
        <f t="shared" si="5"/>
        <v>73879268</v>
      </c>
      <c r="J6" s="252">
        <f t="shared" si="5"/>
        <v>0</v>
      </c>
      <c r="K6" s="67"/>
      <c r="L6" s="651">
        <f t="shared" si="2"/>
        <v>0.51565511883095461</v>
      </c>
      <c r="M6" s="651">
        <f t="shared" si="2"/>
        <v>0.7863093542790851</v>
      </c>
      <c r="N6" s="651">
        <f t="shared" si="2"/>
        <v>0</v>
      </c>
      <c r="O6" s="651"/>
      <c r="P6" s="252">
        <f t="shared" ref="P6:S6" si="6">+P102</f>
        <v>0</v>
      </c>
      <c r="Q6" s="252">
        <f t="shared" si="6"/>
        <v>2000000</v>
      </c>
      <c r="R6" s="252">
        <f t="shared" si="6"/>
        <v>0</v>
      </c>
      <c r="S6" s="252">
        <f t="shared" si="6"/>
        <v>2000000</v>
      </c>
      <c r="T6" s="31">
        <f>IF(C6=0,0,+S6/C6)</f>
        <v>2.1286333109826836E-2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405</v>
      </c>
      <c r="C7" s="252">
        <f>+C6-C5</f>
        <v>0</v>
      </c>
      <c r="D7" s="252">
        <f t="shared" ref="D7:H7" si="7">+D6-D5</f>
        <v>0</v>
      </c>
      <c r="E7" s="252">
        <f t="shared" si="7"/>
        <v>0</v>
      </c>
      <c r="F7" s="252">
        <f t="shared" si="7"/>
        <v>0</v>
      </c>
      <c r="G7" s="252"/>
      <c r="H7" s="252">
        <f t="shared" si="7"/>
        <v>3359566</v>
      </c>
      <c r="I7" s="252">
        <f>+I6-I5</f>
        <v>3643197</v>
      </c>
      <c r="J7" s="252">
        <f t="shared" ref="J7" si="8">+J6-J5</f>
        <v>0</v>
      </c>
      <c r="K7" s="67"/>
      <c r="L7" s="651"/>
      <c r="M7" s="651"/>
      <c r="N7" s="651"/>
      <c r="O7" s="651"/>
      <c r="P7" s="252">
        <f t="shared" ref="P7:S7" si="9">+P6-P5</f>
        <v>0</v>
      </c>
      <c r="Q7" s="252">
        <f t="shared" si="9"/>
        <v>0</v>
      </c>
      <c r="R7" s="252">
        <f t="shared" si="9"/>
        <v>0</v>
      </c>
      <c r="S7" s="252">
        <f t="shared" si="9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ht="13.2" x14ac:dyDescent="0.25">
      <c r="A8" s="235"/>
      <c r="B8" s="236"/>
      <c r="C8" s="621"/>
      <c r="D8" s="622"/>
      <c r="E8" s="622"/>
      <c r="F8" s="622"/>
      <c r="G8" s="623"/>
      <c r="H8" s="623"/>
      <c r="I8" s="623"/>
      <c r="J8" s="623"/>
      <c r="K8" s="623"/>
      <c r="L8" s="137"/>
      <c r="M8" s="137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17" t="s">
        <v>404</v>
      </c>
      <c r="D9" s="925"/>
      <c r="E9" s="925"/>
      <c r="F9" s="926"/>
      <c r="G9" s="154"/>
      <c r="H9" s="917" t="s">
        <v>403</v>
      </c>
      <c r="I9" s="925"/>
      <c r="J9" s="925"/>
      <c r="K9" s="925"/>
      <c r="L9" s="925"/>
      <c r="M9" s="925"/>
      <c r="N9" s="926"/>
      <c r="O9" s="154"/>
      <c r="P9" s="917" t="s">
        <v>400</v>
      </c>
      <c r="Q9" s="925"/>
      <c r="R9" s="925"/>
      <c r="S9" s="925"/>
      <c r="T9" s="926"/>
      <c r="U9" s="199"/>
      <c r="V9" s="195"/>
      <c r="W9" s="122"/>
      <c r="X9" s="122"/>
    </row>
    <row r="10" spans="1:26" ht="13.2" x14ac:dyDescent="0.25">
      <c r="A10" s="268"/>
      <c r="B10" s="267"/>
      <c r="C10" s="233"/>
      <c r="D10" s="88"/>
      <c r="E10" s="88"/>
      <c r="F10" s="234"/>
      <c r="G10" s="134"/>
      <c r="H10" s="914" t="s">
        <v>413</v>
      </c>
      <c r="I10" s="927"/>
      <c r="J10" s="928"/>
      <c r="K10" s="134"/>
      <c r="L10" s="914" t="s">
        <v>412</v>
      </c>
      <c r="M10" s="927"/>
      <c r="N10" s="928"/>
      <c r="O10" s="135"/>
      <c r="P10" s="128">
        <f>+'3. Önk. Kiadások'!P8</f>
        <v>1</v>
      </c>
      <c r="Q10" s="128">
        <f>+'3. Önk. Kiadások'!Q8</f>
        <v>1</v>
      </c>
      <c r="R10" s="128">
        <f>+'3. Önk. Kiadások'!R8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6" ht="13.2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618"/>
      <c r="M12" s="618"/>
      <c r="N12" s="618"/>
      <c r="O12" s="68"/>
      <c r="P12" s="68"/>
      <c r="Q12" s="68"/>
      <c r="R12" s="68"/>
      <c r="S12" s="68"/>
      <c r="T12" s="68"/>
      <c r="U12" s="68"/>
      <c r="V12" s="255"/>
    </row>
    <row r="13" spans="1:26" ht="12.75" customHeight="1" x14ac:dyDescent="0.25">
      <c r="A13" s="7" t="s">
        <v>0</v>
      </c>
      <c r="B13" s="5" t="s">
        <v>3</v>
      </c>
      <c r="C13" s="271">
        <f>SUM(C14:C28)</f>
        <v>70787000</v>
      </c>
      <c r="D13" s="271">
        <f t="shared" ref="D13:K13" si="10">SUM(D14:D28)</f>
        <v>70787000</v>
      </c>
      <c r="E13" s="271">
        <f t="shared" si="10"/>
        <v>70787000</v>
      </c>
      <c r="F13" s="271">
        <f t="shared" si="10"/>
        <v>0</v>
      </c>
      <c r="G13" s="271"/>
      <c r="H13" s="271">
        <f t="shared" si="10"/>
        <v>33440240</v>
      </c>
      <c r="I13" s="271">
        <f t="shared" si="10"/>
        <v>52226930</v>
      </c>
      <c r="J13" s="271">
        <f t="shared" si="10"/>
        <v>0</v>
      </c>
      <c r="K13" s="271">
        <f t="shared" si="10"/>
        <v>0</v>
      </c>
      <c r="L13" s="600">
        <f t="shared" ref="L13:L27" si="11">IF(H13&gt;0,H13/C13,0)</f>
        <v>0.47240651532060973</v>
      </c>
      <c r="M13" s="600">
        <f t="shared" ref="M13:M27" si="12">IF(I13&gt;0,I13/D13,0)</f>
        <v>0.73780397530620034</v>
      </c>
      <c r="N13" s="600">
        <f t="shared" ref="N13:N27" si="13">IF(J13&gt;0,J13/E13,0)</f>
        <v>0</v>
      </c>
      <c r="O13" s="271"/>
      <c r="P13" s="271">
        <f t="shared" ref="P13:P27" si="14">+(D13-C13)*P$10</f>
        <v>0</v>
      </c>
      <c r="Q13" s="271">
        <f t="shared" ref="Q13:Q27" si="15">+(E13-D13)*Q$10</f>
        <v>0</v>
      </c>
      <c r="R13" s="271">
        <f t="shared" ref="R13:R27" si="16">+(F13-E13)*R$10</f>
        <v>0</v>
      </c>
      <c r="S13" s="271">
        <f>+P13*P$10+Q13*Q$10+R13*R$10</f>
        <v>0</v>
      </c>
      <c r="T13" s="282">
        <f t="shared" ref="T13:T14" si="17">IF(C13=0,0,+S13/C13)</f>
        <v>0</v>
      </c>
      <c r="U13" s="120"/>
      <c r="V13" s="195">
        <f t="shared" ref="V13:V14" si="18">+S13-E13+C13</f>
        <v>0</v>
      </c>
    </row>
    <row r="14" spans="1:26" ht="12.75" customHeight="1" x14ac:dyDescent="0.25">
      <c r="A14" s="14" t="s">
        <v>1</v>
      </c>
      <c r="B14" s="20"/>
      <c r="C14" s="272"/>
      <c r="D14" s="272"/>
      <c r="E14" s="272"/>
      <c r="F14" s="272"/>
      <c r="G14" s="272"/>
      <c r="H14" s="273"/>
      <c r="I14" s="273"/>
      <c r="J14" s="273"/>
      <c r="K14" s="272"/>
      <c r="L14" s="603">
        <f t="shared" si="11"/>
        <v>0</v>
      </c>
      <c r="M14" s="603">
        <f t="shared" si="12"/>
        <v>0</v>
      </c>
      <c r="N14" s="603">
        <f t="shared" si="13"/>
        <v>0</v>
      </c>
      <c r="O14" s="272"/>
      <c r="P14" s="81">
        <f t="shared" si="14"/>
        <v>0</v>
      </c>
      <c r="Q14" s="81">
        <f t="shared" si="15"/>
        <v>0</v>
      </c>
      <c r="R14" s="81">
        <f t="shared" si="16"/>
        <v>0</v>
      </c>
      <c r="S14" s="81">
        <f t="shared" ref="S14:S30" si="19">+P14*P$10+Q14*Q$10+R14*R$10</f>
        <v>0</v>
      </c>
      <c r="T14" s="281">
        <f t="shared" si="17"/>
        <v>0</v>
      </c>
      <c r="U14" s="120"/>
      <c r="V14" s="195">
        <f t="shared" si="18"/>
        <v>0</v>
      </c>
    </row>
    <row r="15" spans="1:26" ht="12.75" customHeight="1" x14ac:dyDescent="0.25">
      <c r="A15" s="14" t="s">
        <v>2</v>
      </c>
      <c r="B15" s="482" t="s">
        <v>357</v>
      </c>
      <c r="C15" s="272">
        <v>68000000</v>
      </c>
      <c r="D15" s="272">
        <v>68000000</v>
      </c>
      <c r="E15" s="272">
        <v>66910000</v>
      </c>
      <c r="F15" s="272"/>
      <c r="G15" s="272"/>
      <c r="H15" s="273">
        <v>31339884</v>
      </c>
      <c r="I15" s="273">
        <v>49106449</v>
      </c>
      <c r="J15" s="273"/>
      <c r="K15" s="272"/>
      <c r="L15" s="603">
        <f t="shared" si="11"/>
        <v>0.46088064705882353</v>
      </c>
      <c r="M15" s="603">
        <f t="shared" si="12"/>
        <v>0.72215366176470586</v>
      </c>
      <c r="N15" s="603">
        <f t="shared" si="13"/>
        <v>0</v>
      </c>
      <c r="O15" s="272"/>
      <c r="P15" s="81">
        <f t="shared" si="14"/>
        <v>0</v>
      </c>
      <c r="Q15" s="81">
        <f t="shared" si="15"/>
        <v>-1090000</v>
      </c>
      <c r="R15" s="81">
        <f t="shared" si="16"/>
        <v>0</v>
      </c>
      <c r="S15" s="81">
        <f t="shared" si="19"/>
        <v>-1090000</v>
      </c>
      <c r="T15" s="281">
        <f t="shared" ref="T15:T27" si="20">IF(C15=0,0,+S15/C15)</f>
        <v>-1.6029411764705882E-2</v>
      </c>
      <c r="U15" s="120"/>
      <c r="V15" s="195">
        <f t="shared" ref="V15:V27" si="21">+S15-E15+C15</f>
        <v>0</v>
      </c>
    </row>
    <row r="16" spans="1:26" ht="26.4" x14ac:dyDescent="0.25">
      <c r="A16" s="482" t="s">
        <v>578</v>
      </c>
      <c r="B16" s="20" t="s">
        <v>375</v>
      </c>
      <c r="C16" s="272">
        <v>937000</v>
      </c>
      <c r="D16" s="272">
        <v>937000</v>
      </c>
      <c r="E16" s="272">
        <f>700000+327000</f>
        <v>1027000</v>
      </c>
      <c r="F16" s="272"/>
      <c r="G16" s="272"/>
      <c r="H16" s="273">
        <f>456850+201215</f>
        <v>658065</v>
      </c>
      <c r="I16" s="273">
        <f>456850+312048</f>
        <v>768898</v>
      </c>
      <c r="J16" s="273"/>
      <c r="K16" s="272"/>
      <c r="L16" s="603">
        <f t="shared" si="11"/>
        <v>0.70231056563500538</v>
      </c>
      <c r="M16" s="603">
        <f t="shared" si="12"/>
        <v>0.82059551760939164</v>
      </c>
      <c r="N16" s="603">
        <f t="shared" si="13"/>
        <v>0</v>
      </c>
      <c r="O16" s="272"/>
      <c r="P16" s="81">
        <f t="shared" si="14"/>
        <v>0</v>
      </c>
      <c r="Q16" s="81">
        <f t="shared" si="15"/>
        <v>90000</v>
      </c>
      <c r="R16" s="81">
        <f t="shared" si="16"/>
        <v>0</v>
      </c>
      <c r="S16" s="81">
        <f t="shared" si="19"/>
        <v>90000</v>
      </c>
      <c r="T16" s="281">
        <f t="shared" si="20"/>
        <v>9.6051227321237997E-2</v>
      </c>
      <c r="U16" s="120"/>
      <c r="V16" s="195">
        <f t="shared" si="21"/>
        <v>0</v>
      </c>
    </row>
    <row r="17" spans="1:22" ht="12.75" customHeight="1" x14ac:dyDescent="0.25">
      <c r="A17" s="14" t="s">
        <v>13</v>
      </c>
      <c r="B17" s="20" t="s">
        <v>374</v>
      </c>
      <c r="C17" s="272">
        <v>0</v>
      </c>
      <c r="D17" s="272">
        <v>0</v>
      </c>
      <c r="E17" s="272">
        <v>0</v>
      </c>
      <c r="F17" s="272"/>
      <c r="G17" s="272"/>
      <c r="H17" s="273">
        <v>0</v>
      </c>
      <c r="I17" s="273">
        <v>0</v>
      </c>
      <c r="J17" s="273"/>
      <c r="K17" s="272"/>
      <c r="L17" s="603">
        <f t="shared" si="11"/>
        <v>0</v>
      </c>
      <c r="M17" s="603">
        <f t="shared" si="12"/>
        <v>0</v>
      </c>
      <c r="N17" s="603">
        <f t="shared" si="13"/>
        <v>0</v>
      </c>
      <c r="O17" s="272"/>
      <c r="P17" s="81">
        <f t="shared" si="14"/>
        <v>0</v>
      </c>
      <c r="Q17" s="81">
        <f t="shared" si="15"/>
        <v>0</v>
      </c>
      <c r="R17" s="81">
        <f t="shared" si="16"/>
        <v>0</v>
      </c>
      <c r="S17" s="81">
        <f t="shared" si="19"/>
        <v>0</v>
      </c>
      <c r="T17" s="281">
        <f t="shared" si="20"/>
        <v>0</v>
      </c>
      <c r="U17" s="120"/>
      <c r="V17" s="195">
        <f t="shared" si="21"/>
        <v>0</v>
      </c>
    </row>
    <row r="18" spans="1:22" ht="12.75" customHeight="1" x14ac:dyDescent="0.25">
      <c r="A18" s="529" t="s">
        <v>380</v>
      </c>
      <c r="B18" s="20" t="s">
        <v>6</v>
      </c>
      <c r="C18" s="272"/>
      <c r="D18" s="272"/>
      <c r="E18" s="272"/>
      <c r="F18" s="272"/>
      <c r="G18" s="272"/>
      <c r="H18" s="273"/>
      <c r="I18" s="273"/>
      <c r="J18" s="273"/>
      <c r="K18" s="272"/>
      <c r="L18" s="603">
        <f t="shared" si="11"/>
        <v>0</v>
      </c>
      <c r="M18" s="603">
        <f t="shared" si="12"/>
        <v>0</v>
      </c>
      <c r="N18" s="603">
        <f t="shared" si="13"/>
        <v>0</v>
      </c>
      <c r="O18" s="272"/>
      <c r="P18" s="81">
        <f t="shared" si="14"/>
        <v>0</v>
      </c>
      <c r="Q18" s="81">
        <f t="shared" si="15"/>
        <v>0</v>
      </c>
      <c r="R18" s="81">
        <f t="shared" si="16"/>
        <v>0</v>
      </c>
      <c r="S18" s="81">
        <f t="shared" si="19"/>
        <v>0</v>
      </c>
      <c r="T18" s="281">
        <f t="shared" si="20"/>
        <v>0</v>
      </c>
      <c r="U18" s="120"/>
      <c r="V18" s="195">
        <f t="shared" si="21"/>
        <v>0</v>
      </c>
    </row>
    <row r="19" spans="1:22" ht="12.75" customHeight="1" x14ac:dyDescent="0.25">
      <c r="A19" s="14" t="s">
        <v>14</v>
      </c>
      <c r="B19" s="20" t="s">
        <v>7</v>
      </c>
      <c r="C19" s="272">
        <v>0</v>
      </c>
      <c r="D19" s="272">
        <v>0</v>
      </c>
      <c r="E19" s="272">
        <v>0</v>
      </c>
      <c r="F19" s="272"/>
      <c r="G19" s="272"/>
      <c r="H19" s="272">
        <v>0</v>
      </c>
      <c r="I19" s="272">
        <v>0</v>
      </c>
      <c r="J19" s="272"/>
      <c r="K19" s="272"/>
      <c r="L19" s="603">
        <f t="shared" si="11"/>
        <v>0</v>
      </c>
      <c r="M19" s="603">
        <f t="shared" si="12"/>
        <v>0</v>
      </c>
      <c r="N19" s="603">
        <f t="shared" si="13"/>
        <v>0</v>
      </c>
      <c r="O19" s="272"/>
      <c r="P19" s="81">
        <f t="shared" si="14"/>
        <v>0</v>
      </c>
      <c r="Q19" s="81">
        <f t="shared" si="15"/>
        <v>0</v>
      </c>
      <c r="R19" s="81">
        <f t="shared" si="16"/>
        <v>0</v>
      </c>
      <c r="S19" s="81">
        <f t="shared" si="19"/>
        <v>0</v>
      </c>
      <c r="T19" s="281">
        <f t="shared" si="20"/>
        <v>0</v>
      </c>
      <c r="U19" s="120"/>
      <c r="V19" s="195">
        <f t="shared" si="21"/>
        <v>0</v>
      </c>
    </row>
    <row r="20" spans="1:22" ht="12.75" customHeight="1" x14ac:dyDescent="0.25">
      <c r="A20" s="14" t="s">
        <v>15</v>
      </c>
      <c r="B20" s="20" t="s">
        <v>8</v>
      </c>
      <c r="C20" s="272">
        <v>0</v>
      </c>
      <c r="D20" s="272">
        <v>0</v>
      </c>
      <c r="E20" s="272">
        <v>0</v>
      </c>
      <c r="F20" s="272"/>
      <c r="G20" s="272"/>
      <c r="H20" s="273">
        <v>0</v>
      </c>
      <c r="I20" s="273">
        <v>0</v>
      </c>
      <c r="J20" s="273"/>
      <c r="K20" s="272"/>
      <c r="L20" s="603">
        <f t="shared" si="11"/>
        <v>0</v>
      </c>
      <c r="M20" s="603">
        <f t="shared" si="12"/>
        <v>0</v>
      </c>
      <c r="N20" s="603">
        <f t="shared" si="13"/>
        <v>0</v>
      </c>
      <c r="O20" s="272"/>
      <c r="P20" s="81">
        <f t="shared" si="14"/>
        <v>0</v>
      </c>
      <c r="Q20" s="81">
        <f t="shared" si="15"/>
        <v>0</v>
      </c>
      <c r="R20" s="81">
        <f t="shared" si="16"/>
        <v>0</v>
      </c>
      <c r="S20" s="81">
        <f t="shared" si="19"/>
        <v>0</v>
      </c>
      <c r="T20" s="281">
        <f t="shared" si="20"/>
        <v>0</v>
      </c>
      <c r="U20" s="120"/>
      <c r="V20" s="195">
        <f t="shared" si="21"/>
        <v>0</v>
      </c>
    </row>
    <row r="21" spans="1:22" ht="12.75" customHeight="1" x14ac:dyDescent="0.25">
      <c r="A21" s="14" t="s">
        <v>16</v>
      </c>
      <c r="B21" s="20" t="s">
        <v>9</v>
      </c>
      <c r="C21" s="272">
        <v>250000</v>
      </c>
      <c r="D21" s="272">
        <v>250000</v>
      </c>
      <c r="E21" s="272">
        <v>250000</v>
      </c>
      <c r="F21" s="272"/>
      <c r="G21" s="272"/>
      <c r="H21" s="273">
        <v>30425</v>
      </c>
      <c r="I21" s="273">
        <v>48840</v>
      </c>
      <c r="J21" s="273"/>
      <c r="K21" s="272"/>
      <c r="L21" s="603">
        <f t="shared" si="11"/>
        <v>0.1217</v>
      </c>
      <c r="M21" s="603">
        <f t="shared" si="12"/>
        <v>0.19536000000000001</v>
      </c>
      <c r="N21" s="603">
        <f t="shared" si="13"/>
        <v>0</v>
      </c>
      <c r="O21" s="272"/>
      <c r="P21" s="81">
        <f t="shared" si="14"/>
        <v>0</v>
      </c>
      <c r="Q21" s="81">
        <f t="shared" si="15"/>
        <v>0</v>
      </c>
      <c r="R21" s="81">
        <f t="shared" si="16"/>
        <v>0</v>
      </c>
      <c r="S21" s="81">
        <f t="shared" si="19"/>
        <v>0</v>
      </c>
      <c r="T21" s="281">
        <f t="shared" si="20"/>
        <v>0</v>
      </c>
      <c r="U21" s="120"/>
      <c r="V21" s="195">
        <f t="shared" si="21"/>
        <v>0</v>
      </c>
    </row>
    <row r="22" spans="1:22" ht="12.75" customHeight="1" x14ac:dyDescent="0.25">
      <c r="A22" s="14" t="s">
        <v>17</v>
      </c>
      <c r="B22" s="20" t="s">
        <v>10</v>
      </c>
      <c r="C22" s="272"/>
      <c r="D22" s="272"/>
      <c r="E22" s="272"/>
      <c r="F22" s="272"/>
      <c r="G22" s="272"/>
      <c r="H22" s="273"/>
      <c r="I22" s="273"/>
      <c r="J22" s="273"/>
      <c r="K22" s="272"/>
      <c r="L22" s="603">
        <f t="shared" si="11"/>
        <v>0</v>
      </c>
      <c r="M22" s="603">
        <f t="shared" si="12"/>
        <v>0</v>
      </c>
      <c r="N22" s="603">
        <f t="shared" si="13"/>
        <v>0</v>
      </c>
      <c r="O22" s="272"/>
      <c r="P22" s="81">
        <f t="shared" si="14"/>
        <v>0</v>
      </c>
      <c r="Q22" s="81">
        <f t="shared" si="15"/>
        <v>0</v>
      </c>
      <c r="R22" s="81">
        <f t="shared" si="16"/>
        <v>0</v>
      </c>
      <c r="S22" s="81">
        <f t="shared" si="19"/>
        <v>0</v>
      </c>
      <c r="T22" s="281">
        <f t="shared" si="20"/>
        <v>0</v>
      </c>
      <c r="U22" s="120"/>
      <c r="V22" s="195">
        <f t="shared" si="21"/>
        <v>0</v>
      </c>
    </row>
    <row r="23" spans="1:22" ht="12.75" customHeight="1" x14ac:dyDescent="0.25">
      <c r="A23" s="14" t="s">
        <v>18</v>
      </c>
      <c r="B23" s="20" t="s">
        <v>11</v>
      </c>
      <c r="C23" s="272">
        <v>1360000</v>
      </c>
      <c r="D23" s="272">
        <v>1360000</v>
      </c>
      <c r="E23" s="272">
        <v>2360000</v>
      </c>
      <c r="F23" s="272"/>
      <c r="G23" s="272"/>
      <c r="H23" s="273">
        <v>1291866</v>
      </c>
      <c r="I23" s="273">
        <v>2122743</v>
      </c>
      <c r="J23" s="273"/>
      <c r="K23" s="272"/>
      <c r="L23" s="603">
        <f t="shared" si="11"/>
        <v>0.94990147058823526</v>
      </c>
      <c r="M23" s="603">
        <f t="shared" si="12"/>
        <v>1.5608404411764707</v>
      </c>
      <c r="N23" s="603">
        <f t="shared" si="13"/>
        <v>0</v>
      </c>
      <c r="O23" s="272"/>
      <c r="P23" s="81">
        <f t="shared" si="14"/>
        <v>0</v>
      </c>
      <c r="Q23" s="81">
        <f t="shared" si="15"/>
        <v>1000000</v>
      </c>
      <c r="R23" s="81">
        <f t="shared" si="16"/>
        <v>0</v>
      </c>
      <c r="S23" s="81">
        <f t="shared" si="19"/>
        <v>1000000</v>
      </c>
      <c r="T23" s="281">
        <f t="shared" si="20"/>
        <v>0.73529411764705888</v>
      </c>
      <c r="U23" s="120"/>
      <c r="V23" s="195">
        <f t="shared" si="21"/>
        <v>0</v>
      </c>
    </row>
    <row r="24" spans="1:22" ht="12.75" customHeight="1" x14ac:dyDescent="0.25">
      <c r="A24" s="14" t="s">
        <v>19</v>
      </c>
      <c r="B24" s="20"/>
      <c r="C24" s="272"/>
      <c r="D24" s="272"/>
      <c r="E24" s="272"/>
      <c r="F24" s="272"/>
      <c r="G24" s="272"/>
      <c r="H24" s="273"/>
      <c r="I24" s="273"/>
      <c r="J24" s="273"/>
      <c r="K24" s="272"/>
      <c r="L24" s="603">
        <f t="shared" si="11"/>
        <v>0</v>
      </c>
      <c r="M24" s="603">
        <f t="shared" si="12"/>
        <v>0</v>
      </c>
      <c r="N24" s="603">
        <f t="shared" si="13"/>
        <v>0</v>
      </c>
      <c r="O24" s="272"/>
      <c r="P24" s="81">
        <f t="shared" si="14"/>
        <v>0</v>
      </c>
      <c r="Q24" s="81">
        <f t="shared" si="15"/>
        <v>0</v>
      </c>
      <c r="R24" s="81">
        <f t="shared" si="16"/>
        <v>0</v>
      </c>
      <c r="S24" s="81">
        <f t="shared" si="19"/>
        <v>0</v>
      </c>
      <c r="T24" s="281">
        <f t="shared" si="20"/>
        <v>0</v>
      </c>
      <c r="U24" s="120"/>
      <c r="V24" s="195">
        <f t="shared" si="21"/>
        <v>0</v>
      </c>
    </row>
    <row r="25" spans="1:22" ht="12.75" customHeight="1" x14ac:dyDescent="0.25">
      <c r="A25" s="14" t="s">
        <v>20</v>
      </c>
      <c r="B25" s="20" t="s">
        <v>21</v>
      </c>
      <c r="C25" s="272">
        <v>0</v>
      </c>
      <c r="D25" s="272">
        <v>0</v>
      </c>
      <c r="E25" s="272">
        <v>0</v>
      </c>
      <c r="F25" s="272"/>
      <c r="G25" s="272"/>
      <c r="H25" s="273">
        <v>0</v>
      </c>
      <c r="I25" s="273">
        <v>0</v>
      </c>
      <c r="J25" s="273"/>
      <c r="K25" s="272"/>
      <c r="L25" s="603">
        <f t="shared" si="11"/>
        <v>0</v>
      </c>
      <c r="M25" s="603">
        <f t="shared" si="12"/>
        <v>0</v>
      </c>
      <c r="N25" s="603">
        <f t="shared" si="13"/>
        <v>0</v>
      </c>
      <c r="O25" s="272"/>
      <c r="P25" s="81">
        <f t="shared" si="14"/>
        <v>0</v>
      </c>
      <c r="Q25" s="81">
        <f t="shared" si="15"/>
        <v>0</v>
      </c>
      <c r="R25" s="81">
        <f t="shared" si="16"/>
        <v>0</v>
      </c>
      <c r="S25" s="81">
        <f t="shared" si="19"/>
        <v>0</v>
      </c>
      <c r="T25" s="281">
        <f t="shared" si="20"/>
        <v>0</v>
      </c>
      <c r="U25" s="120"/>
      <c r="V25" s="195">
        <f t="shared" si="21"/>
        <v>0</v>
      </c>
    </row>
    <row r="26" spans="1:22" ht="12.75" customHeight="1" x14ac:dyDescent="0.25">
      <c r="A26" s="14" t="s">
        <v>22</v>
      </c>
      <c r="B26" s="20" t="s">
        <v>23</v>
      </c>
      <c r="C26" s="577">
        <f>20000*12</f>
        <v>240000</v>
      </c>
      <c r="D26" s="272">
        <v>240000</v>
      </c>
      <c r="E26" s="272">
        <v>240000</v>
      </c>
      <c r="F26" s="272"/>
      <c r="G26" s="272"/>
      <c r="H26" s="273">
        <v>120000</v>
      </c>
      <c r="I26" s="273">
        <v>180000</v>
      </c>
      <c r="J26" s="273"/>
      <c r="K26" s="272"/>
      <c r="L26" s="603">
        <f t="shared" si="11"/>
        <v>0.5</v>
      </c>
      <c r="M26" s="603">
        <f t="shared" si="12"/>
        <v>0.75</v>
      </c>
      <c r="N26" s="603">
        <f t="shared" si="13"/>
        <v>0</v>
      </c>
      <c r="O26" s="272"/>
      <c r="P26" s="81">
        <f t="shared" si="14"/>
        <v>0</v>
      </c>
      <c r="Q26" s="81">
        <f t="shared" si="15"/>
        <v>0</v>
      </c>
      <c r="R26" s="81">
        <f t="shared" si="16"/>
        <v>0</v>
      </c>
      <c r="S26" s="81">
        <f t="shared" si="19"/>
        <v>0</v>
      </c>
      <c r="T26" s="281">
        <f t="shared" si="20"/>
        <v>0</v>
      </c>
      <c r="U26" s="120"/>
      <c r="V26" s="195">
        <f t="shared" si="21"/>
        <v>0</v>
      </c>
    </row>
    <row r="27" spans="1:22" ht="12.75" customHeight="1" x14ac:dyDescent="0.25">
      <c r="A27" s="14" t="s">
        <v>24</v>
      </c>
      <c r="B27" s="20" t="s">
        <v>25</v>
      </c>
      <c r="C27" s="272">
        <v>0</v>
      </c>
      <c r="D27" s="272">
        <v>0</v>
      </c>
      <c r="E27" s="272">
        <v>0</v>
      </c>
      <c r="F27" s="272"/>
      <c r="G27" s="272"/>
      <c r="H27" s="273">
        <v>0</v>
      </c>
      <c r="I27" s="273">
        <v>0</v>
      </c>
      <c r="J27" s="273"/>
      <c r="K27" s="272"/>
      <c r="L27" s="603">
        <f t="shared" si="11"/>
        <v>0</v>
      </c>
      <c r="M27" s="603">
        <f t="shared" si="12"/>
        <v>0</v>
      </c>
      <c r="N27" s="603">
        <f t="shared" si="13"/>
        <v>0</v>
      </c>
      <c r="O27" s="272"/>
      <c r="P27" s="81">
        <f t="shared" si="14"/>
        <v>0</v>
      </c>
      <c r="Q27" s="81">
        <f t="shared" si="15"/>
        <v>0</v>
      </c>
      <c r="R27" s="81">
        <f t="shared" si="16"/>
        <v>0</v>
      </c>
      <c r="S27" s="81">
        <f t="shared" si="19"/>
        <v>0</v>
      </c>
      <c r="T27" s="281">
        <f t="shared" si="20"/>
        <v>0</v>
      </c>
      <c r="U27" s="120"/>
      <c r="V27" s="195">
        <f t="shared" si="21"/>
        <v>0</v>
      </c>
    </row>
    <row r="28" spans="1:22" ht="12.75" customHeight="1" x14ac:dyDescent="0.25">
      <c r="A28" s="14"/>
      <c r="B28" s="14"/>
      <c r="C28" s="272"/>
      <c r="D28" s="272"/>
      <c r="E28" s="272"/>
      <c r="F28" s="272"/>
      <c r="G28" s="272"/>
      <c r="H28" s="273"/>
      <c r="I28" s="273"/>
      <c r="J28" s="273"/>
      <c r="K28" s="272"/>
      <c r="L28" s="602"/>
      <c r="M28" s="602"/>
      <c r="N28" s="602"/>
      <c r="O28" s="272"/>
      <c r="P28" s="81">
        <f t="shared" ref="P28:P101" si="22">+(D28-C28)*P$10</f>
        <v>0</v>
      </c>
      <c r="Q28" s="81">
        <f t="shared" ref="Q28:Q101" si="23">+(E28-D28)*Q$10</f>
        <v>0</v>
      </c>
      <c r="R28" s="81">
        <f t="shared" ref="R28:R101" si="24">+(F28-E28)*R$10</f>
        <v>0</v>
      </c>
      <c r="S28" s="81">
        <f t="shared" si="19"/>
        <v>0</v>
      </c>
      <c r="T28" s="281"/>
      <c r="U28" s="120"/>
      <c r="V28" s="195"/>
    </row>
    <row r="29" spans="1:22" ht="12.75" customHeight="1" x14ac:dyDescent="0.25">
      <c r="A29" s="7" t="s">
        <v>26</v>
      </c>
      <c r="B29" s="5" t="s">
        <v>27</v>
      </c>
      <c r="C29" s="271">
        <f>SUM(C30:C31)</f>
        <v>9100000</v>
      </c>
      <c r="D29" s="271">
        <f t="shared" ref="D29:F29" si="25">SUM(D30:D31)</f>
        <v>9100000</v>
      </c>
      <c r="E29" s="271">
        <f t="shared" si="25"/>
        <v>9100000</v>
      </c>
      <c r="F29" s="271">
        <f t="shared" si="25"/>
        <v>0</v>
      </c>
      <c r="G29" s="271"/>
      <c r="H29" s="271">
        <f t="shared" ref="H29" si="26">SUM(H30:H31)</f>
        <v>4723238</v>
      </c>
      <c r="I29" s="271">
        <f t="shared" ref="I29" si="27">SUM(I30:I31)</f>
        <v>7206667</v>
      </c>
      <c r="J29" s="271">
        <f t="shared" ref="J29" si="28">SUM(J30:J31)</f>
        <v>0</v>
      </c>
      <c r="K29" s="271"/>
      <c r="L29" s="600">
        <f t="shared" ref="L29:L30" si="29">IF(H29&gt;0,H29/C29,0)</f>
        <v>0.51903714285714286</v>
      </c>
      <c r="M29" s="600">
        <f t="shared" ref="M29:M30" si="30">IF(I29&gt;0,I29/D29,0)</f>
        <v>0.79194142857142857</v>
      </c>
      <c r="N29" s="600">
        <f t="shared" ref="N29:N30" si="31">IF(J29&gt;0,J29/E29,0)</f>
        <v>0</v>
      </c>
      <c r="O29" s="271"/>
      <c r="P29" s="271">
        <f t="shared" si="22"/>
        <v>0</v>
      </c>
      <c r="Q29" s="271">
        <f t="shared" si="23"/>
        <v>0</v>
      </c>
      <c r="R29" s="271">
        <f t="shared" si="24"/>
        <v>0</v>
      </c>
      <c r="S29" s="271">
        <f t="shared" si="19"/>
        <v>0</v>
      </c>
      <c r="T29" s="282">
        <f t="shared" ref="T29:T30" si="32">IF(C29=0,0,+S29/C29)</f>
        <v>0</v>
      </c>
      <c r="U29" s="120"/>
      <c r="V29" s="195">
        <f t="shared" ref="V29:V30" si="33">+S29-E29+C29</f>
        <v>0</v>
      </c>
    </row>
    <row r="30" spans="1:22" ht="12.75" customHeight="1" x14ac:dyDescent="0.25">
      <c r="A30" s="14"/>
      <c r="B30" s="20" t="s">
        <v>28</v>
      </c>
      <c r="C30" s="272">
        <v>9100000</v>
      </c>
      <c r="D30" s="272">
        <v>9100000</v>
      </c>
      <c r="E30" s="272">
        <v>9100000</v>
      </c>
      <c r="F30" s="272"/>
      <c r="G30" s="272"/>
      <c r="H30" s="273">
        <v>4723238</v>
      </c>
      <c r="I30" s="274">
        <v>7206667</v>
      </c>
      <c r="J30" s="274"/>
      <c r="K30" s="272"/>
      <c r="L30" s="603">
        <f t="shared" si="29"/>
        <v>0.51903714285714286</v>
      </c>
      <c r="M30" s="603">
        <f t="shared" si="30"/>
        <v>0.79194142857142857</v>
      </c>
      <c r="N30" s="603">
        <f t="shared" si="31"/>
        <v>0</v>
      </c>
      <c r="O30" s="272"/>
      <c r="P30" s="81">
        <f t="shared" si="22"/>
        <v>0</v>
      </c>
      <c r="Q30" s="81">
        <f t="shared" si="23"/>
        <v>0</v>
      </c>
      <c r="R30" s="81">
        <f t="shared" si="24"/>
        <v>0</v>
      </c>
      <c r="S30" s="81">
        <f t="shared" si="19"/>
        <v>0</v>
      </c>
      <c r="T30" s="281">
        <f t="shared" si="32"/>
        <v>0</v>
      </c>
      <c r="U30" s="120"/>
      <c r="V30" s="195">
        <f t="shared" si="33"/>
        <v>0</v>
      </c>
    </row>
    <row r="31" spans="1:22" ht="12.75" customHeight="1" x14ac:dyDescent="0.25">
      <c r="A31" s="14"/>
      <c r="B31" s="14"/>
      <c r="C31" s="272"/>
      <c r="D31" s="272"/>
      <c r="E31" s="272"/>
      <c r="F31" s="272"/>
      <c r="G31" s="272"/>
      <c r="H31" s="273"/>
      <c r="I31" s="273"/>
      <c r="J31" s="273"/>
      <c r="K31" s="272"/>
      <c r="L31" s="602"/>
      <c r="M31" s="602"/>
      <c r="N31" s="602"/>
      <c r="O31" s="272"/>
      <c r="P31" s="81"/>
      <c r="Q31" s="81"/>
      <c r="R31" s="81"/>
      <c r="S31" s="81"/>
      <c r="T31" s="281"/>
      <c r="U31" s="120"/>
      <c r="V31" s="195"/>
    </row>
    <row r="32" spans="1:22" ht="12.75" customHeight="1" x14ac:dyDescent="0.25">
      <c r="A32" s="7" t="s">
        <v>29</v>
      </c>
      <c r="B32" s="5" t="s">
        <v>30</v>
      </c>
      <c r="C32" s="271">
        <f t="shared" ref="C32:E32" si="34">+C33+C41+C48+C66+C71</f>
        <v>13420000</v>
      </c>
      <c r="D32" s="271">
        <f t="shared" si="34"/>
        <v>13008000</v>
      </c>
      <c r="E32" s="271">
        <f t="shared" si="34"/>
        <v>15008000</v>
      </c>
      <c r="F32" s="271">
        <f t="shared" ref="F32" si="35">+F33+F41+F48+F66+F71</f>
        <v>0</v>
      </c>
      <c r="G32" s="271"/>
      <c r="H32" s="271">
        <f>+H33+H41+H48+H66+H71</f>
        <v>6261679</v>
      </c>
      <c r="I32" s="271">
        <f>+I33+I41+I48+I66+I71</f>
        <v>9741549</v>
      </c>
      <c r="J32" s="271">
        <f t="shared" ref="J32" si="36">+J33+J41+J48+J66+J71</f>
        <v>0</v>
      </c>
      <c r="K32" s="271"/>
      <c r="L32" s="600">
        <f t="shared" ref="L32:L89" si="37">IF(H32&gt;0,H32/C32,0)</f>
        <v>0.4665930700447094</v>
      </c>
      <c r="M32" s="600">
        <f t="shared" ref="M32:M89" si="38">IF(I32&gt;0,I32/D32,0)</f>
        <v>0.74888906826568269</v>
      </c>
      <c r="N32" s="600">
        <f t="shared" ref="N32:N89" si="39">IF(J32&gt;0,J32/E32,0)</f>
        <v>0</v>
      </c>
      <c r="O32" s="271"/>
      <c r="P32" s="271">
        <f t="shared" si="22"/>
        <v>-412000</v>
      </c>
      <c r="Q32" s="271">
        <f t="shared" si="23"/>
        <v>2000000</v>
      </c>
      <c r="R32" s="271">
        <f t="shared" si="24"/>
        <v>0</v>
      </c>
      <c r="S32" s="271">
        <f t="shared" ref="S32:S89" si="40">+P32*P$10+Q32*Q$10+R32*R$10</f>
        <v>1588000</v>
      </c>
      <c r="T32" s="282">
        <f t="shared" ref="T32:T34" si="41">IF(C32=0,0,+S32/C32)</f>
        <v>0.11833084947839047</v>
      </c>
      <c r="U32" s="120"/>
      <c r="V32" s="195">
        <f t="shared" ref="V32:V34" si="42">+S32-E32+C32</f>
        <v>0</v>
      </c>
    </row>
    <row r="33" spans="1:22" s="42" customFormat="1" ht="12.75" customHeight="1" x14ac:dyDescent="0.25">
      <c r="A33" s="38" t="s">
        <v>31</v>
      </c>
      <c r="B33" s="39" t="s">
        <v>32</v>
      </c>
      <c r="C33" s="275">
        <f>SUM(C34:C40)</f>
        <v>6050000</v>
      </c>
      <c r="D33" s="275">
        <f t="shared" ref="D33:F33" si="43">SUM(D34:D40)</f>
        <v>6050000</v>
      </c>
      <c r="E33" s="275">
        <f t="shared" si="43"/>
        <v>6350000</v>
      </c>
      <c r="F33" s="275">
        <f t="shared" si="43"/>
        <v>0</v>
      </c>
      <c r="G33" s="275"/>
      <c r="H33" s="275">
        <f t="shared" ref="H33" si="44">SUM(H34:H40)</f>
        <v>2931250</v>
      </c>
      <c r="I33" s="275">
        <f t="shared" ref="I33" si="45">SUM(I34:I40)</f>
        <v>4352425</v>
      </c>
      <c r="J33" s="275">
        <f t="shared" ref="J33" si="46">SUM(J34:J40)</f>
        <v>0</v>
      </c>
      <c r="K33" s="275"/>
      <c r="L33" s="602">
        <f t="shared" si="37"/>
        <v>0.48450413223140498</v>
      </c>
      <c r="M33" s="602">
        <f t="shared" si="38"/>
        <v>0.71940909090909089</v>
      </c>
      <c r="N33" s="602">
        <f t="shared" si="39"/>
        <v>0</v>
      </c>
      <c r="O33" s="275"/>
      <c r="P33" s="278">
        <f t="shared" si="22"/>
        <v>0</v>
      </c>
      <c r="Q33" s="278">
        <f t="shared" si="23"/>
        <v>300000</v>
      </c>
      <c r="R33" s="278">
        <f t="shared" si="24"/>
        <v>0</v>
      </c>
      <c r="S33" s="278">
        <f t="shared" si="40"/>
        <v>300000</v>
      </c>
      <c r="T33" s="281">
        <f t="shared" si="41"/>
        <v>4.9586776859504134E-2</v>
      </c>
      <c r="U33" s="120"/>
      <c r="V33" s="195">
        <f t="shared" si="42"/>
        <v>0</v>
      </c>
    </row>
    <row r="34" spans="1:22" ht="12.75" customHeight="1" x14ac:dyDescent="0.25">
      <c r="A34" s="14" t="s">
        <v>33</v>
      </c>
      <c r="B34" s="20" t="s">
        <v>35</v>
      </c>
      <c r="C34" s="272">
        <v>150000</v>
      </c>
      <c r="D34" s="272">
        <v>150000</v>
      </c>
      <c r="E34" s="272">
        <v>150000</v>
      </c>
      <c r="F34" s="272"/>
      <c r="G34" s="272"/>
      <c r="H34" s="272">
        <v>74001</v>
      </c>
      <c r="I34" s="272">
        <v>147028</v>
      </c>
      <c r="J34" s="272"/>
      <c r="K34" s="272"/>
      <c r="L34" s="603">
        <f t="shared" si="37"/>
        <v>0.49334</v>
      </c>
      <c r="M34" s="603">
        <f t="shared" si="38"/>
        <v>0.98018666666666665</v>
      </c>
      <c r="N34" s="603">
        <f t="shared" si="39"/>
        <v>0</v>
      </c>
      <c r="O34" s="272"/>
      <c r="P34" s="81">
        <f t="shared" si="22"/>
        <v>0</v>
      </c>
      <c r="Q34" s="81">
        <f t="shared" si="23"/>
        <v>0</v>
      </c>
      <c r="R34" s="81">
        <f t="shared" si="24"/>
        <v>0</v>
      </c>
      <c r="S34" s="81">
        <f t="shared" si="40"/>
        <v>0</v>
      </c>
      <c r="T34" s="281">
        <f t="shared" si="41"/>
        <v>0</v>
      </c>
      <c r="U34" s="120"/>
      <c r="V34" s="195">
        <f t="shared" si="42"/>
        <v>0</v>
      </c>
    </row>
    <row r="35" spans="1:22" ht="12.75" customHeight="1" x14ac:dyDescent="0.25">
      <c r="A35" s="14"/>
      <c r="B35" s="20" t="s">
        <v>89</v>
      </c>
      <c r="C35" s="272"/>
      <c r="D35" s="272"/>
      <c r="E35" s="272"/>
      <c r="F35" s="272"/>
      <c r="G35" s="272"/>
      <c r="H35" s="272"/>
      <c r="I35" s="272"/>
      <c r="J35" s="272"/>
      <c r="K35" s="272"/>
      <c r="L35" s="603">
        <f t="shared" si="37"/>
        <v>0</v>
      </c>
      <c r="M35" s="603">
        <f t="shared" si="38"/>
        <v>0</v>
      </c>
      <c r="N35" s="603">
        <f t="shared" si="39"/>
        <v>0</v>
      </c>
      <c r="O35" s="272"/>
      <c r="P35" s="81">
        <f t="shared" si="22"/>
        <v>0</v>
      </c>
      <c r="Q35" s="81">
        <f t="shared" si="23"/>
        <v>0</v>
      </c>
      <c r="R35" s="81">
        <f t="shared" si="24"/>
        <v>0</v>
      </c>
      <c r="S35" s="81">
        <f t="shared" si="40"/>
        <v>0</v>
      </c>
      <c r="T35" s="281">
        <f t="shared" ref="T35:T47" si="47">IF(C35=0,0,+S35/C35)</f>
        <v>0</v>
      </c>
      <c r="U35" s="120"/>
      <c r="V35" s="195">
        <f t="shared" ref="V35:V47" si="48">+S35-E35+C35</f>
        <v>0</v>
      </c>
    </row>
    <row r="36" spans="1:22" ht="12.75" customHeight="1" x14ac:dyDescent="0.25">
      <c r="A36" s="14" t="s">
        <v>34</v>
      </c>
      <c r="B36" s="482" t="s">
        <v>36</v>
      </c>
      <c r="C36" s="272">
        <f>5900000</f>
        <v>5900000</v>
      </c>
      <c r="D36" s="272">
        <v>5900000</v>
      </c>
      <c r="E36" s="272">
        <v>6200000</v>
      </c>
      <c r="F36" s="272"/>
      <c r="G36" s="272"/>
      <c r="H36" s="272">
        <v>2857249</v>
      </c>
      <c r="I36" s="272">
        <v>4205397</v>
      </c>
      <c r="J36" s="272"/>
      <c r="K36" s="272"/>
      <c r="L36" s="603">
        <f t="shared" si="37"/>
        <v>0.48427949152542371</v>
      </c>
      <c r="M36" s="603">
        <f t="shared" si="38"/>
        <v>0.7127791525423729</v>
      </c>
      <c r="N36" s="603">
        <f t="shared" si="39"/>
        <v>0</v>
      </c>
      <c r="O36" s="272"/>
      <c r="P36" s="81">
        <f t="shared" si="22"/>
        <v>0</v>
      </c>
      <c r="Q36" s="81">
        <f t="shared" si="23"/>
        <v>300000</v>
      </c>
      <c r="R36" s="81">
        <f t="shared" si="24"/>
        <v>0</v>
      </c>
      <c r="S36" s="81">
        <f t="shared" si="40"/>
        <v>300000</v>
      </c>
      <c r="T36" s="281">
        <f t="shared" si="47"/>
        <v>5.0847457627118647E-2</v>
      </c>
      <c r="U36" s="120"/>
      <c r="V36" s="195">
        <f t="shared" si="48"/>
        <v>0</v>
      </c>
    </row>
    <row r="37" spans="1:22" ht="12.75" customHeight="1" x14ac:dyDescent="0.25">
      <c r="A37" s="14"/>
      <c r="B37" s="20" t="s">
        <v>105</v>
      </c>
      <c r="C37" s="272"/>
      <c r="D37" s="272"/>
      <c r="E37" s="272"/>
      <c r="F37" s="272"/>
      <c r="G37" s="272"/>
      <c r="H37" s="272"/>
      <c r="I37" s="272"/>
      <c r="J37" s="272"/>
      <c r="K37" s="272"/>
      <c r="L37" s="603">
        <f t="shared" si="37"/>
        <v>0</v>
      </c>
      <c r="M37" s="603">
        <f t="shared" si="38"/>
        <v>0</v>
      </c>
      <c r="N37" s="603">
        <f t="shared" si="39"/>
        <v>0</v>
      </c>
      <c r="O37" s="272"/>
      <c r="P37" s="81">
        <f t="shared" si="22"/>
        <v>0</v>
      </c>
      <c r="Q37" s="81">
        <f t="shared" si="23"/>
        <v>0</v>
      </c>
      <c r="R37" s="81">
        <f t="shared" si="24"/>
        <v>0</v>
      </c>
      <c r="S37" s="81">
        <f t="shared" si="40"/>
        <v>0</v>
      </c>
      <c r="T37" s="281">
        <f t="shared" si="47"/>
        <v>0</v>
      </c>
      <c r="U37" s="120"/>
      <c r="V37" s="195">
        <f t="shared" si="48"/>
        <v>0</v>
      </c>
    </row>
    <row r="38" spans="1:22" ht="12.75" customHeight="1" x14ac:dyDescent="0.25">
      <c r="A38" s="14"/>
      <c r="B38" s="20" t="s">
        <v>95</v>
      </c>
      <c r="C38" s="272"/>
      <c r="D38" s="272"/>
      <c r="E38" s="272"/>
      <c r="F38" s="272"/>
      <c r="G38" s="272"/>
      <c r="H38" s="272"/>
      <c r="I38" s="272"/>
      <c r="J38" s="272"/>
      <c r="K38" s="272"/>
      <c r="L38" s="603">
        <f t="shared" si="37"/>
        <v>0</v>
      </c>
      <c r="M38" s="603">
        <f t="shared" si="38"/>
        <v>0</v>
      </c>
      <c r="N38" s="603">
        <f t="shared" si="39"/>
        <v>0</v>
      </c>
      <c r="O38" s="272"/>
      <c r="P38" s="81">
        <f t="shared" si="22"/>
        <v>0</v>
      </c>
      <c r="Q38" s="81">
        <f t="shared" si="23"/>
        <v>0</v>
      </c>
      <c r="R38" s="81">
        <f t="shared" si="24"/>
        <v>0</v>
      </c>
      <c r="S38" s="81">
        <f t="shared" si="40"/>
        <v>0</v>
      </c>
      <c r="T38" s="281">
        <f t="shared" si="47"/>
        <v>0</v>
      </c>
      <c r="U38" s="120"/>
      <c r="V38" s="195">
        <f t="shared" si="48"/>
        <v>0</v>
      </c>
    </row>
    <row r="39" spans="1:22" ht="12.75" customHeight="1" x14ac:dyDescent="0.25">
      <c r="A39" s="14"/>
      <c r="B39" s="20" t="s">
        <v>94</v>
      </c>
      <c r="C39" s="272"/>
      <c r="D39" s="272"/>
      <c r="E39" s="272"/>
      <c r="F39" s="272"/>
      <c r="G39" s="272"/>
      <c r="H39" s="272"/>
      <c r="I39" s="272"/>
      <c r="J39" s="272"/>
      <c r="K39" s="272"/>
      <c r="L39" s="603">
        <f t="shared" si="37"/>
        <v>0</v>
      </c>
      <c r="M39" s="603">
        <f t="shared" si="38"/>
        <v>0</v>
      </c>
      <c r="N39" s="603">
        <f t="shared" si="39"/>
        <v>0</v>
      </c>
      <c r="O39" s="272"/>
      <c r="P39" s="81">
        <f t="shared" si="22"/>
        <v>0</v>
      </c>
      <c r="Q39" s="81">
        <f t="shared" si="23"/>
        <v>0</v>
      </c>
      <c r="R39" s="81">
        <f t="shared" si="24"/>
        <v>0</v>
      </c>
      <c r="S39" s="81">
        <f t="shared" si="40"/>
        <v>0</v>
      </c>
      <c r="T39" s="281">
        <f t="shared" si="47"/>
        <v>0</v>
      </c>
      <c r="U39" s="120"/>
      <c r="V39" s="195">
        <f t="shared" si="48"/>
        <v>0</v>
      </c>
    </row>
    <row r="40" spans="1:22" ht="12.75" customHeight="1" x14ac:dyDescent="0.25">
      <c r="A40" s="14"/>
      <c r="B40" s="20" t="s">
        <v>93</v>
      </c>
      <c r="C40" s="272"/>
      <c r="D40" s="272"/>
      <c r="E40" s="272"/>
      <c r="F40" s="272"/>
      <c r="G40" s="272"/>
      <c r="H40" s="272"/>
      <c r="I40" s="272"/>
      <c r="J40" s="272"/>
      <c r="K40" s="272"/>
      <c r="L40" s="603">
        <f t="shared" si="37"/>
        <v>0</v>
      </c>
      <c r="M40" s="603">
        <f t="shared" si="38"/>
        <v>0</v>
      </c>
      <c r="N40" s="603">
        <f t="shared" si="39"/>
        <v>0</v>
      </c>
      <c r="O40" s="272"/>
      <c r="P40" s="81">
        <f t="shared" si="22"/>
        <v>0</v>
      </c>
      <c r="Q40" s="81">
        <f t="shared" si="23"/>
        <v>0</v>
      </c>
      <c r="R40" s="81">
        <f t="shared" si="24"/>
        <v>0</v>
      </c>
      <c r="S40" s="81">
        <f t="shared" si="40"/>
        <v>0</v>
      </c>
      <c r="T40" s="281">
        <f t="shared" si="47"/>
        <v>0</v>
      </c>
      <c r="U40" s="120"/>
      <c r="V40" s="195">
        <f t="shared" si="48"/>
        <v>0</v>
      </c>
    </row>
    <row r="41" spans="1:22" s="42" customFormat="1" ht="12.75" customHeight="1" x14ac:dyDescent="0.25">
      <c r="A41" s="38" t="s">
        <v>37</v>
      </c>
      <c r="B41" s="39" t="s">
        <v>38</v>
      </c>
      <c r="C41" s="275">
        <f>SUM(C42:C47)</f>
        <v>90000</v>
      </c>
      <c r="D41" s="275">
        <f t="shared" ref="D41:J41" si="49">SUM(D42:D47)</f>
        <v>90000</v>
      </c>
      <c r="E41" s="275">
        <f t="shared" si="49"/>
        <v>90000</v>
      </c>
      <c r="F41" s="275">
        <f t="shared" si="49"/>
        <v>0</v>
      </c>
      <c r="G41" s="275"/>
      <c r="H41" s="275">
        <f t="shared" si="49"/>
        <v>38048</v>
      </c>
      <c r="I41" s="275">
        <f t="shared" si="49"/>
        <v>52986</v>
      </c>
      <c r="J41" s="275">
        <f t="shared" si="49"/>
        <v>0</v>
      </c>
      <c r="K41" s="275"/>
      <c r="L41" s="603">
        <f t="shared" si="37"/>
        <v>0.42275555555555555</v>
      </c>
      <c r="M41" s="603">
        <f t="shared" si="38"/>
        <v>0.58873333333333333</v>
      </c>
      <c r="N41" s="603">
        <f t="shared" si="39"/>
        <v>0</v>
      </c>
      <c r="O41" s="275"/>
      <c r="P41" s="275">
        <f t="shared" si="22"/>
        <v>0</v>
      </c>
      <c r="Q41" s="275">
        <f t="shared" si="23"/>
        <v>0</v>
      </c>
      <c r="R41" s="275">
        <f t="shared" si="24"/>
        <v>0</v>
      </c>
      <c r="S41" s="275">
        <f t="shared" si="40"/>
        <v>0</v>
      </c>
      <c r="T41" s="281">
        <f t="shared" si="47"/>
        <v>0</v>
      </c>
      <c r="U41" s="120"/>
      <c r="V41" s="195">
        <f t="shared" si="48"/>
        <v>0</v>
      </c>
    </row>
    <row r="42" spans="1:22" ht="12.75" customHeight="1" x14ac:dyDescent="0.25">
      <c r="A42" s="14" t="s">
        <v>39</v>
      </c>
      <c r="B42" s="20" t="s">
        <v>40</v>
      </c>
      <c r="C42" s="272">
        <v>30000</v>
      </c>
      <c r="D42" s="272">
        <v>30000</v>
      </c>
      <c r="E42" s="272">
        <v>30000</v>
      </c>
      <c r="F42" s="272"/>
      <c r="G42" s="272"/>
      <c r="H42" s="272">
        <v>12000</v>
      </c>
      <c r="I42" s="272">
        <v>12000</v>
      </c>
      <c r="J42" s="272"/>
      <c r="K42" s="272"/>
      <c r="L42" s="603">
        <f t="shared" si="37"/>
        <v>0.4</v>
      </c>
      <c r="M42" s="603">
        <f t="shared" si="38"/>
        <v>0.4</v>
      </c>
      <c r="N42" s="603">
        <f t="shared" si="39"/>
        <v>0</v>
      </c>
      <c r="O42" s="272"/>
      <c r="P42" s="81">
        <f t="shared" si="22"/>
        <v>0</v>
      </c>
      <c r="Q42" s="81">
        <f t="shared" si="23"/>
        <v>0</v>
      </c>
      <c r="R42" s="81">
        <f t="shared" si="24"/>
        <v>0</v>
      </c>
      <c r="S42" s="81">
        <f t="shared" si="40"/>
        <v>0</v>
      </c>
      <c r="T42" s="281">
        <f t="shared" si="47"/>
        <v>0</v>
      </c>
      <c r="U42" s="120"/>
      <c r="V42" s="195">
        <f t="shared" si="48"/>
        <v>0</v>
      </c>
    </row>
    <row r="43" spans="1:22" ht="12.75" customHeight="1" x14ac:dyDescent="0.25">
      <c r="A43" s="14"/>
      <c r="B43" s="20" t="s">
        <v>41</v>
      </c>
      <c r="C43" s="272"/>
      <c r="D43" s="272"/>
      <c r="E43" s="272"/>
      <c r="F43" s="272"/>
      <c r="G43" s="272"/>
      <c r="H43" s="272"/>
      <c r="I43" s="272"/>
      <c r="J43" s="272"/>
      <c r="K43" s="272"/>
      <c r="L43" s="603">
        <f t="shared" si="37"/>
        <v>0</v>
      </c>
      <c r="M43" s="603">
        <f t="shared" si="38"/>
        <v>0</v>
      </c>
      <c r="N43" s="603">
        <f t="shared" si="39"/>
        <v>0</v>
      </c>
      <c r="O43" s="272"/>
      <c r="P43" s="81">
        <f t="shared" si="22"/>
        <v>0</v>
      </c>
      <c r="Q43" s="81">
        <f t="shared" si="23"/>
        <v>0</v>
      </c>
      <c r="R43" s="81">
        <f t="shared" si="24"/>
        <v>0</v>
      </c>
      <c r="S43" s="81">
        <f t="shared" si="40"/>
        <v>0</v>
      </c>
      <c r="T43" s="281">
        <f t="shared" si="47"/>
        <v>0</v>
      </c>
      <c r="U43" s="120"/>
      <c r="V43" s="195">
        <f t="shared" si="48"/>
        <v>0</v>
      </c>
    </row>
    <row r="44" spans="1:22" ht="12.75" customHeight="1" x14ac:dyDescent="0.25">
      <c r="A44" s="14"/>
      <c r="B44" s="20" t="s">
        <v>42</v>
      </c>
      <c r="C44" s="272"/>
      <c r="D44" s="272"/>
      <c r="E44" s="272"/>
      <c r="F44" s="272"/>
      <c r="G44" s="272"/>
      <c r="H44" s="272"/>
      <c r="I44" s="272"/>
      <c r="J44" s="272"/>
      <c r="K44" s="272"/>
      <c r="L44" s="603">
        <f t="shared" si="37"/>
        <v>0</v>
      </c>
      <c r="M44" s="603">
        <f t="shared" si="38"/>
        <v>0</v>
      </c>
      <c r="N44" s="603">
        <f t="shared" si="39"/>
        <v>0</v>
      </c>
      <c r="O44" s="272"/>
      <c r="P44" s="81">
        <f t="shared" si="22"/>
        <v>0</v>
      </c>
      <c r="Q44" s="81">
        <f t="shared" si="23"/>
        <v>0</v>
      </c>
      <c r="R44" s="81">
        <f t="shared" si="24"/>
        <v>0</v>
      </c>
      <c r="S44" s="81">
        <f t="shared" si="40"/>
        <v>0</v>
      </c>
      <c r="T44" s="281">
        <f t="shared" si="47"/>
        <v>0</v>
      </c>
      <c r="U44" s="120"/>
      <c r="V44" s="195">
        <f t="shared" si="48"/>
        <v>0</v>
      </c>
    </row>
    <row r="45" spans="1:22" ht="12.75" customHeight="1" x14ac:dyDescent="0.25">
      <c r="A45" s="14"/>
      <c r="B45" s="20" t="s">
        <v>43</v>
      </c>
      <c r="C45" s="272"/>
      <c r="D45" s="272"/>
      <c r="E45" s="272"/>
      <c r="F45" s="272"/>
      <c r="G45" s="272"/>
      <c r="H45" s="272"/>
      <c r="I45" s="272"/>
      <c r="J45" s="272"/>
      <c r="K45" s="272"/>
      <c r="L45" s="603">
        <f t="shared" si="37"/>
        <v>0</v>
      </c>
      <c r="M45" s="603">
        <f t="shared" si="38"/>
        <v>0</v>
      </c>
      <c r="N45" s="603">
        <f t="shared" si="39"/>
        <v>0</v>
      </c>
      <c r="O45" s="272"/>
      <c r="P45" s="81">
        <f t="shared" si="22"/>
        <v>0</v>
      </c>
      <c r="Q45" s="81">
        <f t="shared" si="23"/>
        <v>0</v>
      </c>
      <c r="R45" s="81">
        <f t="shared" si="24"/>
        <v>0</v>
      </c>
      <c r="S45" s="81">
        <f t="shared" si="40"/>
        <v>0</v>
      </c>
      <c r="T45" s="281">
        <f t="shared" si="47"/>
        <v>0</v>
      </c>
      <c r="U45" s="120"/>
      <c r="V45" s="195">
        <f t="shared" si="48"/>
        <v>0</v>
      </c>
    </row>
    <row r="46" spans="1:22" ht="12.75" customHeight="1" x14ac:dyDescent="0.25">
      <c r="A46" s="14" t="s">
        <v>44</v>
      </c>
      <c r="B46" s="20" t="s">
        <v>45</v>
      </c>
      <c r="C46" s="272">
        <v>60000</v>
      </c>
      <c r="D46" s="272">
        <v>60000</v>
      </c>
      <c r="E46" s="272">
        <v>60000</v>
      </c>
      <c r="F46" s="272"/>
      <c r="G46" s="272"/>
      <c r="H46" s="272">
        <v>26048</v>
      </c>
      <c r="I46" s="272">
        <v>40986</v>
      </c>
      <c r="J46" s="272"/>
      <c r="K46" s="272"/>
      <c r="L46" s="603">
        <f t="shared" si="37"/>
        <v>0.43413333333333332</v>
      </c>
      <c r="M46" s="603">
        <f t="shared" si="38"/>
        <v>0.68310000000000004</v>
      </c>
      <c r="N46" s="603">
        <f t="shared" si="39"/>
        <v>0</v>
      </c>
      <c r="O46" s="272"/>
      <c r="P46" s="81">
        <f t="shared" si="22"/>
        <v>0</v>
      </c>
      <c r="Q46" s="81">
        <f t="shared" si="23"/>
        <v>0</v>
      </c>
      <c r="R46" s="81">
        <f t="shared" si="24"/>
        <v>0</v>
      </c>
      <c r="S46" s="81">
        <f t="shared" si="40"/>
        <v>0</v>
      </c>
      <c r="T46" s="281">
        <f t="shared" si="47"/>
        <v>0</v>
      </c>
      <c r="U46" s="120"/>
      <c r="V46" s="195">
        <f t="shared" si="48"/>
        <v>0</v>
      </c>
    </row>
    <row r="47" spans="1:22" ht="12.75" customHeight="1" x14ac:dyDescent="0.25">
      <c r="A47" s="14"/>
      <c r="B47" s="20" t="s">
        <v>46</v>
      </c>
      <c r="C47" s="272"/>
      <c r="D47" s="272">
        <v>0</v>
      </c>
      <c r="E47" s="272">
        <v>0</v>
      </c>
      <c r="F47" s="272"/>
      <c r="G47" s="272"/>
      <c r="H47" s="272"/>
      <c r="I47" s="272"/>
      <c r="J47" s="272"/>
      <c r="K47" s="272"/>
      <c r="L47" s="603">
        <f t="shared" si="37"/>
        <v>0</v>
      </c>
      <c r="M47" s="603">
        <f t="shared" si="38"/>
        <v>0</v>
      </c>
      <c r="N47" s="603">
        <f t="shared" si="39"/>
        <v>0</v>
      </c>
      <c r="O47" s="272"/>
      <c r="P47" s="81">
        <f t="shared" si="22"/>
        <v>0</v>
      </c>
      <c r="Q47" s="81">
        <f t="shared" si="23"/>
        <v>0</v>
      </c>
      <c r="R47" s="81">
        <f t="shared" si="24"/>
        <v>0</v>
      </c>
      <c r="S47" s="81">
        <f t="shared" si="40"/>
        <v>0</v>
      </c>
      <c r="T47" s="281">
        <f t="shared" si="47"/>
        <v>0</v>
      </c>
      <c r="U47" s="120"/>
      <c r="V47" s="195">
        <f t="shared" si="48"/>
        <v>0</v>
      </c>
    </row>
    <row r="48" spans="1:22" s="42" customFormat="1" ht="12.75" customHeight="1" x14ac:dyDescent="0.25">
      <c r="A48" s="38" t="s">
        <v>47</v>
      </c>
      <c r="B48" s="39" t="s">
        <v>48</v>
      </c>
      <c r="C48" s="275">
        <f>SUM(C49:C65)</f>
        <v>4910000</v>
      </c>
      <c r="D48" s="275">
        <f t="shared" ref="D48:F48" si="50">SUM(D49:D65)</f>
        <v>4498000</v>
      </c>
      <c r="E48" s="275">
        <f t="shared" si="50"/>
        <v>5500000</v>
      </c>
      <c r="F48" s="275">
        <f t="shared" si="50"/>
        <v>0</v>
      </c>
      <c r="G48" s="275"/>
      <c r="H48" s="275">
        <f>SUM(H49:H65)</f>
        <v>2155308</v>
      </c>
      <c r="I48" s="275">
        <f t="shared" ref="I48:J48" si="51">SUM(I49:I65)</f>
        <v>3553698</v>
      </c>
      <c r="J48" s="275">
        <f t="shared" si="51"/>
        <v>0</v>
      </c>
      <c r="K48" s="275"/>
      <c r="L48" s="604">
        <f t="shared" si="37"/>
        <v>0.43896293279022403</v>
      </c>
      <c r="M48" s="604">
        <f t="shared" si="38"/>
        <v>0.79006180524677638</v>
      </c>
      <c r="N48" s="604">
        <f t="shared" si="39"/>
        <v>0</v>
      </c>
      <c r="O48" s="275"/>
      <c r="P48" s="275">
        <f t="shared" si="22"/>
        <v>-412000</v>
      </c>
      <c r="Q48" s="275">
        <f t="shared" si="23"/>
        <v>1002000</v>
      </c>
      <c r="R48" s="275">
        <f t="shared" si="24"/>
        <v>0</v>
      </c>
      <c r="S48" s="275">
        <f t="shared" si="40"/>
        <v>590000</v>
      </c>
      <c r="T48" s="281">
        <f t="shared" ref="T48:T49" si="52">IF(C48=0,0,+S48/C48)</f>
        <v>0.12016293279022404</v>
      </c>
      <c r="U48" s="120"/>
      <c r="V48" s="195">
        <f t="shared" ref="V48:V49" si="53">+S48-E48+C48</f>
        <v>0</v>
      </c>
    </row>
    <row r="49" spans="1:22" ht="12.75" customHeight="1" x14ac:dyDescent="0.25">
      <c r="A49" s="14" t="s">
        <v>49</v>
      </c>
      <c r="B49" s="20" t="s">
        <v>50</v>
      </c>
      <c r="C49" s="272">
        <v>2800000</v>
      </c>
      <c r="D49" s="272">
        <v>2800000</v>
      </c>
      <c r="E49" s="272">
        <v>4500000</v>
      </c>
      <c r="F49" s="272"/>
      <c r="G49" s="272"/>
      <c r="H49" s="272">
        <v>1636969</v>
      </c>
      <c r="I49" s="272">
        <v>2736769</v>
      </c>
      <c r="J49" s="272"/>
      <c r="K49" s="272"/>
      <c r="L49" s="603">
        <f t="shared" si="37"/>
        <v>0.58463178571428576</v>
      </c>
      <c r="M49" s="603">
        <f t="shared" si="38"/>
        <v>0.97741750000000005</v>
      </c>
      <c r="N49" s="603">
        <f t="shared" si="39"/>
        <v>0</v>
      </c>
      <c r="O49" s="272"/>
      <c r="P49" s="81">
        <f t="shared" si="22"/>
        <v>0</v>
      </c>
      <c r="Q49" s="81">
        <f t="shared" si="23"/>
        <v>1700000</v>
      </c>
      <c r="R49" s="81">
        <f t="shared" si="24"/>
        <v>0</v>
      </c>
      <c r="S49" s="81">
        <f t="shared" si="40"/>
        <v>1700000</v>
      </c>
      <c r="T49" s="281">
        <f t="shared" si="52"/>
        <v>0.6071428571428571</v>
      </c>
      <c r="U49" s="120"/>
      <c r="V49" s="195">
        <f t="shared" si="53"/>
        <v>0</v>
      </c>
    </row>
    <row r="50" spans="1:22" ht="12.75" customHeight="1" x14ac:dyDescent="0.25">
      <c r="A50" s="14" t="s">
        <v>103</v>
      </c>
      <c r="B50" s="20" t="s">
        <v>97</v>
      </c>
      <c r="C50" s="272"/>
      <c r="D50" s="272"/>
      <c r="E50" s="272"/>
      <c r="F50" s="272"/>
      <c r="G50" s="272"/>
      <c r="H50" s="272"/>
      <c r="I50" s="272"/>
      <c r="J50" s="272"/>
      <c r="K50" s="272"/>
      <c r="L50" s="603">
        <f t="shared" si="37"/>
        <v>0</v>
      </c>
      <c r="M50" s="603">
        <f t="shared" si="38"/>
        <v>0</v>
      </c>
      <c r="N50" s="603">
        <f t="shared" si="39"/>
        <v>0</v>
      </c>
      <c r="O50" s="272"/>
      <c r="P50" s="81">
        <f t="shared" si="22"/>
        <v>0</v>
      </c>
      <c r="Q50" s="81">
        <f t="shared" si="23"/>
        <v>0</v>
      </c>
      <c r="R50" s="81">
        <f t="shared" si="24"/>
        <v>0</v>
      </c>
      <c r="S50" s="81">
        <f t="shared" si="40"/>
        <v>0</v>
      </c>
      <c r="T50" s="281">
        <f t="shared" ref="T50:T61" si="54">IF(C50=0,0,+S50/C50)</f>
        <v>0</v>
      </c>
      <c r="U50" s="120"/>
      <c r="V50" s="195">
        <f t="shared" ref="V50:V102" si="55">+S50-E50+C50</f>
        <v>0</v>
      </c>
    </row>
    <row r="51" spans="1:22" ht="12.75" customHeight="1" x14ac:dyDescent="0.25">
      <c r="A51" s="14"/>
      <c r="B51" s="20" t="s">
        <v>98</v>
      </c>
      <c r="C51" s="272"/>
      <c r="D51" s="272"/>
      <c r="E51" s="272"/>
      <c r="F51" s="272"/>
      <c r="G51" s="272"/>
      <c r="H51" s="272"/>
      <c r="I51" s="272"/>
      <c r="J51" s="272"/>
      <c r="K51" s="272"/>
      <c r="L51" s="603">
        <f t="shared" si="37"/>
        <v>0</v>
      </c>
      <c r="M51" s="603">
        <f t="shared" si="38"/>
        <v>0</v>
      </c>
      <c r="N51" s="603">
        <f t="shared" si="39"/>
        <v>0</v>
      </c>
      <c r="O51" s="272"/>
      <c r="P51" s="81">
        <f t="shared" si="22"/>
        <v>0</v>
      </c>
      <c r="Q51" s="81">
        <f t="shared" si="23"/>
        <v>0</v>
      </c>
      <c r="R51" s="81">
        <f t="shared" si="24"/>
        <v>0</v>
      </c>
      <c r="S51" s="81">
        <f t="shared" si="40"/>
        <v>0</v>
      </c>
      <c r="T51" s="281">
        <f t="shared" si="54"/>
        <v>0</v>
      </c>
      <c r="U51" s="120"/>
      <c r="V51" s="195">
        <f t="shared" si="55"/>
        <v>0</v>
      </c>
    </row>
    <row r="52" spans="1:22" ht="12.75" customHeight="1" x14ac:dyDescent="0.25">
      <c r="A52" s="14"/>
      <c r="B52" s="20" t="s">
        <v>99</v>
      </c>
      <c r="C52" s="272"/>
      <c r="D52" s="272"/>
      <c r="E52" s="272"/>
      <c r="F52" s="272"/>
      <c r="G52" s="272"/>
      <c r="H52" s="272"/>
      <c r="I52" s="272"/>
      <c r="J52" s="272"/>
      <c r="K52" s="272"/>
      <c r="L52" s="603">
        <f t="shared" si="37"/>
        <v>0</v>
      </c>
      <c r="M52" s="603">
        <f t="shared" si="38"/>
        <v>0</v>
      </c>
      <c r="N52" s="603">
        <f t="shared" si="39"/>
        <v>0</v>
      </c>
      <c r="O52" s="272"/>
      <c r="P52" s="81">
        <f t="shared" si="22"/>
        <v>0</v>
      </c>
      <c r="Q52" s="81">
        <f t="shared" si="23"/>
        <v>0</v>
      </c>
      <c r="R52" s="81">
        <f t="shared" si="24"/>
        <v>0</v>
      </c>
      <c r="S52" s="81">
        <f t="shared" si="40"/>
        <v>0</v>
      </c>
      <c r="T52" s="281">
        <f t="shared" si="54"/>
        <v>0</v>
      </c>
      <c r="U52" s="120"/>
      <c r="V52" s="195">
        <f t="shared" si="55"/>
        <v>0</v>
      </c>
    </row>
    <row r="53" spans="1:22" ht="12.75" customHeight="1" x14ac:dyDescent="0.25">
      <c r="A53" s="14" t="s">
        <v>51</v>
      </c>
      <c r="B53" s="20" t="s">
        <v>52</v>
      </c>
      <c r="C53" s="272">
        <v>0</v>
      </c>
      <c r="D53" s="272">
        <v>0</v>
      </c>
      <c r="E53" s="272">
        <v>0</v>
      </c>
      <c r="F53" s="272"/>
      <c r="G53" s="272"/>
      <c r="H53" s="272">
        <v>0</v>
      </c>
      <c r="I53" s="272">
        <f>+H53</f>
        <v>0</v>
      </c>
      <c r="J53" s="272"/>
      <c r="K53" s="272"/>
      <c r="L53" s="603">
        <f t="shared" si="37"/>
        <v>0</v>
      </c>
      <c r="M53" s="603">
        <f t="shared" si="38"/>
        <v>0</v>
      </c>
      <c r="N53" s="603">
        <f t="shared" si="39"/>
        <v>0</v>
      </c>
      <c r="O53" s="272"/>
      <c r="P53" s="81">
        <f t="shared" si="22"/>
        <v>0</v>
      </c>
      <c r="Q53" s="81">
        <f t="shared" si="23"/>
        <v>0</v>
      </c>
      <c r="R53" s="81">
        <f t="shared" si="24"/>
        <v>0</v>
      </c>
      <c r="S53" s="81">
        <f t="shared" si="40"/>
        <v>0</v>
      </c>
      <c r="T53" s="281">
        <f t="shared" si="54"/>
        <v>0</v>
      </c>
      <c r="U53" s="120"/>
      <c r="V53" s="195">
        <f t="shared" si="55"/>
        <v>0</v>
      </c>
    </row>
    <row r="54" spans="1:22" ht="12.75" customHeight="1" x14ac:dyDescent="0.25">
      <c r="A54" s="14"/>
      <c r="B54" s="20" t="s">
        <v>90</v>
      </c>
      <c r="C54" s="272"/>
      <c r="D54" s="272"/>
      <c r="E54" s="272"/>
      <c r="F54" s="272"/>
      <c r="G54" s="272"/>
      <c r="H54" s="272"/>
      <c r="I54" s="272"/>
      <c r="J54" s="272"/>
      <c r="K54" s="272"/>
      <c r="L54" s="603">
        <f t="shared" si="37"/>
        <v>0</v>
      </c>
      <c r="M54" s="603">
        <f t="shared" si="38"/>
        <v>0</v>
      </c>
      <c r="N54" s="603">
        <f t="shared" si="39"/>
        <v>0</v>
      </c>
      <c r="O54" s="272"/>
      <c r="P54" s="81">
        <f t="shared" si="22"/>
        <v>0</v>
      </c>
      <c r="Q54" s="81">
        <f t="shared" si="23"/>
        <v>0</v>
      </c>
      <c r="R54" s="81">
        <f t="shared" si="24"/>
        <v>0</v>
      </c>
      <c r="S54" s="81">
        <f t="shared" si="40"/>
        <v>0</v>
      </c>
      <c r="T54" s="281">
        <f t="shared" si="54"/>
        <v>0</v>
      </c>
      <c r="U54" s="120"/>
      <c r="V54" s="195">
        <f t="shared" si="55"/>
        <v>0</v>
      </c>
    </row>
    <row r="55" spans="1:22" ht="12.75" customHeight="1" x14ac:dyDescent="0.25">
      <c r="A55" s="14"/>
      <c r="B55" s="20" t="s">
        <v>53</v>
      </c>
      <c r="C55" s="272"/>
      <c r="D55" s="272"/>
      <c r="E55" s="272"/>
      <c r="F55" s="272"/>
      <c r="G55" s="272"/>
      <c r="H55" s="272"/>
      <c r="I55" s="272"/>
      <c r="J55" s="272"/>
      <c r="K55" s="272"/>
      <c r="L55" s="603">
        <f t="shared" si="37"/>
        <v>0</v>
      </c>
      <c r="M55" s="603">
        <f t="shared" si="38"/>
        <v>0</v>
      </c>
      <c r="N55" s="603">
        <f t="shared" si="39"/>
        <v>0</v>
      </c>
      <c r="O55" s="272"/>
      <c r="P55" s="81">
        <f t="shared" si="22"/>
        <v>0</v>
      </c>
      <c r="Q55" s="81">
        <f t="shared" si="23"/>
        <v>0</v>
      </c>
      <c r="R55" s="81">
        <f t="shared" si="24"/>
        <v>0</v>
      </c>
      <c r="S55" s="81">
        <f t="shared" si="40"/>
        <v>0</v>
      </c>
      <c r="T55" s="281">
        <f t="shared" si="54"/>
        <v>0</v>
      </c>
      <c r="U55" s="120"/>
      <c r="V55" s="195">
        <f t="shared" si="55"/>
        <v>0</v>
      </c>
    </row>
    <row r="56" spans="1:22" ht="12.75" customHeight="1" x14ac:dyDescent="0.25">
      <c r="A56" s="14" t="s">
        <v>54</v>
      </c>
      <c r="B56" s="20" t="s">
        <v>55</v>
      </c>
      <c r="C56" s="272">
        <v>0</v>
      </c>
      <c r="D56" s="272">
        <v>50000</v>
      </c>
      <c r="E56" s="272">
        <v>50000</v>
      </c>
      <c r="F56" s="272"/>
      <c r="G56" s="272"/>
      <c r="H56" s="272">
        <v>0</v>
      </c>
      <c r="I56" s="272">
        <v>50000</v>
      </c>
      <c r="J56" s="272"/>
      <c r="K56" s="272"/>
      <c r="L56" s="603">
        <f t="shared" si="37"/>
        <v>0</v>
      </c>
      <c r="M56" s="603">
        <f t="shared" si="38"/>
        <v>1</v>
      </c>
      <c r="N56" s="603">
        <f t="shared" si="39"/>
        <v>0</v>
      </c>
      <c r="O56" s="272"/>
      <c r="P56" s="81">
        <f t="shared" si="22"/>
        <v>50000</v>
      </c>
      <c r="Q56" s="81">
        <f t="shared" si="23"/>
        <v>0</v>
      </c>
      <c r="R56" s="81">
        <f t="shared" si="24"/>
        <v>0</v>
      </c>
      <c r="S56" s="81">
        <f t="shared" si="40"/>
        <v>50000</v>
      </c>
      <c r="T56" s="281">
        <f t="shared" si="54"/>
        <v>0</v>
      </c>
      <c r="U56" s="120"/>
      <c r="V56" s="195">
        <f t="shared" si="55"/>
        <v>0</v>
      </c>
    </row>
    <row r="57" spans="1:22" ht="12.75" customHeight="1" x14ac:dyDescent="0.25">
      <c r="A57" s="14"/>
      <c r="B57" s="20" t="s">
        <v>56</v>
      </c>
      <c r="C57" s="272"/>
      <c r="D57" s="272"/>
      <c r="E57" s="272"/>
      <c r="F57" s="272"/>
      <c r="G57" s="272"/>
      <c r="H57" s="272"/>
      <c r="I57" s="272"/>
      <c r="J57" s="272"/>
      <c r="K57" s="272"/>
      <c r="L57" s="603">
        <f t="shared" si="37"/>
        <v>0</v>
      </c>
      <c r="M57" s="603">
        <f t="shared" si="38"/>
        <v>0</v>
      </c>
      <c r="N57" s="603">
        <f t="shared" si="39"/>
        <v>0</v>
      </c>
      <c r="O57" s="272"/>
      <c r="P57" s="81">
        <f t="shared" si="22"/>
        <v>0</v>
      </c>
      <c r="Q57" s="81">
        <f t="shared" si="23"/>
        <v>0</v>
      </c>
      <c r="R57" s="81">
        <f t="shared" si="24"/>
        <v>0</v>
      </c>
      <c r="S57" s="81">
        <f t="shared" si="40"/>
        <v>0</v>
      </c>
      <c r="T57" s="281">
        <f t="shared" si="54"/>
        <v>0</v>
      </c>
      <c r="U57" s="120"/>
      <c r="V57" s="195">
        <f t="shared" si="55"/>
        <v>0</v>
      </c>
    </row>
    <row r="58" spans="1:22" ht="12.75" customHeight="1" x14ac:dyDescent="0.25">
      <c r="A58" s="14" t="s">
        <v>57</v>
      </c>
      <c r="B58" s="20" t="s">
        <v>91</v>
      </c>
      <c r="C58" s="272">
        <v>1250000</v>
      </c>
      <c r="D58" s="272">
        <v>788000</v>
      </c>
      <c r="E58" s="272">
        <v>90000</v>
      </c>
      <c r="F58" s="272"/>
      <c r="G58" s="272"/>
      <c r="H58" s="272">
        <v>90000</v>
      </c>
      <c r="I58" s="272">
        <v>90000</v>
      </c>
      <c r="J58" s="272"/>
      <c r="K58" s="272"/>
      <c r="L58" s="603">
        <f t="shared" si="37"/>
        <v>7.1999999999999995E-2</v>
      </c>
      <c r="M58" s="603">
        <f t="shared" si="38"/>
        <v>0.11421319796954314</v>
      </c>
      <c r="N58" s="603">
        <f t="shared" si="39"/>
        <v>0</v>
      </c>
      <c r="O58" s="272"/>
      <c r="P58" s="81">
        <f t="shared" si="22"/>
        <v>-462000</v>
      </c>
      <c r="Q58" s="81">
        <f t="shared" si="23"/>
        <v>-698000</v>
      </c>
      <c r="R58" s="81">
        <f t="shared" si="24"/>
        <v>0</v>
      </c>
      <c r="S58" s="81">
        <f t="shared" si="40"/>
        <v>-1160000</v>
      </c>
      <c r="T58" s="281">
        <f t="shared" si="54"/>
        <v>-0.92800000000000005</v>
      </c>
      <c r="U58" s="120"/>
      <c r="V58" s="195">
        <f t="shared" si="55"/>
        <v>0</v>
      </c>
    </row>
    <row r="59" spans="1:22" ht="12.75" customHeight="1" x14ac:dyDescent="0.25">
      <c r="A59" s="14"/>
      <c r="B59" s="20" t="s">
        <v>58</v>
      </c>
      <c r="C59" s="272"/>
      <c r="D59" s="272"/>
      <c r="E59" s="272"/>
      <c r="F59" s="272"/>
      <c r="G59" s="272"/>
      <c r="H59" s="272"/>
      <c r="I59" s="272"/>
      <c r="J59" s="272"/>
      <c r="K59" s="272"/>
      <c r="L59" s="603">
        <f t="shared" si="37"/>
        <v>0</v>
      </c>
      <c r="M59" s="603">
        <f t="shared" si="38"/>
        <v>0</v>
      </c>
      <c r="N59" s="603">
        <f t="shared" si="39"/>
        <v>0</v>
      </c>
      <c r="O59" s="272"/>
      <c r="P59" s="81">
        <f t="shared" si="22"/>
        <v>0</v>
      </c>
      <c r="Q59" s="81">
        <f t="shared" si="23"/>
        <v>0</v>
      </c>
      <c r="R59" s="81">
        <f t="shared" si="24"/>
        <v>0</v>
      </c>
      <c r="S59" s="81">
        <f t="shared" si="40"/>
        <v>0</v>
      </c>
      <c r="T59" s="281">
        <f t="shared" si="54"/>
        <v>0</v>
      </c>
      <c r="U59" s="120"/>
      <c r="V59" s="195">
        <f t="shared" si="55"/>
        <v>0</v>
      </c>
    </row>
    <row r="60" spans="1:22" ht="12.75" customHeight="1" x14ac:dyDescent="0.25">
      <c r="A60" s="14" t="s">
        <v>59</v>
      </c>
      <c r="B60" s="20" t="s">
        <v>60</v>
      </c>
      <c r="C60" s="272">
        <v>0</v>
      </c>
      <c r="D60" s="272">
        <v>0</v>
      </c>
      <c r="E60" s="272">
        <v>0</v>
      </c>
      <c r="F60" s="272"/>
      <c r="G60" s="272"/>
      <c r="H60" s="272">
        <v>0</v>
      </c>
      <c r="I60" s="272">
        <v>0</v>
      </c>
      <c r="J60" s="272"/>
      <c r="K60" s="272"/>
      <c r="L60" s="603">
        <f t="shared" si="37"/>
        <v>0</v>
      </c>
      <c r="M60" s="603">
        <f t="shared" si="38"/>
        <v>0</v>
      </c>
      <c r="N60" s="603">
        <f t="shared" si="39"/>
        <v>0</v>
      </c>
      <c r="O60" s="272"/>
      <c r="P60" s="81">
        <f t="shared" si="22"/>
        <v>0</v>
      </c>
      <c r="Q60" s="81">
        <f t="shared" si="23"/>
        <v>0</v>
      </c>
      <c r="R60" s="81">
        <f t="shared" si="24"/>
        <v>0</v>
      </c>
      <c r="S60" s="81">
        <f t="shared" si="40"/>
        <v>0</v>
      </c>
      <c r="T60" s="281">
        <f t="shared" si="54"/>
        <v>0</v>
      </c>
      <c r="U60" s="120"/>
      <c r="V60" s="195">
        <f t="shared" si="55"/>
        <v>0</v>
      </c>
    </row>
    <row r="61" spans="1:22" ht="23.25" customHeight="1" x14ac:dyDescent="0.25">
      <c r="A61" s="20"/>
      <c r="B61" s="20" t="s">
        <v>61</v>
      </c>
      <c r="C61" s="272"/>
      <c r="D61" s="272"/>
      <c r="E61" s="272"/>
      <c r="F61" s="272"/>
      <c r="G61" s="272"/>
      <c r="H61" s="272"/>
      <c r="I61" s="272"/>
      <c r="J61" s="272"/>
      <c r="K61" s="272"/>
      <c r="L61" s="603">
        <f t="shared" si="37"/>
        <v>0</v>
      </c>
      <c r="M61" s="603">
        <f t="shared" si="38"/>
        <v>0</v>
      </c>
      <c r="N61" s="603">
        <f t="shared" si="39"/>
        <v>0</v>
      </c>
      <c r="O61" s="272"/>
      <c r="P61" s="81">
        <f t="shared" si="22"/>
        <v>0</v>
      </c>
      <c r="Q61" s="81">
        <f t="shared" si="23"/>
        <v>0</v>
      </c>
      <c r="R61" s="81">
        <f t="shared" si="24"/>
        <v>0</v>
      </c>
      <c r="S61" s="81">
        <f t="shared" si="40"/>
        <v>0</v>
      </c>
      <c r="T61" s="281">
        <f t="shared" si="54"/>
        <v>0</v>
      </c>
      <c r="U61" s="120"/>
      <c r="V61" s="195">
        <f t="shared" si="55"/>
        <v>0</v>
      </c>
    </row>
    <row r="62" spans="1:22" ht="12.75" customHeight="1" x14ac:dyDescent="0.25">
      <c r="A62" s="14" t="s">
        <v>62</v>
      </c>
      <c r="B62" s="20" t="s">
        <v>63</v>
      </c>
      <c r="C62" s="272">
        <v>300000</v>
      </c>
      <c r="D62" s="272">
        <v>300000</v>
      </c>
      <c r="E62" s="272">
        <v>300000</v>
      </c>
      <c r="F62" s="272"/>
      <c r="G62" s="272"/>
      <c r="H62" s="272">
        <v>238500</v>
      </c>
      <c r="I62" s="272">
        <v>266846</v>
      </c>
      <c r="J62" s="272"/>
      <c r="K62" s="272"/>
      <c r="L62" s="603">
        <f t="shared" si="37"/>
        <v>0.79500000000000004</v>
      </c>
      <c r="M62" s="603">
        <f t="shared" si="38"/>
        <v>0.88948666666666665</v>
      </c>
      <c r="N62" s="603">
        <f t="shared" si="39"/>
        <v>0</v>
      </c>
      <c r="O62" s="272"/>
      <c r="P62" s="81">
        <f t="shared" si="22"/>
        <v>0</v>
      </c>
      <c r="Q62" s="81">
        <f t="shared" si="23"/>
        <v>0</v>
      </c>
      <c r="R62" s="81">
        <f t="shared" si="24"/>
        <v>0</v>
      </c>
      <c r="S62" s="81">
        <f t="shared" si="40"/>
        <v>0</v>
      </c>
      <c r="T62" s="281">
        <f t="shared" ref="T62:T70" si="56">IF(C62=0,0,+S62/C62)</f>
        <v>0</v>
      </c>
      <c r="U62" s="120"/>
      <c r="V62" s="195">
        <f t="shared" si="55"/>
        <v>0</v>
      </c>
    </row>
    <row r="63" spans="1:22" ht="61.5" customHeight="1" x14ac:dyDescent="0.25">
      <c r="A63" s="14"/>
      <c r="B63" s="20" t="s">
        <v>102</v>
      </c>
      <c r="C63" s="272"/>
      <c r="D63" s="272"/>
      <c r="E63" s="272"/>
      <c r="F63" s="272"/>
      <c r="G63" s="272"/>
      <c r="H63" s="272"/>
      <c r="I63" s="272"/>
      <c r="J63" s="272"/>
      <c r="K63" s="272"/>
      <c r="L63" s="603">
        <f t="shared" si="37"/>
        <v>0</v>
      </c>
      <c r="M63" s="603">
        <f t="shared" si="38"/>
        <v>0</v>
      </c>
      <c r="N63" s="603">
        <f t="shared" si="39"/>
        <v>0</v>
      </c>
      <c r="O63" s="272"/>
      <c r="P63" s="81">
        <f t="shared" si="22"/>
        <v>0</v>
      </c>
      <c r="Q63" s="81">
        <f t="shared" si="23"/>
        <v>0</v>
      </c>
      <c r="R63" s="81">
        <f t="shared" si="24"/>
        <v>0</v>
      </c>
      <c r="S63" s="81">
        <f t="shared" si="40"/>
        <v>0</v>
      </c>
      <c r="T63" s="281">
        <f t="shared" si="56"/>
        <v>0</v>
      </c>
      <c r="U63" s="120"/>
      <c r="V63" s="195">
        <f t="shared" si="55"/>
        <v>0</v>
      </c>
    </row>
    <row r="64" spans="1:22" ht="12.75" customHeight="1" x14ac:dyDescent="0.25">
      <c r="A64" s="14" t="s">
        <v>64</v>
      </c>
      <c r="B64" s="20" t="s">
        <v>65</v>
      </c>
      <c r="C64" s="272">
        <v>560000</v>
      </c>
      <c r="D64" s="272">
        <v>560000</v>
      </c>
      <c r="E64" s="272">
        <v>560000</v>
      </c>
      <c r="F64" s="272"/>
      <c r="G64" s="272"/>
      <c r="H64" s="272">
        <v>189839</v>
      </c>
      <c r="I64" s="272">
        <v>410083</v>
      </c>
      <c r="J64" s="272"/>
      <c r="K64" s="272"/>
      <c r="L64" s="603">
        <f t="shared" si="37"/>
        <v>0.33899821428571431</v>
      </c>
      <c r="M64" s="603">
        <f t="shared" si="38"/>
        <v>0.73229107142857142</v>
      </c>
      <c r="N64" s="603">
        <f t="shared" si="39"/>
        <v>0</v>
      </c>
      <c r="O64" s="272"/>
      <c r="P64" s="81">
        <f t="shared" si="22"/>
        <v>0</v>
      </c>
      <c r="Q64" s="81">
        <f t="shared" si="23"/>
        <v>0</v>
      </c>
      <c r="R64" s="81">
        <f t="shared" si="24"/>
        <v>0</v>
      </c>
      <c r="S64" s="81">
        <f t="shared" si="40"/>
        <v>0</v>
      </c>
      <c r="T64" s="281">
        <f t="shared" si="56"/>
        <v>0</v>
      </c>
      <c r="U64" s="120"/>
      <c r="V64" s="195">
        <f t="shared" si="55"/>
        <v>0</v>
      </c>
    </row>
    <row r="65" spans="1:22" ht="54.75" customHeight="1" x14ac:dyDescent="0.25">
      <c r="A65" s="14"/>
      <c r="B65" s="20" t="s">
        <v>66</v>
      </c>
      <c r="C65" s="272"/>
      <c r="D65" s="272"/>
      <c r="E65" s="272"/>
      <c r="F65" s="272"/>
      <c r="G65" s="272"/>
      <c r="H65" s="272"/>
      <c r="I65" s="272"/>
      <c r="J65" s="272"/>
      <c r="K65" s="272"/>
      <c r="L65" s="603">
        <f t="shared" si="37"/>
        <v>0</v>
      </c>
      <c r="M65" s="603">
        <f t="shared" si="38"/>
        <v>0</v>
      </c>
      <c r="N65" s="603">
        <f t="shared" si="39"/>
        <v>0</v>
      </c>
      <c r="O65" s="272"/>
      <c r="P65" s="81">
        <f t="shared" si="22"/>
        <v>0</v>
      </c>
      <c r="Q65" s="81">
        <f t="shared" si="23"/>
        <v>0</v>
      </c>
      <c r="R65" s="81">
        <f t="shared" si="24"/>
        <v>0</v>
      </c>
      <c r="S65" s="81">
        <f t="shared" si="40"/>
        <v>0</v>
      </c>
      <c r="T65" s="281">
        <f t="shared" si="56"/>
        <v>0</v>
      </c>
      <c r="U65" s="120"/>
      <c r="V65" s="195">
        <f t="shared" si="55"/>
        <v>0</v>
      </c>
    </row>
    <row r="66" spans="1:22" s="42" customFormat="1" ht="12.75" customHeight="1" x14ac:dyDescent="0.25">
      <c r="A66" s="38" t="s">
        <v>67</v>
      </c>
      <c r="B66" s="39" t="s">
        <v>68</v>
      </c>
      <c r="C66" s="275">
        <f>+C67+C69</f>
        <v>10000</v>
      </c>
      <c r="D66" s="275">
        <f>+D67+D69</f>
        <v>10000</v>
      </c>
      <c r="E66" s="275">
        <f>+E67+E69</f>
        <v>10000</v>
      </c>
      <c r="F66" s="275">
        <f>+F67+F69</f>
        <v>0</v>
      </c>
      <c r="G66" s="275"/>
      <c r="H66" s="275">
        <f>+H67+H69</f>
        <v>0</v>
      </c>
      <c r="I66" s="275">
        <f t="shared" ref="I66:J66" si="57">+I67+I69</f>
        <v>0</v>
      </c>
      <c r="J66" s="275">
        <f t="shared" si="57"/>
        <v>0</v>
      </c>
      <c r="K66" s="275"/>
      <c r="L66" s="603">
        <f t="shared" si="37"/>
        <v>0</v>
      </c>
      <c r="M66" s="603">
        <f t="shared" si="38"/>
        <v>0</v>
      </c>
      <c r="N66" s="603">
        <f t="shared" si="39"/>
        <v>0</v>
      </c>
      <c r="O66" s="275"/>
      <c r="P66" s="275">
        <f t="shared" si="22"/>
        <v>0</v>
      </c>
      <c r="Q66" s="275">
        <f t="shared" si="23"/>
        <v>0</v>
      </c>
      <c r="R66" s="275">
        <f t="shared" si="24"/>
        <v>0</v>
      </c>
      <c r="S66" s="275">
        <f t="shared" si="40"/>
        <v>0</v>
      </c>
      <c r="T66" s="281">
        <f t="shared" si="56"/>
        <v>0</v>
      </c>
      <c r="U66" s="120"/>
      <c r="V66" s="195">
        <f t="shared" si="55"/>
        <v>0</v>
      </c>
    </row>
    <row r="67" spans="1:22" ht="12.75" customHeight="1" x14ac:dyDescent="0.25">
      <c r="A67" s="14" t="s">
        <v>69</v>
      </c>
      <c r="B67" s="20" t="s">
        <v>70</v>
      </c>
      <c r="C67" s="272">
        <v>10000</v>
      </c>
      <c r="D67" s="272">
        <v>10000</v>
      </c>
      <c r="E67" s="272">
        <v>10000</v>
      </c>
      <c r="F67" s="272"/>
      <c r="G67" s="272"/>
      <c r="H67" s="272">
        <v>0</v>
      </c>
      <c r="I67" s="272">
        <v>0</v>
      </c>
      <c r="J67" s="272"/>
      <c r="K67" s="272"/>
      <c r="L67" s="603">
        <f t="shared" si="37"/>
        <v>0</v>
      </c>
      <c r="M67" s="603">
        <f t="shared" si="38"/>
        <v>0</v>
      </c>
      <c r="N67" s="603">
        <f t="shared" si="39"/>
        <v>0</v>
      </c>
      <c r="O67" s="272"/>
      <c r="P67" s="81">
        <f t="shared" si="22"/>
        <v>0</v>
      </c>
      <c r="Q67" s="81">
        <f t="shared" si="23"/>
        <v>0</v>
      </c>
      <c r="R67" s="81">
        <f t="shared" si="24"/>
        <v>0</v>
      </c>
      <c r="S67" s="81">
        <f t="shared" si="40"/>
        <v>0</v>
      </c>
      <c r="T67" s="281">
        <f t="shared" si="56"/>
        <v>0</v>
      </c>
      <c r="U67" s="120"/>
      <c r="V67" s="195">
        <f t="shared" si="55"/>
        <v>0</v>
      </c>
    </row>
    <row r="68" spans="1:22" ht="24" customHeight="1" x14ac:dyDescent="0.25">
      <c r="A68" s="14"/>
      <c r="B68" s="20" t="s">
        <v>71</v>
      </c>
      <c r="C68" s="272"/>
      <c r="D68" s="272"/>
      <c r="E68" s="272"/>
      <c r="F68" s="272"/>
      <c r="G68" s="272"/>
      <c r="H68" s="272"/>
      <c r="I68" s="272"/>
      <c r="J68" s="272"/>
      <c r="K68" s="272"/>
      <c r="L68" s="603">
        <f t="shared" si="37"/>
        <v>0</v>
      </c>
      <c r="M68" s="603">
        <f t="shared" si="38"/>
        <v>0</v>
      </c>
      <c r="N68" s="603">
        <f t="shared" si="39"/>
        <v>0</v>
      </c>
      <c r="O68" s="272"/>
      <c r="P68" s="81">
        <f t="shared" si="22"/>
        <v>0</v>
      </c>
      <c r="Q68" s="81">
        <f t="shared" si="23"/>
        <v>0</v>
      </c>
      <c r="R68" s="81">
        <f t="shared" si="24"/>
        <v>0</v>
      </c>
      <c r="S68" s="81">
        <f t="shared" si="40"/>
        <v>0</v>
      </c>
      <c r="T68" s="281">
        <f t="shared" si="56"/>
        <v>0</v>
      </c>
      <c r="U68" s="120"/>
      <c r="V68" s="195">
        <f t="shared" si="55"/>
        <v>0</v>
      </c>
    </row>
    <row r="69" spans="1:22" ht="12.75" customHeight="1" x14ac:dyDescent="0.25">
      <c r="A69" s="14" t="s">
        <v>72</v>
      </c>
      <c r="B69" s="20" t="s">
        <v>100</v>
      </c>
      <c r="C69" s="272"/>
      <c r="D69" s="272"/>
      <c r="E69" s="272"/>
      <c r="F69" s="272"/>
      <c r="G69" s="272"/>
      <c r="H69" s="272"/>
      <c r="I69" s="272"/>
      <c r="J69" s="272"/>
      <c r="K69" s="272"/>
      <c r="L69" s="603">
        <f t="shared" si="37"/>
        <v>0</v>
      </c>
      <c r="M69" s="603">
        <f t="shared" si="38"/>
        <v>0</v>
      </c>
      <c r="N69" s="603">
        <f t="shared" si="39"/>
        <v>0</v>
      </c>
      <c r="O69" s="272"/>
      <c r="P69" s="81">
        <f t="shared" si="22"/>
        <v>0</v>
      </c>
      <c r="Q69" s="81">
        <f t="shared" si="23"/>
        <v>0</v>
      </c>
      <c r="R69" s="81">
        <f t="shared" si="24"/>
        <v>0</v>
      </c>
      <c r="S69" s="81">
        <f t="shared" si="40"/>
        <v>0</v>
      </c>
      <c r="T69" s="281">
        <f t="shared" si="56"/>
        <v>0</v>
      </c>
      <c r="U69" s="120"/>
      <c r="V69" s="195">
        <f t="shared" si="55"/>
        <v>0</v>
      </c>
    </row>
    <row r="70" spans="1:22" ht="26.25" customHeight="1" x14ac:dyDescent="0.25">
      <c r="A70" s="14"/>
      <c r="B70" s="20" t="s">
        <v>73</v>
      </c>
      <c r="C70" s="272"/>
      <c r="D70" s="272"/>
      <c r="E70" s="272"/>
      <c r="F70" s="272"/>
      <c r="G70" s="272"/>
      <c r="H70" s="272"/>
      <c r="I70" s="272"/>
      <c r="J70" s="272"/>
      <c r="K70" s="272"/>
      <c r="L70" s="603">
        <f t="shared" si="37"/>
        <v>0</v>
      </c>
      <c r="M70" s="603">
        <f t="shared" si="38"/>
        <v>0</v>
      </c>
      <c r="N70" s="603">
        <f t="shared" si="39"/>
        <v>0</v>
      </c>
      <c r="O70" s="272"/>
      <c r="P70" s="81">
        <f t="shared" si="22"/>
        <v>0</v>
      </c>
      <c r="Q70" s="81">
        <f t="shared" si="23"/>
        <v>0</v>
      </c>
      <c r="R70" s="81">
        <f t="shared" si="24"/>
        <v>0</v>
      </c>
      <c r="S70" s="81">
        <f t="shared" si="40"/>
        <v>0</v>
      </c>
      <c r="T70" s="281">
        <f t="shared" si="56"/>
        <v>0</v>
      </c>
      <c r="U70" s="120"/>
      <c r="V70" s="195">
        <f t="shared" si="55"/>
        <v>0</v>
      </c>
    </row>
    <row r="71" spans="1:22" s="42" customFormat="1" ht="12.75" customHeight="1" x14ac:dyDescent="0.25">
      <c r="A71" s="38" t="s">
        <v>74</v>
      </c>
      <c r="B71" s="39" t="s">
        <v>75</v>
      </c>
      <c r="C71" s="275">
        <f>SUM(C72:C81)</f>
        <v>2360000</v>
      </c>
      <c r="D71" s="275">
        <f t="shared" ref="D71:J71" si="58">SUM(D72:D81)</f>
        <v>2360000</v>
      </c>
      <c r="E71" s="275">
        <f t="shared" si="58"/>
        <v>3058000</v>
      </c>
      <c r="F71" s="275">
        <f t="shared" si="58"/>
        <v>0</v>
      </c>
      <c r="G71" s="275"/>
      <c r="H71" s="275">
        <f t="shared" si="58"/>
        <v>1137073</v>
      </c>
      <c r="I71" s="275">
        <f t="shared" si="58"/>
        <v>1782440</v>
      </c>
      <c r="J71" s="275">
        <f t="shared" si="58"/>
        <v>0</v>
      </c>
      <c r="K71" s="275"/>
      <c r="L71" s="604">
        <f t="shared" si="37"/>
        <v>0.48181059322033898</v>
      </c>
      <c r="M71" s="604">
        <f t="shared" si="38"/>
        <v>0.75527118644067792</v>
      </c>
      <c r="N71" s="604">
        <f t="shared" si="39"/>
        <v>0</v>
      </c>
      <c r="O71" s="275"/>
      <c r="P71" s="275">
        <f t="shared" si="22"/>
        <v>0</v>
      </c>
      <c r="Q71" s="275">
        <f t="shared" si="23"/>
        <v>698000</v>
      </c>
      <c r="R71" s="275">
        <f t="shared" si="24"/>
        <v>0</v>
      </c>
      <c r="S71" s="275">
        <f t="shared" si="40"/>
        <v>698000</v>
      </c>
      <c r="V71" s="195">
        <f t="shared" si="55"/>
        <v>0</v>
      </c>
    </row>
    <row r="72" spans="1:22" ht="12.75" customHeight="1" x14ac:dyDescent="0.25">
      <c r="A72" s="14" t="s">
        <v>76</v>
      </c>
      <c r="B72" s="20" t="s">
        <v>77</v>
      </c>
      <c r="C72" s="272">
        <v>2000000</v>
      </c>
      <c r="D72" s="272">
        <v>2000000</v>
      </c>
      <c r="E72" s="272">
        <v>2698000</v>
      </c>
      <c r="F72" s="272"/>
      <c r="G72" s="272"/>
      <c r="H72" s="272">
        <v>1088164</v>
      </c>
      <c r="I72" s="272">
        <v>1732679</v>
      </c>
      <c r="J72" s="272"/>
      <c r="K72" s="272"/>
      <c r="L72" s="603">
        <f t="shared" si="37"/>
        <v>0.54408199999999995</v>
      </c>
      <c r="M72" s="603">
        <f t="shared" si="38"/>
        <v>0.86633950000000004</v>
      </c>
      <c r="N72" s="603">
        <f t="shared" si="39"/>
        <v>0</v>
      </c>
      <c r="O72" s="272"/>
      <c r="P72" s="81">
        <f t="shared" si="22"/>
        <v>0</v>
      </c>
      <c r="Q72" s="81">
        <f t="shared" si="23"/>
        <v>698000</v>
      </c>
      <c r="R72" s="81">
        <f t="shared" si="24"/>
        <v>0</v>
      </c>
      <c r="S72" s="81">
        <f t="shared" si="40"/>
        <v>698000</v>
      </c>
      <c r="T72" s="281">
        <f t="shared" ref="T72:T81" si="59">IF(C72=0,0,+S72/C72)</f>
        <v>0.34899999999999998</v>
      </c>
      <c r="U72" s="120"/>
      <c r="V72" s="195">
        <f t="shared" si="55"/>
        <v>0</v>
      </c>
    </row>
    <row r="73" spans="1:22" ht="12.75" customHeight="1" x14ac:dyDescent="0.25">
      <c r="A73" s="14"/>
      <c r="B73" s="20" t="s">
        <v>78</v>
      </c>
      <c r="C73" s="272"/>
      <c r="D73" s="272"/>
      <c r="E73" s="272"/>
      <c r="F73" s="272"/>
      <c r="G73" s="272"/>
      <c r="H73" s="272"/>
      <c r="I73" s="272"/>
      <c r="J73" s="272"/>
      <c r="K73" s="272"/>
      <c r="L73" s="603">
        <f t="shared" si="37"/>
        <v>0</v>
      </c>
      <c r="M73" s="603">
        <f t="shared" si="38"/>
        <v>0</v>
      </c>
      <c r="N73" s="603">
        <f t="shared" si="39"/>
        <v>0</v>
      </c>
      <c r="O73" s="272"/>
      <c r="P73" s="81">
        <f t="shared" si="22"/>
        <v>0</v>
      </c>
      <c r="Q73" s="81">
        <f t="shared" si="23"/>
        <v>0</v>
      </c>
      <c r="R73" s="81">
        <f t="shared" si="24"/>
        <v>0</v>
      </c>
      <c r="S73" s="81">
        <f t="shared" si="40"/>
        <v>0</v>
      </c>
      <c r="T73" s="281">
        <f t="shared" si="59"/>
        <v>0</v>
      </c>
      <c r="U73" s="120"/>
      <c r="V73" s="195">
        <f t="shared" si="55"/>
        <v>0</v>
      </c>
    </row>
    <row r="74" spans="1:22" ht="12.75" customHeight="1" x14ac:dyDescent="0.25">
      <c r="A74" s="14" t="s">
        <v>79</v>
      </c>
      <c r="B74" s="20" t="s">
        <v>80</v>
      </c>
      <c r="C74" s="272">
        <v>350000</v>
      </c>
      <c r="D74" s="272">
        <v>350000</v>
      </c>
      <c r="E74" s="272">
        <v>350000</v>
      </c>
      <c r="F74" s="272"/>
      <c r="G74" s="272"/>
      <c r="H74" s="272">
        <v>48000</v>
      </c>
      <c r="I74" s="272">
        <v>48000</v>
      </c>
      <c r="J74" s="272"/>
      <c r="K74" s="272"/>
      <c r="L74" s="603">
        <f t="shared" si="37"/>
        <v>0.13714285714285715</v>
      </c>
      <c r="M74" s="603">
        <f t="shared" si="38"/>
        <v>0.13714285714285715</v>
      </c>
      <c r="N74" s="603">
        <f t="shared" si="39"/>
        <v>0</v>
      </c>
      <c r="O74" s="272"/>
      <c r="P74" s="81">
        <f t="shared" si="22"/>
        <v>0</v>
      </c>
      <c r="Q74" s="81">
        <f t="shared" si="23"/>
        <v>0</v>
      </c>
      <c r="R74" s="81">
        <f t="shared" si="24"/>
        <v>0</v>
      </c>
      <c r="S74" s="81">
        <f t="shared" si="40"/>
        <v>0</v>
      </c>
      <c r="T74" s="281">
        <f t="shared" si="59"/>
        <v>0</v>
      </c>
      <c r="U74" s="120"/>
      <c r="V74" s="195">
        <f t="shared" si="55"/>
        <v>0</v>
      </c>
    </row>
    <row r="75" spans="1:22" ht="12.75" customHeight="1" x14ac:dyDescent="0.25">
      <c r="A75" s="14"/>
      <c r="B75" s="20" t="s">
        <v>101</v>
      </c>
      <c r="C75" s="272"/>
      <c r="D75" s="272"/>
      <c r="E75" s="272"/>
      <c r="F75" s="272"/>
      <c r="G75" s="272"/>
      <c r="H75" s="272"/>
      <c r="I75" s="272"/>
      <c r="J75" s="272"/>
      <c r="K75" s="272"/>
      <c r="L75" s="603">
        <f t="shared" si="37"/>
        <v>0</v>
      </c>
      <c r="M75" s="603">
        <f t="shared" si="38"/>
        <v>0</v>
      </c>
      <c r="N75" s="603">
        <f t="shared" si="39"/>
        <v>0</v>
      </c>
      <c r="O75" s="272"/>
      <c r="P75" s="81">
        <f t="shared" si="22"/>
        <v>0</v>
      </c>
      <c r="Q75" s="81">
        <f t="shared" si="23"/>
        <v>0</v>
      </c>
      <c r="R75" s="81">
        <f t="shared" si="24"/>
        <v>0</v>
      </c>
      <c r="S75" s="81">
        <f t="shared" si="40"/>
        <v>0</v>
      </c>
      <c r="T75" s="281">
        <f t="shared" si="59"/>
        <v>0</v>
      </c>
      <c r="U75" s="120"/>
      <c r="V75" s="195">
        <f t="shared" si="55"/>
        <v>0</v>
      </c>
    </row>
    <row r="76" spans="1:22" ht="12.75" customHeight="1" x14ac:dyDescent="0.25">
      <c r="A76" s="14" t="s">
        <v>81</v>
      </c>
      <c r="B76" s="20" t="s">
        <v>82</v>
      </c>
      <c r="C76" s="272"/>
      <c r="D76" s="272"/>
      <c r="E76" s="272"/>
      <c r="F76" s="272"/>
      <c r="G76" s="272"/>
      <c r="H76" s="272"/>
      <c r="I76" s="272"/>
      <c r="J76" s="272"/>
      <c r="K76" s="272"/>
      <c r="L76" s="603">
        <f t="shared" si="37"/>
        <v>0</v>
      </c>
      <c r="M76" s="603">
        <f t="shared" si="38"/>
        <v>0</v>
      </c>
      <c r="N76" s="603">
        <f t="shared" si="39"/>
        <v>0</v>
      </c>
      <c r="O76" s="272"/>
      <c r="P76" s="81">
        <f t="shared" si="22"/>
        <v>0</v>
      </c>
      <c r="Q76" s="81">
        <f t="shared" si="23"/>
        <v>0</v>
      </c>
      <c r="R76" s="81">
        <f t="shared" si="24"/>
        <v>0</v>
      </c>
      <c r="S76" s="81">
        <f t="shared" si="40"/>
        <v>0</v>
      </c>
      <c r="T76" s="281">
        <f t="shared" si="59"/>
        <v>0</v>
      </c>
      <c r="U76" s="120"/>
      <c r="V76" s="195">
        <f t="shared" si="55"/>
        <v>0</v>
      </c>
    </row>
    <row r="77" spans="1:22" ht="30.75" customHeight="1" x14ac:dyDescent="0.25">
      <c r="A77" s="14"/>
      <c r="B77" s="20" t="s">
        <v>106</v>
      </c>
      <c r="C77" s="272"/>
      <c r="D77" s="272"/>
      <c r="E77" s="272"/>
      <c r="F77" s="272"/>
      <c r="G77" s="272"/>
      <c r="H77" s="272"/>
      <c r="I77" s="272"/>
      <c r="J77" s="272"/>
      <c r="K77" s="272"/>
      <c r="L77" s="603">
        <f t="shared" si="37"/>
        <v>0</v>
      </c>
      <c r="M77" s="603">
        <f t="shared" si="38"/>
        <v>0</v>
      </c>
      <c r="N77" s="603">
        <f t="shared" si="39"/>
        <v>0</v>
      </c>
      <c r="O77" s="272"/>
      <c r="P77" s="81">
        <f t="shared" si="22"/>
        <v>0</v>
      </c>
      <c r="Q77" s="81">
        <f t="shared" si="23"/>
        <v>0</v>
      </c>
      <c r="R77" s="81">
        <f t="shared" si="24"/>
        <v>0</v>
      </c>
      <c r="S77" s="81">
        <f t="shared" si="40"/>
        <v>0</v>
      </c>
      <c r="T77" s="281">
        <f t="shared" si="59"/>
        <v>0</v>
      </c>
      <c r="U77" s="120"/>
      <c r="V77" s="195">
        <f t="shared" si="55"/>
        <v>0</v>
      </c>
    </row>
    <row r="78" spans="1:22" ht="12.75" customHeight="1" x14ac:dyDescent="0.25">
      <c r="A78" s="14" t="s">
        <v>84</v>
      </c>
      <c r="B78" s="20" t="s">
        <v>85</v>
      </c>
      <c r="C78" s="272"/>
      <c r="D78" s="272"/>
      <c r="E78" s="272"/>
      <c r="F78" s="272"/>
      <c r="G78" s="272"/>
      <c r="H78" s="272"/>
      <c r="I78" s="272"/>
      <c r="J78" s="272"/>
      <c r="K78" s="272"/>
      <c r="L78" s="603">
        <f t="shared" si="37"/>
        <v>0</v>
      </c>
      <c r="M78" s="603">
        <f t="shared" si="38"/>
        <v>0</v>
      </c>
      <c r="N78" s="603">
        <f t="shared" si="39"/>
        <v>0</v>
      </c>
      <c r="O78" s="272"/>
      <c r="P78" s="81">
        <f t="shared" si="22"/>
        <v>0</v>
      </c>
      <c r="Q78" s="81">
        <f t="shared" si="23"/>
        <v>0</v>
      </c>
      <c r="R78" s="81">
        <f t="shared" si="24"/>
        <v>0</v>
      </c>
      <c r="S78" s="81">
        <f t="shared" si="40"/>
        <v>0</v>
      </c>
      <c r="T78" s="281">
        <f t="shared" si="59"/>
        <v>0</v>
      </c>
      <c r="U78" s="120"/>
      <c r="V78" s="195">
        <f t="shared" si="55"/>
        <v>0</v>
      </c>
    </row>
    <row r="79" spans="1:22" ht="12.75" customHeight="1" x14ac:dyDescent="0.25">
      <c r="A79" s="14"/>
      <c r="B79" s="20" t="s">
        <v>86</v>
      </c>
      <c r="C79" s="272"/>
      <c r="D79" s="272"/>
      <c r="E79" s="272"/>
      <c r="F79" s="272"/>
      <c r="G79" s="272"/>
      <c r="H79" s="272"/>
      <c r="I79" s="272"/>
      <c r="J79" s="272"/>
      <c r="K79" s="272"/>
      <c r="L79" s="603">
        <f t="shared" si="37"/>
        <v>0</v>
      </c>
      <c r="M79" s="603">
        <f t="shared" si="38"/>
        <v>0</v>
      </c>
      <c r="N79" s="603">
        <f t="shared" si="39"/>
        <v>0</v>
      </c>
      <c r="O79" s="272"/>
      <c r="P79" s="81">
        <f t="shared" si="22"/>
        <v>0</v>
      </c>
      <c r="Q79" s="81">
        <f t="shared" si="23"/>
        <v>0</v>
      </c>
      <c r="R79" s="81">
        <f t="shared" si="24"/>
        <v>0</v>
      </c>
      <c r="S79" s="81">
        <f t="shared" si="40"/>
        <v>0</v>
      </c>
      <c r="T79" s="281">
        <f t="shared" si="59"/>
        <v>0</v>
      </c>
      <c r="U79" s="120"/>
      <c r="V79" s="195">
        <f t="shared" si="55"/>
        <v>0</v>
      </c>
    </row>
    <row r="80" spans="1:22" ht="12.75" customHeight="1" x14ac:dyDescent="0.25">
      <c r="A80" s="14" t="s">
        <v>87</v>
      </c>
      <c r="B80" s="20" t="s">
        <v>88</v>
      </c>
      <c r="C80" s="272">
        <v>10000</v>
      </c>
      <c r="D80" s="272">
        <v>10000</v>
      </c>
      <c r="E80" s="272">
        <v>10000</v>
      </c>
      <c r="F80" s="272"/>
      <c r="G80" s="272"/>
      <c r="H80" s="272">
        <v>909</v>
      </c>
      <c r="I80" s="272">
        <v>1761</v>
      </c>
      <c r="J80" s="272"/>
      <c r="K80" s="272"/>
      <c r="L80" s="603">
        <f t="shared" si="37"/>
        <v>9.0899999999999995E-2</v>
      </c>
      <c r="M80" s="603">
        <f t="shared" si="38"/>
        <v>0.17610000000000001</v>
      </c>
      <c r="N80" s="603">
        <f t="shared" si="39"/>
        <v>0</v>
      </c>
      <c r="O80" s="272"/>
      <c r="P80" s="81">
        <f t="shared" si="22"/>
        <v>0</v>
      </c>
      <c r="Q80" s="81">
        <f t="shared" si="23"/>
        <v>0</v>
      </c>
      <c r="R80" s="81">
        <f t="shared" si="24"/>
        <v>0</v>
      </c>
      <c r="S80" s="81">
        <f t="shared" si="40"/>
        <v>0</v>
      </c>
      <c r="T80" s="281">
        <f t="shared" si="59"/>
        <v>0</v>
      </c>
      <c r="U80" s="120"/>
      <c r="V80" s="195">
        <f t="shared" si="55"/>
        <v>0</v>
      </c>
    </row>
    <row r="81" spans="1:24" ht="56.25" customHeight="1" x14ac:dyDescent="0.25">
      <c r="A81" s="14"/>
      <c r="B81" s="20" t="s">
        <v>92</v>
      </c>
      <c r="C81" s="272"/>
      <c r="D81" s="272"/>
      <c r="E81" s="272"/>
      <c r="F81" s="272"/>
      <c r="G81" s="272"/>
      <c r="H81" s="272"/>
      <c r="I81" s="272"/>
      <c r="J81" s="272"/>
      <c r="K81" s="272"/>
      <c r="L81" s="603">
        <f t="shared" si="37"/>
        <v>0</v>
      </c>
      <c r="M81" s="603">
        <f t="shared" si="38"/>
        <v>0</v>
      </c>
      <c r="N81" s="603">
        <f t="shared" si="39"/>
        <v>0</v>
      </c>
      <c r="O81" s="272"/>
      <c r="P81" s="81">
        <f t="shared" si="22"/>
        <v>0</v>
      </c>
      <c r="Q81" s="81">
        <f t="shared" si="23"/>
        <v>0</v>
      </c>
      <c r="R81" s="81">
        <f t="shared" si="24"/>
        <v>0</v>
      </c>
      <c r="S81" s="81">
        <f t="shared" si="40"/>
        <v>0</v>
      </c>
      <c r="T81" s="281">
        <f t="shared" si="59"/>
        <v>0</v>
      </c>
      <c r="U81" s="120"/>
      <c r="V81" s="195">
        <f t="shared" si="55"/>
        <v>0</v>
      </c>
    </row>
    <row r="82" spans="1:24" ht="12.75" customHeight="1" x14ac:dyDescent="0.25">
      <c r="A82" s="283"/>
      <c r="B82" s="284"/>
      <c r="C82" s="285"/>
      <c r="D82" s="285"/>
      <c r="E82" s="285"/>
      <c r="F82" s="285"/>
      <c r="G82" s="285"/>
      <c r="H82" s="285"/>
      <c r="I82" s="285"/>
      <c r="J82" s="285"/>
      <c r="K82" s="285"/>
      <c r="L82" s="619">
        <f t="shared" si="37"/>
        <v>0</v>
      </c>
      <c r="M82" s="619">
        <f t="shared" si="38"/>
        <v>0</v>
      </c>
      <c r="N82" s="619">
        <f t="shared" si="39"/>
        <v>0</v>
      </c>
      <c r="O82" s="285"/>
      <c r="P82" s="286"/>
      <c r="Q82" s="286"/>
      <c r="R82" s="286"/>
      <c r="S82" s="286">
        <f t="shared" si="40"/>
        <v>0</v>
      </c>
      <c r="T82" s="287"/>
      <c r="U82" s="288"/>
      <c r="V82" s="195"/>
    </row>
    <row r="83" spans="1:24" s="42" customFormat="1" ht="12.75" customHeight="1" x14ac:dyDescent="0.25">
      <c r="A83" s="4" t="s">
        <v>158</v>
      </c>
      <c r="B83" s="3" t="s">
        <v>159</v>
      </c>
      <c r="C83" s="277">
        <f>SUM(C84:C85)</f>
        <v>650000</v>
      </c>
      <c r="D83" s="277">
        <f t="shared" ref="D83:F83" si="60">SUM(D84:D85)</f>
        <v>1062000</v>
      </c>
      <c r="E83" s="277">
        <f t="shared" si="60"/>
        <v>1062000</v>
      </c>
      <c r="F83" s="277">
        <f t="shared" si="60"/>
        <v>0</v>
      </c>
      <c r="G83" s="277"/>
      <c r="H83" s="277">
        <f t="shared" ref="H83:J83" si="61">SUM(H84:H85)</f>
        <v>664685</v>
      </c>
      <c r="I83" s="277">
        <f t="shared" si="61"/>
        <v>1060925</v>
      </c>
      <c r="J83" s="277">
        <f t="shared" si="61"/>
        <v>0</v>
      </c>
      <c r="K83" s="277"/>
      <c r="L83" s="600">
        <f t="shared" si="37"/>
        <v>1.0225923076923078</v>
      </c>
      <c r="M83" s="600">
        <f t="shared" si="38"/>
        <v>0.99898775894538605</v>
      </c>
      <c r="N83" s="600">
        <f t="shared" si="39"/>
        <v>0</v>
      </c>
      <c r="O83" s="277"/>
      <c r="P83" s="277">
        <f t="shared" ref="P83:P88" si="62">+(D83-C83)*P$10</f>
        <v>412000</v>
      </c>
      <c r="Q83" s="277">
        <f t="shared" ref="Q83:Q88" si="63">+(E83-D83)*Q$10</f>
        <v>0</v>
      </c>
      <c r="R83" s="277">
        <f t="shared" ref="R83:R88" si="64">+(F83-E83)*R$10</f>
        <v>0</v>
      </c>
      <c r="S83" s="277">
        <f t="shared" si="40"/>
        <v>412000</v>
      </c>
      <c r="T83" s="282">
        <f t="shared" ref="T83:T88" si="65">IF(C83=0,0,+S83/C83)</f>
        <v>0.63384615384615384</v>
      </c>
      <c r="U83" s="120"/>
      <c r="V83" s="195">
        <f t="shared" ref="V83:V88" si="66">+S83-E83+C83</f>
        <v>0</v>
      </c>
    </row>
    <row r="84" spans="1:24" ht="12.75" customHeight="1" x14ac:dyDescent="0.25">
      <c r="A84" s="14"/>
      <c r="B84" s="20"/>
      <c r="C84" s="273">
        <v>650000</v>
      </c>
      <c r="D84" s="272">
        <v>1062000</v>
      </c>
      <c r="E84" s="272">
        <v>1062000</v>
      </c>
      <c r="F84" s="272"/>
      <c r="G84" s="272"/>
      <c r="H84" s="272">
        <v>664685</v>
      </c>
      <c r="I84" s="300">
        <v>1060925</v>
      </c>
      <c r="J84" s="272"/>
      <c r="K84" s="272"/>
      <c r="L84" s="609">
        <f t="shared" si="37"/>
        <v>1.0225923076923078</v>
      </c>
      <c r="M84" s="609">
        <f t="shared" si="38"/>
        <v>0.99898775894538605</v>
      </c>
      <c r="N84" s="609">
        <f t="shared" si="39"/>
        <v>0</v>
      </c>
      <c r="O84" s="272"/>
      <c r="P84" s="81">
        <f t="shared" si="62"/>
        <v>412000</v>
      </c>
      <c r="Q84" s="81">
        <f t="shared" si="63"/>
        <v>0</v>
      </c>
      <c r="R84" s="81">
        <f t="shared" si="64"/>
        <v>0</v>
      </c>
      <c r="S84" s="81">
        <f t="shared" si="40"/>
        <v>412000</v>
      </c>
      <c r="T84" s="281">
        <f t="shared" si="65"/>
        <v>0.63384615384615384</v>
      </c>
      <c r="U84" s="120"/>
      <c r="V84" s="195">
        <f t="shared" si="66"/>
        <v>0</v>
      </c>
    </row>
    <row r="85" spans="1:24" ht="12.75" hidden="1" customHeight="1" x14ac:dyDescent="0.25">
      <c r="A85" s="14"/>
      <c r="B85" s="20"/>
      <c r="C85" s="273"/>
      <c r="D85" s="272"/>
      <c r="E85" s="272"/>
      <c r="F85" s="272"/>
      <c r="G85" s="272"/>
      <c r="H85" s="272"/>
      <c r="I85" s="272"/>
      <c r="J85" s="272"/>
      <c r="K85" s="272"/>
      <c r="L85" s="602">
        <f t="shared" si="37"/>
        <v>0</v>
      </c>
      <c r="M85" s="602">
        <f t="shared" si="38"/>
        <v>0</v>
      </c>
      <c r="N85" s="602">
        <f t="shared" si="39"/>
        <v>0</v>
      </c>
      <c r="O85" s="272"/>
      <c r="P85" s="81">
        <f t="shared" si="62"/>
        <v>0</v>
      </c>
      <c r="Q85" s="81">
        <f t="shared" si="63"/>
        <v>0</v>
      </c>
      <c r="R85" s="81">
        <f t="shared" si="64"/>
        <v>0</v>
      </c>
      <c r="S85" s="81">
        <f t="shared" si="40"/>
        <v>0</v>
      </c>
      <c r="T85" s="281">
        <f t="shared" si="65"/>
        <v>0</v>
      </c>
      <c r="U85" s="120"/>
      <c r="V85" s="195">
        <f t="shared" si="66"/>
        <v>0</v>
      </c>
    </row>
    <row r="86" spans="1:24" s="42" customFormat="1" ht="12.75" customHeight="1" x14ac:dyDescent="0.25">
      <c r="A86" s="4" t="s">
        <v>173</v>
      </c>
      <c r="B86" s="3" t="s">
        <v>174</v>
      </c>
      <c r="C86" s="277">
        <f>SUM(C87:C88)</f>
        <v>0</v>
      </c>
      <c r="D86" s="277">
        <f t="shared" ref="D86:F86" si="67">SUM(D87:D88)</f>
        <v>0</v>
      </c>
      <c r="E86" s="277">
        <f t="shared" si="67"/>
        <v>0</v>
      </c>
      <c r="F86" s="277">
        <f t="shared" si="67"/>
        <v>0</v>
      </c>
      <c r="G86" s="277"/>
      <c r="H86" s="277">
        <f t="shared" ref="H86:J86" si="68">SUM(H87:H88)</f>
        <v>0</v>
      </c>
      <c r="I86" s="277">
        <f t="shared" si="68"/>
        <v>0</v>
      </c>
      <c r="J86" s="277">
        <f t="shared" si="68"/>
        <v>0</v>
      </c>
      <c r="K86" s="277"/>
      <c r="L86" s="600">
        <f t="shared" si="37"/>
        <v>0</v>
      </c>
      <c r="M86" s="600">
        <f t="shared" si="38"/>
        <v>0</v>
      </c>
      <c r="N86" s="600">
        <f t="shared" si="39"/>
        <v>0</v>
      </c>
      <c r="O86" s="277"/>
      <c r="P86" s="277">
        <f t="shared" si="62"/>
        <v>0</v>
      </c>
      <c r="Q86" s="277">
        <f t="shared" si="63"/>
        <v>0</v>
      </c>
      <c r="R86" s="277">
        <f t="shared" si="64"/>
        <v>0</v>
      </c>
      <c r="S86" s="277">
        <f t="shared" si="40"/>
        <v>0</v>
      </c>
      <c r="T86" s="282">
        <f t="shared" si="65"/>
        <v>0</v>
      </c>
      <c r="U86" s="120"/>
      <c r="V86" s="195">
        <f t="shared" si="66"/>
        <v>0</v>
      </c>
    </row>
    <row r="87" spans="1:24" ht="12.75" customHeight="1" x14ac:dyDescent="0.25">
      <c r="A87" s="14"/>
      <c r="B87" s="20"/>
      <c r="C87" s="273"/>
      <c r="D87" s="272"/>
      <c r="E87" s="272"/>
      <c r="F87" s="272"/>
      <c r="G87" s="272"/>
      <c r="H87" s="272"/>
      <c r="I87" s="300"/>
      <c r="J87" s="272"/>
      <c r="K87" s="272"/>
      <c r="L87" s="609">
        <f t="shared" si="37"/>
        <v>0</v>
      </c>
      <c r="M87" s="609">
        <f t="shared" si="38"/>
        <v>0</v>
      </c>
      <c r="N87" s="609">
        <f t="shared" si="39"/>
        <v>0</v>
      </c>
      <c r="O87" s="272"/>
      <c r="P87" s="81">
        <f t="shared" si="62"/>
        <v>0</v>
      </c>
      <c r="Q87" s="81">
        <f t="shared" si="63"/>
        <v>0</v>
      </c>
      <c r="R87" s="81">
        <f t="shared" si="64"/>
        <v>0</v>
      </c>
      <c r="S87" s="81">
        <f t="shared" si="40"/>
        <v>0</v>
      </c>
      <c r="T87" s="281">
        <f t="shared" si="65"/>
        <v>0</v>
      </c>
      <c r="U87" s="120"/>
      <c r="V87" s="195">
        <f t="shared" si="66"/>
        <v>0</v>
      </c>
    </row>
    <row r="88" spans="1:24" ht="12.75" hidden="1" customHeight="1" x14ac:dyDescent="0.25">
      <c r="A88" s="14"/>
      <c r="B88" s="20"/>
      <c r="C88" s="273"/>
      <c r="D88" s="272"/>
      <c r="E88" s="272"/>
      <c r="F88" s="272"/>
      <c r="G88" s="272"/>
      <c r="H88" s="272"/>
      <c r="I88" s="272"/>
      <c r="J88" s="272"/>
      <c r="K88" s="272"/>
      <c r="L88" s="602">
        <f t="shared" si="37"/>
        <v>0</v>
      </c>
      <c r="M88" s="602">
        <f t="shared" si="38"/>
        <v>0</v>
      </c>
      <c r="N88" s="602">
        <f t="shared" si="39"/>
        <v>0</v>
      </c>
      <c r="O88" s="272"/>
      <c r="P88" s="81">
        <f t="shared" si="62"/>
        <v>0</v>
      </c>
      <c r="Q88" s="81">
        <f t="shared" si="63"/>
        <v>0</v>
      </c>
      <c r="R88" s="81">
        <f t="shared" si="64"/>
        <v>0</v>
      </c>
      <c r="S88" s="81">
        <f t="shared" si="40"/>
        <v>0</v>
      </c>
      <c r="T88" s="281">
        <f t="shared" si="65"/>
        <v>0</v>
      </c>
      <c r="U88" s="120"/>
      <c r="V88" s="195">
        <f t="shared" si="66"/>
        <v>0</v>
      </c>
    </row>
    <row r="89" spans="1:24" ht="21" customHeight="1" x14ac:dyDescent="0.25">
      <c r="A89" s="481"/>
      <c r="B89" s="471" t="s">
        <v>372</v>
      </c>
      <c r="C89" s="472">
        <f>C13+C29+C32+C83+C86</f>
        <v>93957000</v>
      </c>
      <c r="D89" s="472">
        <f t="shared" ref="D89:J89" si="69">D13+D29+D32+D83+D86</f>
        <v>93957000</v>
      </c>
      <c r="E89" s="472">
        <f t="shared" si="69"/>
        <v>95957000</v>
      </c>
      <c r="F89" s="472">
        <f t="shared" si="69"/>
        <v>0</v>
      </c>
      <c r="G89" s="472"/>
      <c r="H89" s="472">
        <f t="shared" si="69"/>
        <v>45089842</v>
      </c>
      <c r="I89" s="472">
        <f t="shared" si="69"/>
        <v>70236071</v>
      </c>
      <c r="J89" s="472">
        <f t="shared" si="69"/>
        <v>0</v>
      </c>
      <c r="K89" s="474"/>
      <c r="L89" s="606">
        <f t="shared" si="37"/>
        <v>0.47989869834073035</v>
      </c>
      <c r="M89" s="606">
        <f t="shared" si="38"/>
        <v>0.74753420181572416</v>
      </c>
      <c r="N89" s="606">
        <f t="shared" si="39"/>
        <v>0</v>
      </c>
      <c r="O89" s="474"/>
      <c r="P89" s="472">
        <f t="shared" si="22"/>
        <v>0</v>
      </c>
      <c r="Q89" s="472">
        <f t="shared" si="23"/>
        <v>2000000</v>
      </c>
      <c r="R89" s="472">
        <f t="shared" si="24"/>
        <v>0</v>
      </c>
      <c r="S89" s="472">
        <f t="shared" si="40"/>
        <v>2000000</v>
      </c>
      <c r="T89" s="475">
        <f t="shared" ref="T89:T102" si="70">IF(C89=0,0,+S89/C89)</f>
        <v>2.1286333109826836E-2</v>
      </c>
      <c r="U89" s="479"/>
      <c r="V89" s="480">
        <f t="shared" si="55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15"/>
      <c r="M90" s="615"/>
      <c r="N90" s="615"/>
      <c r="O90" s="98"/>
      <c r="P90" s="98"/>
      <c r="Q90" s="98"/>
      <c r="R90" s="98"/>
      <c r="S90" s="98"/>
      <c r="T90" s="98"/>
      <c r="U90" s="22"/>
      <c r="V90" s="195">
        <f t="shared" si="55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16"/>
      <c r="M91" s="616"/>
      <c r="N91" s="616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15"/>
      <c r="M92" s="615"/>
      <c r="N92" s="615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ht="12.75" customHeight="1" x14ac:dyDescent="0.25">
      <c r="A93" s="4" t="s">
        <v>240</v>
      </c>
      <c r="B93" s="3" t="s">
        <v>241</v>
      </c>
      <c r="C93" s="277">
        <f>SUM(C94:C94)</f>
        <v>0</v>
      </c>
      <c r="D93" s="277">
        <f>SUM(D94:D94)</f>
        <v>0</v>
      </c>
      <c r="E93" s="277">
        <f>SUM(E94:E94)</f>
        <v>0</v>
      </c>
      <c r="F93" s="277">
        <f>SUM(F94:F94)</f>
        <v>0</v>
      </c>
      <c r="G93" s="277"/>
      <c r="H93" s="277">
        <f>SUM(H94:H94)</f>
        <v>0</v>
      </c>
      <c r="I93" s="277">
        <f>SUM(I94:I94)</f>
        <v>0</v>
      </c>
      <c r="J93" s="277">
        <f>SUM(J94:J94)</f>
        <v>0</v>
      </c>
      <c r="K93" s="277"/>
      <c r="L93" s="600">
        <f t="shared" ref="L93:L102" si="71">IF(H93&gt;0,H93/C93,0)</f>
        <v>0</v>
      </c>
      <c r="M93" s="600">
        <f t="shared" ref="M93:M102" si="72">IF(I93&gt;0,I93/D93,0)</f>
        <v>0</v>
      </c>
      <c r="N93" s="600">
        <f t="shared" ref="N93:N102" si="73">IF(J93&gt;0,J93/E93,0)</f>
        <v>0</v>
      </c>
      <c r="O93" s="277"/>
      <c r="P93" s="277">
        <f t="shared" ref="P93:P94" si="74">+(D93-C93)*P$10</f>
        <v>0</v>
      </c>
      <c r="Q93" s="277">
        <f t="shared" ref="Q93:Q94" si="75">+(E93-D93)*Q$10</f>
        <v>0</v>
      </c>
      <c r="R93" s="277">
        <f t="shared" ref="R93:R94" si="76">+(F93-E93)*R$10</f>
        <v>0</v>
      </c>
      <c r="S93" s="277">
        <f t="shared" ref="S93:S102" si="77">+P93*P$10+Q93*Q$10+R93*R$10</f>
        <v>0</v>
      </c>
      <c r="T93" s="282">
        <f t="shared" ref="T93:T94" si="78">IF(C93=0,0,+S93/C93)</f>
        <v>0</v>
      </c>
      <c r="U93" s="120"/>
      <c r="V93" s="195">
        <f t="shared" ref="V93:V94" si="79">+S93-E93+C93</f>
        <v>0</v>
      </c>
    </row>
    <row r="94" spans="1:24" ht="12.75" customHeight="1" x14ac:dyDescent="0.25">
      <c r="A94" s="14"/>
      <c r="B94" s="20"/>
      <c r="C94" s="273"/>
      <c r="D94" s="272"/>
      <c r="E94" s="272"/>
      <c r="F94" s="272"/>
      <c r="G94" s="272"/>
      <c r="H94" s="272"/>
      <c r="I94" s="300"/>
      <c r="J94" s="272"/>
      <c r="K94" s="272"/>
      <c r="L94" s="609">
        <f t="shared" si="71"/>
        <v>0</v>
      </c>
      <c r="M94" s="609">
        <f t="shared" si="72"/>
        <v>0</v>
      </c>
      <c r="N94" s="609">
        <f t="shared" si="73"/>
        <v>0</v>
      </c>
      <c r="O94" s="272"/>
      <c r="P94" s="81">
        <f t="shared" si="74"/>
        <v>0</v>
      </c>
      <c r="Q94" s="81">
        <f t="shared" si="75"/>
        <v>0</v>
      </c>
      <c r="R94" s="81">
        <f t="shared" si="76"/>
        <v>0</v>
      </c>
      <c r="S94" s="81">
        <f t="shared" si="77"/>
        <v>0</v>
      </c>
      <c r="T94" s="281">
        <f t="shared" si="78"/>
        <v>0</v>
      </c>
      <c r="U94" s="120"/>
      <c r="V94" s="195">
        <f t="shared" si="79"/>
        <v>0</v>
      </c>
    </row>
    <row r="95" spans="1:24" s="42" customFormat="1" ht="12.75" customHeight="1" x14ac:dyDescent="0.25">
      <c r="A95" s="4" t="s">
        <v>282</v>
      </c>
      <c r="B95" s="3" t="s">
        <v>283</v>
      </c>
      <c r="C95" s="277">
        <f>SUM(C96:C98)</f>
        <v>4710530</v>
      </c>
      <c r="D95" s="277">
        <f>SUM(D96:D98)</f>
        <v>4710530</v>
      </c>
      <c r="E95" s="277">
        <f>SUM(E96:E98)</f>
        <v>4710530</v>
      </c>
      <c r="F95" s="277">
        <f>SUM(F96:F98)</f>
        <v>0</v>
      </c>
      <c r="G95" s="277"/>
      <c r="H95" s="277">
        <f>SUM(H96:H98)</f>
        <v>2751764</v>
      </c>
      <c r="I95" s="277">
        <f>+I96+I97+I98</f>
        <v>4313029</v>
      </c>
      <c r="J95" s="277">
        <f>+J96+J97+J98</f>
        <v>0</v>
      </c>
      <c r="K95" s="277"/>
      <c r="L95" s="600">
        <f t="shared" si="71"/>
        <v>0.58417290623348117</v>
      </c>
      <c r="M95" s="600">
        <f t="shared" si="72"/>
        <v>0.91561437884908914</v>
      </c>
      <c r="N95" s="600">
        <f t="shared" si="73"/>
        <v>0</v>
      </c>
      <c r="O95" s="277"/>
      <c r="P95" s="277">
        <f t="shared" si="22"/>
        <v>0</v>
      </c>
      <c r="Q95" s="277">
        <f t="shared" si="23"/>
        <v>0</v>
      </c>
      <c r="R95" s="277">
        <f t="shared" si="24"/>
        <v>0</v>
      </c>
      <c r="S95" s="277">
        <f t="shared" si="77"/>
        <v>0</v>
      </c>
      <c r="T95" s="282">
        <f t="shared" si="70"/>
        <v>0</v>
      </c>
      <c r="U95" s="120"/>
      <c r="V95" s="195">
        <f t="shared" si="55"/>
        <v>0</v>
      </c>
    </row>
    <row r="96" spans="1:24" ht="27" customHeight="1" x14ac:dyDescent="0.25">
      <c r="A96" s="482" t="s">
        <v>482</v>
      </c>
      <c r="B96" s="20" t="s">
        <v>294</v>
      </c>
      <c r="C96" s="273">
        <f>200000+4100000</f>
        <v>4300000</v>
      </c>
      <c r="D96" s="273">
        <f>200000+4100000</f>
        <v>4300000</v>
      </c>
      <c r="E96" s="273">
        <v>4300000</v>
      </c>
      <c r="F96" s="273"/>
      <c r="G96" s="273"/>
      <c r="H96" s="272">
        <f>146000+2467674</f>
        <v>2613674</v>
      </c>
      <c r="I96" s="272">
        <f>156000+3939274</f>
        <v>4095274</v>
      </c>
      <c r="J96" s="272"/>
      <c r="K96" s="273"/>
      <c r="L96" s="609">
        <f t="shared" si="71"/>
        <v>0.60783116279069771</v>
      </c>
      <c r="M96" s="609">
        <f t="shared" si="72"/>
        <v>0.95238930232558139</v>
      </c>
      <c r="N96" s="609">
        <f t="shared" si="73"/>
        <v>0</v>
      </c>
      <c r="O96" s="273"/>
      <c r="P96" s="81">
        <f t="shared" si="22"/>
        <v>0</v>
      </c>
      <c r="Q96" s="81">
        <f t="shared" si="23"/>
        <v>0</v>
      </c>
      <c r="R96" s="81">
        <f t="shared" si="24"/>
        <v>0</v>
      </c>
      <c r="S96" s="81">
        <f t="shared" si="77"/>
        <v>0</v>
      </c>
      <c r="T96" s="281">
        <f t="shared" si="70"/>
        <v>0</v>
      </c>
      <c r="U96" s="120"/>
      <c r="V96" s="195">
        <f t="shared" si="55"/>
        <v>0</v>
      </c>
    </row>
    <row r="97" spans="1:22" ht="12.75" customHeight="1" x14ac:dyDescent="0.25">
      <c r="A97" s="14" t="s">
        <v>296</v>
      </c>
      <c r="B97" s="20" t="s">
        <v>297</v>
      </c>
      <c r="C97" s="273">
        <v>400000</v>
      </c>
      <c r="D97" s="273">
        <v>400000</v>
      </c>
      <c r="E97" s="273">
        <v>400000</v>
      </c>
      <c r="F97" s="273"/>
      <c r="G97" s="273"/>
      <c r="H97" s="272">
        <v>135989</v>
      </c>
      <c r="I97" s="272">
        <v>215507</v>
      </c>
      <c r="J97" s="272"/>
      <c r="K97" s="273"/>
      <c r="L97" s="609">
        <f t="shared" si="71"/>
        <v>0.33997250000000001</v>
      </c>
      <c r="M97" s="609">
        <f t="shared" si="72"/>
        <v>0.53876749999999995</v>
      </c>
      <c r="N97" s="609">
        <f t="shared" si="73"/>
        <v>0</v>
      </c>
      <c r="O97" s="273"/>
      <c r="P97" s="81">
        <f t="shared" si="22"/>
        <v>0</v>
      </c>
      <c r="Q97" s="81">
        <f t="shared" si="23"/>
        <v>0</v>
      </c>
      <c r="R97" s="81">
        <f t="shared" si="24"/>
        <v>0</v>
      </c>
      <c r="S97" s="81">
        <f t="shared" si="77"/>
        <v>0</v>
      </c>
      <c r="T97" s="281">
        <f t="shared" si="70"/>
        <v>0</v>
      </c>
      <c r="U97" s="120"/>
      <c r="V97" s="195">
        <f t="shared" si="55"/>
        <v>0</v>
      </c>
    </row>
    <row r="98" spans="1:22" ht="26.4" customHeight="1" x14ac:dyDescent="0.25">
      <c r="A98" s="482" t="s">
        <v>480</v>
      </c>
      <c r="B98" s="482" t="s">
        <v>459</v>
      </c>
      <c r="C98" s="273">
        <f>8000+2530</f>
        <v>10530</v>
      </c>
      <c r="D98" s="273">
        <f>8000+2530</f>
        <v>10530</v>
      </c>
      <c r="E98" s="273">
        <f>8000+2530</f>
        <v>10530</v>
      </c>
      <c r="F98" s="273"/>
      <c r="G98" s="273"/>
      <c r="H98" s="272">
        <f>79+2022</f>
        <v>2101</v>
      </c>
      <c r="I98" s="272">
        <f>118+2130</f>
        <v>2248</v>
      </c>
      <c r="J98" s="272"/>
      <c r="K98" s="273"/>
      <c r="L98" s="609">
        <f t="shared" si="71"/>
        <v>0.19952516619183286</v>
      </c>
      <c r="M98" s="609">
        <f t="shared" si="72"/>
        <v>0.21348528015194682</v>
      </c>
      <c r="N98" s="609">
        <f t="shared" si="73"/>
        <v>0</v>
      </c>
      <c r="O98" s="273"/>
      <c r="P98" s="81">
        <f t="shared" si="22"/>
        <v>0</v>
      </c>
      <c r="Q98" s="81">
        <f t="shared" si="23"/>
        <v>0</v>
      </c>
      <c r="R98" s="81">
        <f t="shared" si="24"/>
        <v>0</v>
      </c>
      <c r="S98" s="81">
        <f t="shared" si="77"/>
        <v>0</v>
      </c>
      <c r="T98" s="281">
        <f t="shared" si="70"/>
        <v>0</v>
      </c>
      <c r="U98" s="120"/>
      <c r="V98" s="195">
        <f t="shared" si="55"/>
        <v>0</v>
      </c>
    </row>
    <row r="99" spans="1:22" s="42" customFormat="1" ht="12.75" customHeight="1" x14ac:dyDescent="0.25">
      <c r="A99" s="4" t="s">
        <v>328</v>
      </c>
      <c r="B99" s="3" t="s">
        <v>329</v>
      </c>
      <c r="C99" s="277">
        <f>SUM(C100:C101)</f>
        <v>89246470</v>
      </c>
      <c r="D99" s="277">
        <f t="shared" ref="D99:J99" si="80">SUM(D100:D101)</f>
        <v>89246470</v>
      </c>
      <c r="E99" s="277">
        <f t="shared" si="80"/>
        <v>91246470</v>
      </c>
      <c r="F99" s="277">
        <f t="shared" si="80"/>
        <v>0</v>
      </c>
      <c r="G99" s="277"/>
      <c r="H99" s="277">
        <f t="shared" si="80"/>
        <v>45697644</v>
      </c>
      <c r="I99" s="277">
        <f t="shared" si="80"/>
        <v>69566239</v>
      </c>
      <c r="J99" s="277">
        <f t="shared" si="80"/>
        <v>0</v>
      </c>
      <c r="K99" s="277"/>
      <c r="L99" s="600">
        <f t="shared" si="71"/>
        <v>0.51203867222983723</v>
      </c>
      <c r="M99" s="600">
        <f t="shared" si="72"/>
        <v>0.77948448829404682</v>
      </c>
      <c r="N99" s="600">
        <f t="shared" si="73"/>
        <v>0</v>
      </c>
      <c r="O99" s="277"/>
      <c r="P99" s="277">
        <f t="shared" si="22"/>
        <v>0</v>
      </c>
      <c r="Q99" s="277">
        <f t="shared" si="23"/>
        <v>2000000</v>
      </c>
      <c r="R99" s="277">
        <f t="shared" si="24"/>
        <v>0</v>
      </c>
      <c r="S99" s="277">
        <f t="shared" si="77"/>
        <v>2000000</v>
      </c>
      <c r="T99" s="282">
        <f t="shared" si="70"/>
        <v>2.2409849935801383E-2</v>
      </c>
      <c r="U99" s="120"/>
      <c r="V99" s="195">
        <f t="shared" si="55"/>
        <v>0</v>
      </c>
    </row>
    <row r="100" spans="1:22" ht="12.75" customHeight="1" x14ac:dyDescent="0.25">
      <c r="A100" s="14" t="s">
        <v>354</v>
      </c>
      <c r="B100" s="20" t="s">
        <v>382</v>
      </c>
      <c r="C100" s="273">
        <v>88239262</v>
      </c>
      <c r="D100" s="273">
        <v>88239262</v>
      </c>
      <c r="E100" s="272">
        <v>90239262</v>
      </c>
      <c r="F100" s="272"/>
      <c r="G100" s="272"/>
      <c r="H100" s="272">
        <v>44690436</v>
      </c>
      <c r="I100" s="300">
        <v>68559031</v>
      </c>
      <c r="J100" s="272"/>
      <c r="K100" s="272"/>
      <c r="L100" s="609">
        <f t="shared" si="71"/>
        <v>0.50646883243425134</v>
      </c>
      <c r="M100" s="609">
        <f t="shared" si="72"/>
        <v>0.77696741162681071</v>
      </c>
      <c r="N100" s="609">
        <f t="shared" si="73"/>
        <v>0</v>
      </c>
      <c r="O100" s="272"/>
      <c r="P100" s="81">
        <f t="shared" si="22"/>
        <v>0</v>
      </c>
      <c r="Q100" s="81">
        <f t="shared" si="23"/>
        <v>2000000</v>
      </c>
      <c r="R100" s="81">
        <f t="shared" si="24"/>
        <v>0</v>
      </c>
      <c r="S100" s="81">
        <f t="shared" si="77"/>
        <v>2000000</v>
      </c>
      <c r="T100" s="281">
        <f t="shared" si="70"/>
        <v>2.2665647407613176E-2</v>
      </c>
      <c r="U100" s="120"/>
      <c r="V100" s="195">
        <f t="shared" si="55"/>
        <v>0</v>
      </c>
    </row>
    <row r="101" spans="1:22" ht="12.75" customHeight="1" x14ac:dyDescent="0.25">
      <c r="A101" s="14" t="s">
        <v>342</v>
      </c>
      <c r="B101" s="20" t="s">
        <v>343</v>
      </c>
      <c r="C101" s="571">
        <v>1007208</v>
      </c>
      <c r="D101" s="571">
        <v>1007208</v>
      </c>
      <c r="E101" s="272">
        <v>1007208</v>
      </c>
      <c r="F101" s="272"/>
      <c r="G101" s="272"/>
      <c r="H101" s="272">
        <v>1007208</v>
      </c>
      <c r="I101" s="272">
        <v>1007208</v>
      </c>
      <c r="J101" s="272"/>
      <c r="K101" s="272"/>
      <c r="L101" s="602">
        <f t="shared" si="71"/>
        <v>1</v>
      </c>
      <c r="M101" s="602">
        <f t="shared" si="72"/>
        <v>1</v>
      </c>
      <c r="N101" s="602">
        <f t="shared" si="73"/>
        <v>0</v>
      </c>
      <c r="O101" s="272"/>
      <c r="P101" s="81">
        <f t="shared" si="22"/>
        <v>0</v>
      </c>
      <c r="Q101" s="81">
        <f t="shared" si="23"/>
        <v>0</v>
      </c>
      <c r="R101" s="81">
        <f t="shared" si="24"/>
        <v>0</v>
      </c>
      <c r="S101" s="81">
        <f t="shared" si="77"/>
        <v>0</v>
      </c>
      <c r="T101" s="281">
        <f t="shared" si="70"/>
        <v>0</v>
      </c>
      <c r="U101" s="120"/>
      <c r="V101" s="195">
        <f t="shared" si="55"/>
        <v>0</v>
      </c>
    </row>
    <row r="102" spans="1:22" ht="20.25" customHeight="1" x14ac:dyDescent="0.25">
      <c r="A102" s="473"/>
      <c r="B102" s="471" t="s">
        <v>371</v>
      </c>
      <c r="C102" s="472">
        <f>+C95+C99+C93</f>
        <v>93957000</v>
      </c>
      <c r="D102" s="472">
        <f>+D95+D99+D93</f>
        <v>93957000</v>
      </c>
      <c r="E102" s="472">
        <f>+E95+E99+E93</f>
        <v>95957000</v>
      </c>
      <c r="F102" s="472">
        <f>+F95+F99+F93</f>
        <v>0</v>
      </c>
      <c r="G102" s="472"/>
      <c r="H102" s="472">
        <f>+H95+H99+H93</f>
        <v>48449408</v>
      </c>
      <c r="I102" s="472">
        <f>+I95+I99+I93</f>
        <v>73879268</v>
      </c>
      <c r="J102" s="472">
        <f>+J95+J99+J93</f>
        <v>0</v>
      </c>
      <c r="K102" s="474"/>
      <c r="L102" s="606">
        <f t="shared" si="71"/>
        <v>0.51565511883095461</v>
      </c>
      <c r="M102" s="606">
        <f t="shared" si="72"/>
        <v>0.7863093542790851</v>
      </c>
      <c r="N102" s="606">
        <f t="shared" si="73"/>
        <v>0</v>
      </c>
      <c r="O102" s="474"/>
      <c r="P102" s="478">
        <f t="shared" ref="P102:R102" si="81">+(D102-C102)*P$10</f>
        <v>0</v>
      </c>
      <c r="Q102" s="478">
        <f t="shared" si="81"/>
        <v>2000000</v>
      </c>
      <c r="R102" s="478">
        <f t="shared" si="81"/>
        <v>0</v>
      </c>
      <c r="S102" s="478">
        <f t="shared" si="77"/>
        <v>2000000</v>
      </c>
      <c r="T102" s="475">
        <f t="shared" si="70"/>
        <v>2.1286333109826836E-2</v>
      </c>
      <c r="U102" s="476"/>
      <c r="V102" s="477">
        <f t="shared" si="55"/>
        <v>0</v>
      </c>
    </row>
    <row r="103" spans="1:22" ht="12.75" customHeight="1" x14ac:dyDescent="0.25">
      <c r="C103" s="276"/>
      <c r="D103" s="276"/>
      <c r="E103" s="276"/>
      <c r="F103" s="276"/>
      <c r="G103" s="276"/>
      <c r="H103" s="276"/>
      <c r="I103" s="276"/>
      <c r="J103" s="276"/>
      <c r="K103" s="276"/>
      <c r="L103" s="620"/>
      <c r="M103" s="620"/>
      <c r="N103" s="620"/>
      <c r="O103" s="276"/>
      <c r="P103" s="280"/>
      <c r="Q103" s="280"/>
      <c r="R103" s="280"/>
      <c r="S103" s="280"/>
    </row>
    <row r="104" spans="1:22" ht="12.75" customHeight="1" x14ac:dyDescent="0.25">
      <c r="C104" s="276"/>
      <c r="D104" s="276"/>
      <c r="E104" s="276"/>
      <c r="F104" s="276"/>
      <c r="G104" s="276"/>
      <c r="H104" s="276"/>
      <c r="I104" s="276"/>
      <c r="J104" s="276"/>
      <c r="K104" s="276"/>
      <c r="L104" s="615"/>
      <c r="M104" s="615"/>
      <c r="N104" s="615"/>
      <c r="O104" s="276"/>
      <c r="P104" s="280"/>
      <c r="Q104" s="280"/>
      <c r="R104" s="280"/>
      <c r="S104" s="280"/>
    </row>
    <row r="105" spans="1:22" ht="12.75" customHeight="1" x14ac:dyDescent="0.25">
      <c r="C105" s="276"/>
      <c r="D105" s="276"/>
      <c r="E105" s="276"/>
      <c r="F105" s="276"/>
      <c r="G105" s="276"/>
      <c r="H105" s="276"/>
      <c r="I105" s="276"/>
      <c r="J105" s="276"/>
      <c r="K105" s="276"/>
      <c r="L105" s="615"/>
      <c r="M105" s="615"/>
      <c r="N105" s="615"/>
      <c r="O105" s="276"/>
      <c r="P105" s="280"/>
      <c r="Q105" s="280"/>
      <c r="R105" s="280"/>
      <c r="S105" s="280"/>
    </row>
    <row r="106" spans="1:22" ht="12.75" customHeight="1" x14ac:dyDescent="0.25">
      <c r="C106" s="276"/>
      <c r="D106" s="276"/>
      <c r="E106" s="276"/>
      <c r="F106" s="276"/>
      <c r="G106" s="276"/>
      <c r="H106" s="276"/>
      <c r="I106" s="276"/>
      <c r="J106" s="276"/>
      <c r="K106" s="276"/>
      <c r="L106" s="615"/>
      <c r="M106" s="615"/>
      <c r="N106" s="615"/>
      <c r="O106" s="276"/>
      <c r="P106" s="280"/>
      <c r="Q106" s="280"/>
      <c r="R106" s="280"/>
      <c r="S106" s="280"/>
    </row>
    <row r="107" spans="1:22" ht="12.75" customHeight="1" x14ac:dyDescent="0.25">
      <c r="A107" s="59"/>
      <c r="B107" s="59" t="s">
        <v>471</v>
      </c>
      <c r="C107" s="276"/>
      <c r="D107" s="276"/>
      <c r="E107" s="276"/>
      <c r="F107" s="276"/>
      <c r="G107" s="276"/>
      <c r="H107" s="276"/>
      <c r="I107" s="276"/>
      <c r="J107" s="276"/>
      <c r="K107" s="276"/>
      <c r="L107" s="615"/>
      <c r="M107" s="615"/>
      <c r="N107" s="615"/>
      <c r="O107" s="276"/>
      <c r="P107" s="98"/>
      <c r="Q107" s="98"/>
      <c r="R107" s="98"/>
      <c r="S107" s="98"/>
    </row>
    <row r="108" spans="1:22" ht="12.75" customHeight="1" x14ac:dyDescent="0.25">
      <c r="B108" s="765" t="s">
        <v>509</v>
      </c>
      <c r="C108" s="98"/>
      <c r="D108" s="98"/>
      <c r="E108" s="98"/>
      <c r="F108" s="98"/>
      <c r="G108" s="98"/>
      <c r="H108" s="98"/>
      <c r="I108" s="98"/>
      <c r="J108" s="98"/>
      <c r="K108" s="98"/>
      <c r="O108" s="98"/>
      <c r="P108" s="98"/>
      <c r="Q108" s="98"/>
      <c r="R108" s="98"/>
      <c r="S108" s="98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3" fitToHeight="0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topLeftCell="G1" zoomScaleNormal="100" zoomScaleSheetLayoutView="100" workbookViewId="0">
      <selection activeCell="B3" sqref="B3"/>
    </sheetView>
  </sheetViews>
  <sheetFormatPr defaultRowHeight="13.2" x14ac:dyDescent="0.25"/>
  <cols>
    <col min="1" max="1" width="6.77734375" style="13" customWidth="1"/>
    <col min="2" max="2" width="57.44140625" style="13" customWidth="1"/>
    <col min="3" max="5" width="15.5546875" style="13" customWidth="1"/>
    <col min="6" max="6" width="14.88671875" style="13" customWidth="1"/>
    <col min="7" max="7" width="0.6640625" style="13" customWidth="1"/>
    <col min="8" max="9" width="15.5546875" style="13" customWidth="1"/>
    <col min="10" max="10" width="15.88671875" style="13" customWidth="1"/>
    <col min="11" max="11" width="0.6640625" style="13" customWidth="1"/>
    <col min="12" max="12" width="15.5546875" style="13" customWidth="1"/>
    <col min="13" max="13" width="13.44140625" style="13" bestFit="1" customWidth="1"/>
    <col min="14" max="14" width="15.5546875" style="13" hidden="1" customWidth="1"/>
    <col min="15" max="15" width="0.6640625" style="13" customWidth="1"/>
    <col min="16" max="17" width="15.5546875" style="13" customWidth="1"/>
    <col min="18" max="18" width="15.6640625" style="13" customWidth="1"/>
    <col min="19" max="19" width="15.5546875" style="13" customWidth="1"/>
    <col min="20" max="20" width="7.33203125" style="13" customWidth="1"/>
    <col min="21" max="21" width="2.664062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28" t="s">
        <v>458</v>
      </c>
      <c r="B1" s="227"/>
      <c r="C1" s="227"/>
      <c r="D1" s="227"/>
      <c r="E1" s="769"/>
      <c r="F1" s="227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64"/>
      <c r="B4" s="65"/>
      <c r="C4" s="88"/>
      <c r="D4" s="88"/>
      <c r="E4" s="88"/>
      <c r="F4" s="88"/>
      <c r="G4" s="88"/>
      <c r="H4" s="88"/>
      <c r="I4" s="88"/>
      <c r="J4" s="88"/>
      <c r="K4" s="88"/>
      <c r="L4" s="65"/>
      <c r="M4" s="65"/>
      <c r="N4" s="65"/>
      <c r="O4" s="65"/>
      <c r="P4" s="88"/>
      <c r="Q4" s="88"/>
      <c r="R4" s="88"/>
      <c r="S4" s="88"/>
      <c r="T4" s="88"/>
      <c r="U4" s="65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+C90</f>
        <v>233586000</v>
      </c>
      <c r="D5" s="250">
        <f t="shared" ref="D5:F5" si="0">+D90</f>
        <v>233586000</v>
      </c>
      <c r="E5" s="250">
        <f t="shared" si="0"/>
        <v>233586000</v>
      </c>
      <c r="F5" s="250">
        <f t="shared" si="0"/>
        <v>0</v>
      </c>
      <c r="G5" s="250"/>
      <c r="H5" s="250">
        <f t="shared" ref="H5:J5" si="1">+H90</f>
        <v>113114201</v>
      </c>
      <c r="I5" s="250">
        <f t="shared" si="1"/>
        <v>168801044</v>
      </c>
      <c r="J5" s="250">
        <f t="shared" si="1"/>
        <v>0</v>
      </c>
      <c r="K5" s="89"/>
      <c r="L5" s="651">
        <f t="shared" ref="L5:N6" si="2">IF(H5&gt;0,H5/C5,0)</f>
        <v>0.48425077273466732</v>
      </c>
      <c r="M5" s="651">
        <f t="shared" si="2"/>
        <v>0.72265051843860506</v>
      </c>
      <c r="N5" s="31">
        <f t="shared" si="2"/>
        <v>0</v>
      </c>
      <c r="O5" s="31"/>
      <c r="P5" s="250">
        <f t="shared" ref="P5:S5" si="3">+P90</f>
        <v>0</v>
      </c>
      <c r="Q5" s="250">
        <f t="shared" si="3"/>
        <v>0</v>
      </c>
      <c r="R5" s="250">
        <f t="shared" si="3"/>
        <v>0</v>
      </c>
      <c r="S5" s="250">
        <f t="shared" si="3"/>
        <v>0</v>
      </c>
      <c r="T5" s="133">
        <f>IF(C5=0,0,+S5/C5)</f>
        <v>0</v>
      </c>
      <c r="U5" s="118"/>
      <c r="V5" s="198">
        <f t="shared" ref="V5:V7" si="4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233586000</v>
      </c>
      <c r="D6" s="252">
        <f t="shared" ref="D6:F6" si="5">+D102</f>
        <v>233586000</v>
      </c>
      <c r="E6" s="252">
        <f t="shared" si="5"/>
        <v>233586000</v>
      </c>
      <c r="F6" s="252">
        <f t="shared" si="5"/>
        <v>0</v>
      </c>
      <c r="G6" s="252"/>
      <c r="H6" s="252">
        <f t="shared" ref="H6:J6" si="6">+H102</f>
        <v>116836851</v>
      </c>
      <c r="I6" s="252">
        <f t="shared" si="6"/>
        <v>173537602</v>
      </c>
      <c r="J6" s="252">
        <f t="shared" si="6"/>
        <v>0</v>
      </c>
      <c r="K6" s="67"/>
      <c r="L6" s="651">
        <f t="shared" si="2"/>
        <v>0.50018772957283397</v>
      </c>
      <c r="M6" s="651">
        <f t="shared" si="2"/>
        <v>0.74292809500569379</v>
      </c>
      <c r="N6" s="31">
        <f t="shared" si="2"/>
        <v>0</v>
      </c>
      <c r="O6" s="31"/>
      <c r="P6" s="252">
        <f t="shared" ref="P6:S6" si="7">+P102</f>
        <v>0</v>
      </c>
      <c r="Q6" s="252">
        <f t="shared" si="7"/>
        <v>0</v>
      </c>
      <c r="R6" s="252">
        <f t="shared" si="7"/>
        <v>0</v>
      </c>
      <c r="S6" s="252">
        <f t="shared" si="7"/>
        <v>0</v>
      </c>
      <c r="T6" s="31">
        <f>IF(C6=0,0,+S6/C6)</f>
        <v>0</v>
      </c>
      <c r="U6" s="118"/>
      <c r="V6" s="198">
        <f t="shared" si="4"/>
        <v>0</v>
      </c>
      <c r="W6" s="122"/>
      <c r="X6" s="122"/>
    </row>
    <row r="7" spans="1:26" ht="20.100000000000001" customHeight="1" x14ac:dyDescent="0.3">
      <c r="A7" s="251"/>
      <c r="B7" s="251" t="s">
        <v>405</v>
      </c>
      <c r="C7" s="252">
        <f>+C6-C5</f>
        <v>0</v>
      </c>
      <c r="D7" s="252">
        <f t="shared" ref="D7:H7" si="8">+D6-D5</f>
        <v>0</v>
      </c>
      <c r="E7" s="252">
        <f t="shared" si="8"/>
        <v>0</v>
      </c>
      <c r="F7" s="252">
        <f t="shared" si="8"/>
        <v>0</v>
      </c>
      <c r="G7" s="252"/>
      <c r="H7" s="252">
        <f t="shared" si="8"/>
        <v>3722650</v>
      </c>
      <c r="I7" s="252">
        <f>+I6-I5</f>
        <v>4736558</v>
      </c>
      <c r="J7" s="252">
        <f t="shared" ref="J7" si="9">+J6-J5</f>
        <v>0</v>
      </c>
      <c r="K7" s="67"/>
      <c r="L7" s="651"/>
      <c r="M7" s="651"/>
      <c r="N7" s="31"/>
      <c r="O7" s="31"/>
      <c r="P7" s="252">
        <f t="shared" ref="P7:S7" si="10">+P6-P5</f>
        <v>0</v>
      </c>
      <c r="Q7" s="252">
        <f t="shared" si="10"/>
        <v>0</v>
      </c>
      <c r="R7" s="252">
        <f t="shared" si="10"/>
        <v>0</v>
      </c>
      <c r="S7" s="252">
        <f t="shared" si="10"/>
        <v>0</v>
      </c>
      <c r="T7" s="31">
        <f>IF(C7=0,0,+S7/C7)</f>
        <v>0</v>
      </c>
      <c r="U7" s="118"/>
      <c r="V7" s="198">
        <f t="shared" si="4"/>
        <v>0</v>
      </c>
      <c r="W7" s="122"/>
      <c r="X7" s="122"/>
    </row>
    <row r="8" spans="1:26" x14ac:dyDescent="0.25">
      <c r="A8" s="235"/>
      <c r="B8" s="236"/>
      <c r="C8" s="621"/>
      <c r="D8" s="622"/>
      <c r="E8" s="622"/>
      <c r="F8" s="622"/>
      <c r="G8" s="623"/>
      <c r="H8" s="623"/>
      <c r="I8" s="623"/>
      <c r="J8" s="623"/>
      <c r="K8" s="623"/>
      <c r="L8" s="137"/>
      <c r="M8" s="137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17" t="s">
        <v>404</v>
      </c>
      <c r="D9" s="925"/>
      <c r="E9" s="925"/>
      <c r="F9" s="926"/>
      <c r="G9" s="154"/>
      <c r="H9" s="917" t="s">
        <v>403</v>
      </c>
      <c r="I9" s="925"/>
      <c r="J9" s="925"/>
      <c r="K9" s="925"/>
      <c r="L9" s="925"/>
      <c r="M9" s="925"/>
      <c r="N9" s="926"/>
      <c r="O9" s="154"/>
      <c r="P9" s="917" t="s">
        <v>400</v>
      </c>
      <c r="Q9" s="925"/>
      <c r="R9" s="925"/>
      <c r="S9" s="925"/>
      <c r="T9" s="926"/>
      <c r="U9" s="199"/>
      <c r="V9" s="195"/>
      <c r="W9" s="122"/>
      <c r="X9" s="122"/>
    </row>
    <row r="10" spans="1:26" x14ac:dyDescent="0.25">
      <c r="A10" s="64"/>
      <c r="B10" s="65"/>
      <c r="C10" s="233"/>
      <c r="D10" s="88"/>
      <c r="E10" s="88"/>
      <c r="F10" s="234"/>
      <c r="G10" s="134"/>
      <c r="H10" s="914" t="s">
        <v>413</v>
      </c>
      <c r="I10" s="927"/>
      <c r="J10" s="928"/>
      <c r="K10" s="134"/>
      <c r="L10" s="914" t="s">
        <v>412</v>
      </c>
      <c r="M10" s="927"/>
      <c r="N10" s="928"/>
      <c r="O10" s="135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6" x14ac:dyDescent="0.25">
      <c r="A12" s="14"/>
      <c r="B12" s="20"/>
      <c r="C12" s="68"/>
      <c r="D12" s="68"/>
      <c r="E12" s="68"/>
      <c r="F12" s="68"/>
      <c r="G12" s="68"/>
      <c r="H12" s="68"/>
      <c r="I12" s="68"/>
      <c r="J12" s="68"/>
      <c r="K12" s="68"/>
      <c r="L12" s="625"/>
      <c r="M12" s="626"/>
      <c r="N12" s="16"/>
      <c r="O12" s="68"/>
      <c r="P12" s="68"/>
      <c r="Q12" s="68"/>
      <c r="R12" s="68"/>
      <c r="S12" s="68"/>
      <c r="T12" s="68"/>
      <c r="U12" s="68"/>
      <c r="V12" s="255"/>
    </row>
    <row r="13" spans="1:26" x14ac:dyDescent="0.25">
      <c r="A13" s="289" t="s">
        <v>0</v>
      </c>
      <c r="B13" s="289" t="s">
        <v>3</v>
      </c>
      <c r="C13" s="290">
        <f>SUM(C15:C29)</f>
        <v>193790000</v>
      </c>
      <c r="D13" s="290">
        <f t="shared" ref="D13:J13" si="11">SUM(D15:D29)</f>
        <v>193790000</v>
      </c>
      <c r="E13" s="290">
        <f t="shared" si="11"/>
        <v>193790000</v>
      </c>
      <c r="F13" s="290">
        <f t="shared" si="11"/>
        <v>0</v>
      </c>
      <c r="G13" s="290"/>
      <c r="H13" s="290">
        <f t="shared" si="11"/>
        <v>90223993</v>
      </c>
      <c r="I13" s="290">
        <f t="shared" si="11"/>
        <v>137245051</v>
      </c>
      <c r="J13" s="290">
        <f t="shared" si="11"/>
        <v>0</v>
      </c>
      <c r="K13" s="290">
        <f t="shared" ref="K13" si="12">SUM(K15:K28)</f>
        <v>0</v>
      </c>
      <c r="L13" s="627">
        <f>IF(H13&gt;0,H13/C13,0)</f>
        <v>0.46557610299809071</v>
      </c>
      <c r="M13" s="627">
        <f>IF(I13&gt;0,I13/D13,0)</f>
        <v>0.70821534134888287</v>
      </c>
      <c r="N13" s="53">
        <f>IF(J13&gt;0,J13/E13,0)</f>
        <v>0</v>
      </c>
      <c r="O13" s="290">
        <f>SUM(O15:O28)</f>
        <v>0</v>
      </c>
      <c r="P13" s="290">
        <f>+(D13-C13)*P$10</f>
        <v>0</v>
      </c>
      <c r="Q13" s="290">
        <f>+(E13-D13)*Q$10</f>
        <v>0</v>
      </c>
      <c r="R13" s="290">
        <f>+(F13-E13)*R$10</f>
        <v>0</v>
      </c>
      <c r="S13" s="290">
        <f t="shared" ref="S13:S14" si="13">+P13*P$10+Q13*Q$10+R13*R$10</f>
        <v>0</v>
      </c>
      <c r="T13" s="261">
        <f>IF(C13=0,0,+S13/C13)</f>
        <v>0</v>
      </c>
      <c r="U13" s="120"/>
      <c r="V13" s="195">
        <f t="shared" ref="V13" si="14">+S13-E13+C13</f>
        <v>0</v>
      </c>
      <c r="W13">
        <f t="shared" ref="W13" si="15">+T13-F13+D13</f>
        <v>193790000</v>
      </c>
    </row>
    <row r="14" spans="1:26" x14ac:dyDescent="0.25">
      <c r="A14" s="15" t="s">
        <v>1</v>
      </c>
      <c r="B14" s="15"/>
      <c r="C14" s="69"/>
      <c r="D14" s="91"/>
      <c r="E14" s="91"/>
      <c r="F14" s="91"/>
      <c r="G14" s="92"/>
      <c r="H14" s="92"/>
      <c r="I14" s="92"/>
      <c r="J14" s="92"/>
      <c r="K14" s="92"/>
      <c r="L14" s="599"/>
      <c r="M14" s="599"/>
      <c r="N14" s="136"/>
      <c r="O14" s="119"/>
      <c r="P14" s="92"/>
      <c r="Q14" s="92"/>
      <c r="R14" s="92"/>
      <c r="S14" s="92">
        <f t="shared" si="13"/>
        <v>0</v>
      </c>
      <c r="T14" s="152"/>
      <c r="U14" s="119"/>
      <c r="V14" s="195">
        <f t="shared" ref="V14" si="16">+S14-E14+C14</f>
        <v>0</v>
      </c>
      <c r="W14" s="122"/>
      <c r="X14" s="122"/>
    </row>
    <row r="15" spans="1:26" x14ac:dyDescent="0.25">
      <c r="A15" s="14" t="s">
        <v>2</v>
      </c>
      <c r="B15" s="54" t="s">
        <v>394</v>
      </c>
      <c r="C15" s="145">
        <v>185000000</v>
      </c>
      <c r="D15" s="145">
        <v>184000000</v>
      </c>
      <c r="E15" s="145">
        <v>183200000</v>
      </c>
      <c r="F15" s="145"/>
      <c r="G15" s="145"/>
      <c r="H15" s="145">
        <v>84588483</v>
      </c>
      <c r="I15" s="145">
        <v>128248979</v>
      </c>
      <c r="J15" s="145"/>
      <c r="K15" s="145"/>
      <c r="L15" s="601">
        <f t="shared" ref="L15:L28" si="17">IF(H15&gt;0,H15/C15,0)</f>
        <v>0.45723504324324327</v>
      </c>
      <c r="M15" s="601">
        <f t="shared" ref="M15:M28" si="18">IF(I15&gt;0,I15/D15,0)</f>
        <v>0.69700532065217391</v>
      </c>
      <c r="N15" s="206">
        <f t="shared" ref="N15:N29" si="19">IF(J15&gt;0,J15/E15,0)</f>
        <v>0</v>
      </c>
      <c r="O15" s="145"/>
      <c r="P15" s="81">
        <f>+(D15-C15)*P$10</f>
        <v>-1000000</v>
      </c>
      <c r="Q15" s="81">
        <f>+(E15-D15)*Q$10</f>
        <v>-800000</v>
      </c>
      <c r="R15" s="81">
        <f>+(F15-E15)*R$10</f>
        <v>0</v>
      </c>
      <c r="S15" s="81">
        <f>+P15*P$10+Q15*Q$10+R15*R$10</f>
        <v>-1800000</v>
      </c>
      <c r="T15" s="281">
        <f>IF(C15=0,0,+S15/C15)</f>
        <v>-9.7297297297297292E-3</v>
      </c>
      <c r="U15" s="120"/>
      <c r="V15" s="195">
        <f t="shared" ref="V15" si="20">+S15-E15+C15</f>
        <v>0</v>
      </c>
      <c r="X15" s="2"/>
    </row>
    <row r="16" spans="1:26" ht="26.4" x14ac:dyDescent="0.25">
      <c r="A16" s="14"/>
      <c r="B16" s="54" t="s">
        <v>393</v>
      </c>
      <c r="C16" s="145"/>
      <c r="D16" s="145"/>
      <c r="E16" s="145"/>
      <c r="F16" s="145"/>
      <c r="G16" s="145"/>
      <c r="H16" s="145"/>
      <c r="I16" s="145"/>
      <c r="J16" s="145"/>
      <c r="K16" s="145"/>
      <c r="L16" s="601">
        <f t="shared" si="17"/>
        <v>0</v>
      </c>
      <c r="M16" s="601">
        <f t="shared" si="18"/>
        <v>0</v>
      </c>
      <c r="N16" s="206">
        <f t="shared" si="19"/>
        <v>0</v>
      </c>
      <c r="O16" s="145"/>
      <c r="P16" s="81">
        <f t="shared" ref="P16:P30" si="21">+(D16-C16)*P$10</f>
        <v>0</v>
      </c>
      <c r="Q16" s="81">
        <f t="shared" ref="Q16:Q30" si="22">+(E16-D16)*Q$10</f>
        <v>0</v>
      </c>
      <c r="R16" s="81">
        <f t="shared" ref="R16:R30" si="23">+(F16-E16)*R$10</f>
        <v>0</v>
      </c>
      <c r="S16" s="81">
        <f t="shared" ref="S16:S31" si="24">+P16*P$10+Q16*Q$10+R16*R$10</f>
        <v>0</v>
      </c>
      <c r="T16" s="281">
        <f t="shared" ref="T16:T30" si="25">IF(C16=0,0,+S16/C16)</f>
        <v>0</v>
      </c>
      <c r="U16" s="120"/>
      <c r="V16" s="195">
        <f t="shared" ref="V16:V30" si="26">+S16-E16+C16</f>
        <v>0</v>
      </c>
      <c r="X16" s="2"/>
    </row>
    <row r="17" spans="1:24" ht="24.6" customHeight="1" x14ac:dyDescent="0.25">
      <c r="A17" s="482" t="s">
        <v>578</v>
      </c>
      <c r="B17" s="20" t="s">
        <v>4</v>
      </c>
      <c r="C17" s="68">
        <v>0</v>
      </c>
      <c r="D17" s="68">
        <v>1000000</v>
      </c>
      <c r="E17" s="68">
        <v>1000000</v>
      </c>
      <c r="F17" s="68"/>
      <c r="G17" s="68"/>
      <c r="H17" s="68">
        <v>947495</v>
      </c>
      <c r="I17" s="68">
        <v>947495</v>
      </c>
      <c r="J17" s="68"/>
      <c r="K17" s="68"/>
      <c r="L17" s="601" t="e">
        <f t="shared" si="17"/>
        <v>#DIV/0!</v>
      </c>
      <c r="M17" s="601">
        <f t="shared" si="18"/>
        <v>0.94749499999999998</v>
      </c>
      <c r="N17" s="206">
        <f t="shared" si="19"/>
        <v>0</v>
      </c>
      <c r="O17" s="68"/>
      <c r="P17" s="81">
        <f t="shared" si="21"/>
        <v>1000000</v>
      </c>
      <c r="Q17" s="81">
        <f t="shared" si="22"/>
        <v>0</v>
      </c>
      <c r="R17" s="81">
        <f t="shared" si="23"/>
        <v>0</v>
      </c>
      <c r="S17" s="81">
        <f t="shared" si="24"/>
        <v>1000000</v>
      </c>
      <c r="T17" s="281">
        <f t="shared" si="25"/>
        <v>0</v>
      </c>
      <c r="U17" s="120"/>
      <c r="V17" s="195">
        <f t="shared" si="26"/>
        <v>0</v>
      </c>
    </row>
    <row r="18" spans="1:24" x14ac:dyDescent="0.25">
      <c r="A18" s="14" t="s">
        <v>13</v>
      </c>
      <c r="B18" s="20" t="s">
        <v>5</v>
      </c>
      <c r="C18" s="68"/>
      <c r="D18" s="68"/>
      <c r="E18" s="68"/>
      <c r="F18" s="68"/>
      <c r="G18" s="68"/>
      <c r="H18" s="68"/>
      <c r="I18" s="68"/>
      <c r="J18" s="68"/>
      <c r="K18" s="68"/>
      <c r="L18" s="601">
        <f t="shared" si="17"/>
        <v>0</v>
      </c>
      <c r="M18" s="601">
        <f t="shared" si="18"/>
        <v>0</v>
      </c>
      <c r="N18" s="206">
        <f t="shared" si="19"/>
        <v>0</v>
      </c>
      <c r="O18" s="68"/>
      <c r="P18" s="81">
        <f t="shared" si="21"/>
        <v>0</v>
      </c>
      <c r="Q18" s="81">
        <f t="shared" si="22"/>
        <v>0</v>
      </c>
      <c r="R18" s="81">
        <f t="shared" si="23"/>
        <v>0</v>
      </c>
      <c r="S18" s="81">
        <f t="shared" si="24"/>
        <v>0</v>
      </c>
      <c r="T18" s="281">
        <f t="shared" si="25"/>
        <v>0</v>
      </c>
      <c r="U18" s="120"/>
      <c r="V18" s="195">
        <f t="shared" si="26"/>
        <v>0</v>
      </c>
    </row>
    <row r="19" spans="1:24" x14ac:dyDescent="0.25">
      <c r="A19" s="14" t="s">
        <v>380</v>
      </c>
      <c r="B19" s="20" t="s">
        <v>6</v>
      </c>
      <c r="C19" s="145">
        <v>3510000</v>
      </c>
      <c r="D19" s="68">
        <v>3510000</v>
      </c>
      <c r="E19" s="68">
        <v>3510000</v>
      </c>
      <c r="F19" s="68"/>
      <c r="G19" s="68"/>
      <c r="H19" s="68">
        <v>1872400</v>
      </c>
      <c r="I19" s="68">
        <v>2986600</v>
      </c>
      <c r="J19" s="68"/>
      <c r="K19" s="68"/>
      <c r="L19" s="601">
        <f t="shared" si="17"/>
        <v>0.53344729344729347</v>
      </c>
      <c r="M19" s="601">
        <f t="shared" si="18"/>
        <v>0.85088319088319087</v>
      </c>
      <c r="N19" s="206">
        <f t="shared" si="19"/>
        <v>0</v>
      </c>
      <c r="O19" s="68"/>
      <c r="P19" s="81">
        <f t="shared" si="21"/>
        <v>0</v>
      </c>
      <c r="Q19" s="81">
        <f t="shared" si="22"/>
        <v>0</v>
      </c>
      <c r="R19" s="81">
        <f t="shared" si="23"/>
        <v>0</v>
      </c>
      <c r="S19" s="81">
        <f t="shared" si="24"/>
        <v>0</v>
      </c>
      <c r="T19" s="281">
        <f t="shared" si="25"/>
        <v>0</v>
      </c>
      <c r="U19" s="120"/>
      <c r="V19" s="195">
        <f t="shared" si="26"/>
        <v>0</v>
      </c>
      <c r="W19" s="2"/>
    </row>
    <row r="20" spans="1:24" x14ac:dyDescent="0.25">
      <c r="A20" s="14" t="s">
        <v>14</v>
      </c>
      <c r="B20" s="20" t="s">
        <v>7</v>
      </c>
      <c r="C20" s="145">
        <v>0</v>
      </c>
      <c r="D20" s="68">
        <v>0</v>
      </c>
      <c r="E20" s="68">
        <v>0</v>
      </c>
      <c r="F20" s="68"/>
      <c r="G20" s="68"/>
      <c r="H20" s="68">
        <v>0</v>
      </c>
      <c r="I20" s="68">
        <v>0</v>
      </c>
      <c r="J20" s="68"/>
      <c r="K20" s="68"/>
      <c r="L20" s="601">
        <f t="shared" si="17"/>
        <v>0</v>
      </c>
      <c r="M20" s="601">
        <f t="shared" si="18"/>
        <v>0</v>
      </c>
      <c r="N20" s="206">
        <f t="shared" si="19"/>
        <v>0</v>
      </c>
      <c r="O20" s="68"/>
      <c r="P20" s="81">
        <f t="shared" si="21"/>
        <v>0</v>
      </c>
      <c r="Q20" s="81">
        <f t="shared" si="22"/>
        <v>0</v>
      </c>
      <c r="R20" s="81">
        <f t="shared" si="23"/>
        <v>0</v>
      </c>
      <c r="S20" s="81">
        <f t="shared" si="24"/>
        <v>0</v>
      </c>
      <c r="T20" s="281">
        <f t="shared" si="25"/>
        <v>0</v>
      </c>
      <c r="U20" s="120"/>
      <c r="V20" s="195">
        <f t="shared" si="26"/>
        <v>0</v>
      </c>
      <c r="W20" s="2"/>
    </row>
    <row r="21" spans="1:24" x14ac:dyDescent="0.25">
      <c r="A21" s="14" t="s">
        <v>15</v>
      </c>
      <c r="B21" s="20" t="s">
        <v>8</v>
      </c>
      <c r="C21" s="68">
        <v>0</v>
      </c>
      <c r="D21" s="68">
        <v>0</v>
      </c>
      <c r="E21" s="68">
        <v>0</v>
      </c>
      <c r="F21" s="68"/>
      <c r="G21" s="68"/>
      <c r="H21" s="68">
        <v>0</v>
      </c>
      <c r="I21" s="68">
        <v>0</v>
      </c>
      <c r="J21" s="68"/>
      <c r="K21" s="68"/>
      <c r="L21" s="601">
        <f t="shared" si="17"/>
        <v>0</v>
      </c>
      <c r="M21" s="601">
        <f t="shared" si="18"/>
        <v>0</v>
      </c>
      <c r="N21" s="206">
        <f t="shared" si="19"/>
        <v>0</v>
      </c>
      <c r="O21" s="68"/>
      <c r="P21" s="81">
        <f t="shared" si="21"/>
        <v>0</v>
      </c>
      <c r="Q21" s="81">
        <f t="shared" si="22"/>
        <v>0</v>
      </c>
      <c r="R21" s="81">
        <f t="shared" si="23"/>
        <v>0</v>
      </c>
      <c r="S21" s="81">
        <f t="shared" si="24"/>
        <v>0</v>
      </c>
      <c r="T21" s="281">
        <f t="shared" si="25"/>
        <v>0</v>
      </c>
      <c r="U21" s="120"/>
      <c r="V21" s="195">
        <f t="shared" si="26"/>
        <v>0</v>
      </c>
    </row>
    <row r="22" spans="1:24" x14ac:dyDescent="0.25">
      <c r="A22" s="14" t="s">
        <v>16</v>
      </c>
      <c r="B22" s="20" t="s">
        <v>9</v>
      </c>
      <c r="C22" s="68">
        <v>380000</v>
      </c>
      <c r="D22" s="68">
        <v>380000</v>
      </c>
      <c r="E22" s="68">
        <v>380000</v>
      </c>
      <c r="F22" s="68"/>
      <c r="G22" s="68"/>
      <c r="H22" s="68">
        <v>172230</v>
      </c>
      <c r="I22" s="68">
        <v>241255</v>
      </c>
      <c r="J22" s="68"/>
      <c r="K22" s="68"/>
      <c r="L22" s="601">
        <f t="shared" si="17"/>
        <v>0.45323684210526316</v>
      </c>
      <c r="M22" s="601">
        <f t="shared" si="18"/>
        <v>0.63488157894736841</v>
      </c>
      <c r="N22" s="206">
        <f t="shared" si="19"/>
        <v>0</v>
      </c>
      <c r="O22" s="68"/>
      <c r="P22" s="81">
        <f t="shared" si="21"/>
        <v>0</v>
      </c>
      <c r="Q22" s="81">
        <f t="shared" si="22"/>
        <v>0</v>
      </c>
      <c r="R22" s="81">
        <f t="shared" si="23"/>
        <v>0</v>
      </c>
      <c r="S22" s="81">
        <f t="shared" si="24"/>
        <v>0</v>
      </c>
      <c r="T22" s="281">
        <f t="shared" si="25"/>
        <v>0</v>
      </c>
      <c r="U22" s="120"/>
      <c r="V22" s="195">
        <f t="shared" si="26"/>
        <v>0</v>
      </c>
      <c r="X22" s="37"/>
    </row>
    <row r="23" spans="1:24" x14ac:dyDescent="0.25">
      <c r="A23" s="14" t="s">
        <v>17</v>
      </c>
      <c r="B23" s="20" t="s">
        <v>10</v>
      </c>
      <c r="C23" s="68">
        <v>0</v>
      </c>
      <c r="D23" s="68"/>
      <c r="E23" s="68"/>
      <c r="F23" s="68"/>
      <c r="G23" s="68"/>
      <c r="H23" s="68"/>
      <c r="I23" s="68"/>
      <c r="J23" s="68"/>
      <c r="K23" s="68"/>
      <c r="L23" s="601">
        <f t="shared" si="17"/>
        <v>0</v>
      </c>
      <c r="M23" s="601">
        <f t="shared" si="18"/>
        <v>0</v>
      </c>
      <c r="N23" s="206">
        <f t="shared" si="19"/>
        <v>0</v>
      </c>
      <c r="O23" s="68"/>
      <c r="P23" s="81">
        <f t="shared" si="21"/>
        <v>0</v>
      </c>
      <c r="Q23" s="81">
        <f t="shared" si="22"/>
        <v>0</v>
      </c>
      <c r="R23" s="81">
        <f t="shared" si="23"/>
        <v>0</v>
      </c>
      <c r="S23" s="81">
        <f t="shared" si="24"/>
        <v>0</v>
      </c>
      <c r="T23" s="281">
        <f t="shared" si="25"/>
        <v>0</v>
      </c>
      <c r="U23" s="120"/>
      <c r="V23" s="195">
        <f t="shared" si="26"/>
        <v>0</v>
      </c>
    </row>
    <row r="24" spans="1:24" x14ac:dyDescent="0.25">
      <c r="A24" s="14" t="s">
        <v>18</v>
      </c>
      <c r="B24" s="20" t="s">
        <v>11</v>
      </c>
      <c r="C24" s="68">
        <f>3900000</f>
        <v>3900000</v>
      </c>
      <c r="D24" s="68">
        <v>3900000</v>
      </c>
      <c r="E24" s="68">
        <v>4700000</v>
      </c>
      <c r="F24" s="68"/>
      <c r="G24" s="68"/>
      <c r="H24" s="68">
        <v>2361985</v>
      </c>
      <c r="I24" s="68">
        <v>4511322</v>
      </c>
      <c r="J24" s="68"/>
      <c r="K24" s="68"/>
      <c r="L24" s="601">
        <f t="shared" si="17"/>
        <v>0.60563717948717943</v>
      </c>
      <c r="M24" s="601">
        <f t="shared" si="18"/>
        <v>1.1567492307692309</v>
      </c>
      <c r="N24" s="206">
        <f t="shared" si="19"/>
        <v>0</v>
      </c>
      <c r="O24" s="68"/>
      <c r="P24" s="81">
        <f t="shared" si="21"/>
        <v>0</v>
      </c>
      <c r="Q24" s="81">
        <f t="shared" si="22"/>
        <v>800000</v>
      </c>
      <c r="R24" s="81">
        <f t="shared" si="23"/>
        <v>0</v>
      </c>
      <c r="S24" s="81">
        <f t="shared" si="24"/>
        <v>800000</v>
      </c>
      <c r="T24" s="281">
        <f t="shared" si="25"/>
        <v>0.20512820512820512</v>
      </c>
      <c r="U24" s="120"/>
      <c r="V24" s="195">
        <f t="shared" si="26"/>
        <v>0</v>
      </c>
    </row>
    <row r="25" spans="1:24" x14ac:dyDescent="0.25">
      <c r="A25" s="14" t="s">
        <v>19</v>
      </c>
      <c r="B25" s="20"/>
      <c r="C25" s="68"/>
      <c r="D25" s="68"/>
      <c r="E25" s="68"/>
      <c r="F25" s="68"/>
      <c r="G25" s="68"/>
      <c r="H25" s="68"/>
      <c r="I25" s="68"/>
      <c r="J25" s="68"/>
      <c r="K25" s="68"/>
      <c r="L25" s="601">
        <f t="shared" si="17"/>
        <v>0</v>
      </c>
      <c r="M25" s="601">
        <f t="shared" si="18"/>
        <v>0</v>
      </c>
      <c r="N25" s="206">
        <f t="shared" si="19"/>
        <v>0</v>
      </c>
      <c r="O25" s="68"/>
      <c r="P25" s="81">
        <f t="shared" si="21"/>
        <v>0</v>
      </c>
      <c r="Q25" s="81">
        <f t="shared" si="22"/>
        <v>0</v>
      </c>
      <c r="R25" s="81">
        <f t="shared" si="23"/>
        <v>0</v>
      </c>
      <c r="S25" s="81">
        <f t="shared" si="24"/>
        <v>0</v>
      </c>
      <c r="T25" s="281">
        <f t="shared" si="25"/>
        <v>0</v>
      </c>
      <c r="U25" s="120"/>
      <c r="V25" s="195">
        <f t="shared" si="26"/>
        <v>0</v>
      </c>
      <c r="W25" s="2"/>
    </row>
    <row r="26" spans="1:24" x14ac:dyDescent="0.25">
      <c r="A26" s="14" t="s">
        <v>20</v>
      </c>
      <c r="B26" s="20" t="s">
        <v>21</v>
      </c>
      <c r="C26" s="68">
        <v>0</v>
      </c>
      <c r="D26" s="68">
        <v>0</v>
      </c>
      <c r="E26" s="68">
        <v>0</v>
      </c>
      <c r="F26" s="68"/>
      <c r="G26" s="68"/>
      <c r="H26" s="68">
        <v>0</v>
      </c>
      <c r="I26" s="68">
        <v>0</v>
      </c>
      <c r="J26" s="68"/>
      <c r="K26" s="68"/>
      <c r="L26" s="601">
        <f t="shared" si="17"/>
        <v>0</v>
      </c>
      <c r="M26" s="601">
        <f t="shared" si="18"/>
        <v>0</v>
      </c>
      <c r="N26" s="206">
        <f t="shared" si="19"/>
        <v>0</v>
      </c>
      <c r="O26" s="68"/>
      <c r="P26" s="81">
        <f t="shared" si="21"/>
        <v>0</v>
      </c>
      <c r="Q26" s="81">
        <f t="shared" si="22"/>
        <v>0</v>
      </c>
      <c r="R26" s="81">
        <f t="shared" si="23"/>
        <v>0</v>
      </c>
      <c r="S26" s="81">
        <f t="shared" si="24"/>
        <v>0</v>
      </c>
      <c r="T26" s="281">
        <f t="shared" si="25"/>
        <v>0</v>
      </c>
      <c r="U26" s="120"/>
      <c r="V26" s="195">
        <f t="shared" si="26"/>
        <v>0</v>
      </c>
    </row>
    <row r="27" spans="1:24" x14ac:dyDescent="0.25">
      <c r="A27" s="14" t="s">
        <v>22</v>
      </c>
      <c r="B27" s="20" t="s">
        <v>23</v>
      </c>
      <c r="C27" s="145">
        <v>1000000</v>
      </c>
      <c r="D27" s="68">
        <v>1000000</v>
      </c>
      <c r="E27" s="68">
        <v>1000000</v>
      </c>
      <c r="F27" s="68"/>
      <c r="G27" s="68"/>
      <c r="H27" s="68">
        <v>281400</v>
      </c>
      <c r="I27" s="68">
        <v>309400</v>
      </c>
      <c r="J27" s="68"/>
      <c r="K27" s="68"/>
      <c r="L27" s="601">
        <f t="shared" si="17"/>
        <v>0.28139999999999998</v>
      </c>
      <c r="M27" s="601">
        <f t="shared" si="18"/>
        <v>0.30940000000000001</v>
      </c>
      <c r="N27" s="206">
        <f t="shared" si="19"/>
        <v>0</v>
      </c>
      <c r="O27" s="68"/>
      <c r="P27" s="81">
        <f t="shared" si="21"/>
        <v>0</v>
      </c>
      <c r="Q27" s="81">
        <f t="shared" si="22"/>
        <v>0</v>
      </c>
      <c r="R27" s="81">
        <f t="shared" si="23"/>
        <v>0</v>
      </c>
      <c r="S27" s="81">
        <f t="shared" si="24"/>
        <v>0</v>
      </c>
      <c r="T27" s="281">
        <f t="shared" si="25"/>
        <v>0</v>
      </c>
      <c r="U27" s="120"/>
      <c r="V27" s="195">
        <f t="shared" si="26"/>
        <v>0</v>
      </c>
      <c r="W27" s="2"/>
    </row>
    <row r="28" spans="1:24" x14ac:dyDescent="0.25">
      <c r="A28" s="14" t="s">
        <v>24</v>
      </c>
      <c r="B28" s="20" t="s">
        <v>25</v>
      </c>
      <c r="C28" s="68">
        <v>0</v>
      </c>
      <c r="D28" s="68">
        <v>0</v>
      </c>
      <c r="E28" s="68">
        <v>0</v>
      </c>
      <c r="F28" s="68"/>
      <c r="G28" s="68"/>
      <c r="H28" s="68">
        <v>0</v>
      </c>
      <c r="I28" s="68">
        <v>0</v>
      </c>
      <c r="J28" s="68"/>
      <c r="K28" s="68"/>
      <c r="L28" s="601">
        <f t="shared" si="17"/>
        <v>0</v>
      </c>
      <c r="M28" s="601">
        <f t="shared" si="18"/>
        <v>0</v>
      </c>
      <c r="N28" s="206">
        <f t="shared" si="19"/>
        <v>0</v>
      </c>
      <c r="O28" s="68"/>
      <c r="P28" s="81">
        <f t="shared" si="21"/>
        <v>0</v>
      </c>
      <c r="Q28" s="81">
        <f t="shared" si="22"/>
        <v>0</v>
      </c>
      <c r="R28" s="81">
        <f t="shared" si="23"/>
        <v>0</v>
      </c>
      <c r="S28" s="81">
        <f t="shared" si="24"/>
        <v>0</v>
      </c>
      <c r="T28" s="281">
        <f t="shared" si="25"/>
        <v>0</v>
      </c>
      <c r="U28" s="120"/>
      <c r="V28" s="195">
        <f t="shared" si="26"/>
        <v>0</v>
      </c>
    </row>
    <row r="29" spans="1:24" x14ac:dyDescent="0.25">
      <c r="A29" s="14"/>
      <c r="B29" s="14"/>
      <c r="C29" s="68"/>
      <c r="D29" s="68"/>
      <c r="E29" s="68">
        <v>0</v>
      </c>
      <c r="F29" s="68"/>
      <c r="G29" s="68"/>
      <c r="H29" s="68"/>
      <c r="I29" s="68"/>
      <c r="J29" s="68"/>
      <c r="K29" s="68"/>
      <c r="L29" s="628"/>
      <c r="M29" s="629"/>
      <c r="N29" s="205">
        <f t="shared" si="19"/>
        <v>0</v>
      </c>
      <c r="O29" s="68"/>
      <c r="P29" s="81">
        <f t="shared" si="21"/>
        <v>0</v>
      </c>
      <c r="Q29" s="81">
        <f t="shared" si="22"/>
        <v>0</v>
      </c>
      <c r="R29" s="81">
        <f t="shared" si="23"/>
        <v>0</v>
      </c>
      <c r="S29" s="81">
        <f t="shared" si="24"/>
        <v>0</v>
      </c>
      <c r="T29" s="281">
        <f t="shared" si="25"/>
        <v>0</v>
      </c>
      <c r="U29" s="120"/>
      <c r="V29" s="195">
        <f t="shared" si="26"/>
        <v>0</v>
      </c>
    </row>
    <row r="30" spans="1:24" x14ac:dyDescent="0.25">
      <c r="A30" s="7" t="s">
        <v>26</v>
      </c>
      <c r="B30" s="5" t="s">
        <v>27</v>
      </c>
      <c r="C30" s="67">
        <f>+C31</f>
        <v>25000000</v>
      </c>
      <c r="D30" s="67">
        <f>SUM(D31)</f>
        <v>25000000</v>
      </c>
      <c r="E30" s="67">
        <f>SUM(E31)</f>
        <v>25000000</v>
      </c>
      <c r="F30" s="67">
        <f>SUM(F31)</f>
        <v>0</v>
      </c>
      <c r="G30" s="67"/>
      <c r="H30" s="67">
        <f>SUM(H31)</f>
        <v>13078152</v>
      </c>
      <c r="I30" s="67">
        <f>SUM(I31)</f>
        <v>19369353</v>
      </c>
      <c r="J30" s="67">
        <f>SUM(J31)</f>
        <v>0</v>
      </c>
      <c r="K30" s="67"/>
      <c r="L30" s="630"/>
      <c r="M30" s="631">
        <f>+I30/E30</f>
        <v>0.77477412000000001</v>
      </c>
      <c r="N30" s="207"/>
      <c r="O30" s="67"/>
      <c r="P30" s="67">
        <f t="shared" si="21"/>
        <v>0</v>
      </c>
      <c r="Q30" s="67">
        <f t="shared" si="22"/>
        <v>0</v>
      </c>
      <c r="R30" s="67">
        <f t="shared" si="23"/>
        <v>0</v>
      </c>
      <c r="S30" s="67">
        <f t="shared" si="24"/>
        <v>0</v>
      </c>
      <c r="T30" s="261">
        <f t="shared" si="25"/>
        <v>0</v>
      </c>
      <c r="U30" s="67"/>
      <c r="V30" s="256">
        <f t="shared" si="26"/>
        <v>0</v>
      </c>
    </row>
    <row r="31" spans="1:24" x14ac:dyDescent="0.25">
      <c r="A31" s="14"/>
      <c r="B31" s="20" t="s">
        <v>28</v>
      </c>
      <c r="C31" s="68">
        <v>25000000</v>
      </c>
      <c r="D31" s="68">
        <v>25000000</v>
      </c>
      <c r="E31" s="68">
        <v>25000000</v>
      </c>
      <c r="F31" s="68"/>
      <c r="G31" s="68"/>
      <c r="H31" s="68">
        <v>13078152</v>
      </c>
      <c r="I31" s="68">
        <v>19369353</v>
      </c>
      <c r="J31" s="68"/>
      <c r="K31" s="68"/>
      <c r="L31" s="601">
        <f>IF(H31&gt;0,H31/C31,0)</f>
        <v>0.52312608000000005</v>
      </c>
      <c r="M31" s="601">
        <f>IF(I31&gt;0,I31/D31,0)</f>
        <v>0.77477412000000001</v>
      </c>
      <c r="N31" s="206">
        <f>IF(J31&gt;0,J31/E31,0)</f>
        <v>0</v>
      </c>
      <c r="O31" s="68"/>
      <c r="P31" s="81">
        <f t="shared" ref="P31" si="27">+(D31-C31)*P$10</f>
        <v>0</v>
      </c>
      <c r="Q31" s="81">
        <f t="shared" ref="Q31" si="28">+(E31-D31)*Q$10</f>
        <v>0</v>
      </c>
      <c r="R31" s="81">
        <f t="shared" ref="R31" si="29">+(F31-E31)*R$10</f>
        <v>0</v>
      </c>
      <c r="S31" s="81">
        <f t="shared" si="24"/>
        <v>0</v>
      </c>
      <c r="T31" s="281">
        <f t="shared" ref="T31" si="30">IF(C31=0,0,+S31/C31)</f>
        <v>0</v>
      </c>
      <c r="U31" s="120"/>
      <c r="V31" s="195">
        <f t="shared" ref="V31" si="31">+S31-E31+C31</f>
        <v>0</v>
      </c>
    </row>
    <row r="32" spans="1:24" x14ac:dyDescent="0.25">
      <c r="A32" s="14"/>
      <c r="B32" s="14"/>
      <c r="C32" s="68"/>
      <c r="D32" s="68"/>
      <c r="E32" s="68"/>
      <c r="F32" s="68"/>
      <c r="G32" s="68"/>
      <c r="H32" s="68"/>
      <c r="I32" s="68"/>
      <c r="J32" s="68"/>
      <c r="K32" s="68"/>
      <c r="L32" s="628"/>
      <c r="M32" s="629"/>
      <c r="N32" s="205"/>
      <c r="O32" s="68"/>
      <c r="P32" s="68"/>
      <c r="Q32" s="68"/>
      <c r="R32" s="68"/>
      <c r="S32" s="68"/>
      <c r="T32" s="262"/>
      <c r="U32" s="68"/>
      <c r="V32" s="255"/>
    </row>
    <row r="33" spans="1:24" x14ac:dyDescent="0.25">
      <c r="A33" s="7" t="s">
        <v>29</v>
      </c>
      <c r="B33" s="5" t="s">
        <v>30</v>
      </c>
      <c r="C33" s="67">
        <f>+C34+C42+C49+C67+C72</f>
        <v>11646000</v>
      </c>
      <c r="D33" s="67">
        <f>+D34+D42+D49+D67+D72</f>
        <v>11646000</v>
      </c>
      <c r="E33" s="67">
        <f>+E34+E42+E49+E67+E72</f>
        <v>11646000</v>
      </c>
      <c r="F33" s="67">
        <f>+F34+F42+F49+F67+F72</f>
        <v>0</v>
      </c>
      <c r="G33" s="67"/>
      <c r="H33" s="67">
        <f>+H34+H42+H49+H67+H72</f>
        <v>7163057</v>
      </c>
      <c r="I33" s="67">
        <f>+I34+I42+I49+I67+I72</f>
        <v>9537641</v>
      </c>
      <c r="J33" s="67">
        <f>+J34+J42+J49+J67+J72</f>
        <v>0</v>
      </c>
      <c r="K33" s="67"/>
      <c r="L33" s="630"/>
      <c r="M33" s="631">
        <f>+I33/E33</f>
        <v>0.81896281985230979</v>
      </c>
      <c r="N33" s="207"/>
      <c r="O33" s="67"/>
      <c r="P33" s="67">
        <f t="shared" ref="P33" si="32">+(D33-C33)*P$10</f>
        <v>0</v>
      </c>
      <c r="Q33" s="67">
        <f t="shared" ref="Q33" si="33">+(E33-D33)*Q$10</f>
        <v>0</v>
      </c>
      <c r="R33" s="67">
        <f t="shared" ref="R33" si="34">+(F33-E33)*R$10</f>
        <v>0</v>
      </c>
      <c r="S33" s="67">
        <f t="shared" ref="S33:S82" si="35">+P33*P$10+Q33*Q$10+R33*R$10</f>
        <v>0</v>
      </c>
      <c r="T33" s="261">
        <f t="shared" ref="T33" si="36">IF(C33=0,0,+S33/C33)</f>
        <v>0</v>
      </c>
      <c r="U33" s="67"/>
      <c r="V33" s="256">
        <f t="shared" ref="V33" si="37">+S33-E33+C33</f>
        <v>0</v>
      </c>
    </row>
    <row r="34" spans="1:24" x14ac:dyDescent="0.25">
      <c r="A34" s="38" t="s">
        <v>31</v>
      </c>
      <c r="B34" s="39" t="s">
        <v>32</v>
      </c>
      <c r="C34" s="95">
        <f>SUM(C35:C41)</f>
        <v>3940000</v>
      </c>
      <c r="D34" s="95">
        <f t="shared" ref="D34:F34" si="38">SUM(D35:D41)</f>
        <v>3740000</v>
      </c>
      <c r="E34" s="95">
        <f t="shared" si="38"/>
        <v>3310000</v>
      </c>
      <c r="F34" s="95">
        <f t="shared" si="38"/>
        <v>0</v>
      </c>
      <c r="G34" s="95"/>
      <c r="H34" s="95">
        <f t="shared" ref="H34" si="39">SUM(H35:H41)</f>
        <v>2370015</v>
      </c>
      <c r="I34" s="95">
        <f t="shared" ref="I34" si="40">SUM(I35:I41)</f>
        <v>2655392</v>
      </c>
      <c r="J34" s="95">
        <f t="shared" ref="J34" si="41">SUM(J35:J41)</f>
        <v>0</v>
      </c>
      <c r="K34" s="95"/>
      <c r="L34" s="632">
        <f t="shared" ref="L34:L65" si="42">IF(H34&gt;0,H34/C34,0)</f>
        <v>0.60152664974619285</v>
      </c>
      <c r="M34" s="633">
        <f t="shared" ref="M34:M65" si="43">IF(I34&gt;0,I34/D34,0)</f>
        <v>0.7099978609625669</v>
      </c>
      <c r="N34" s="208">
        <f t="shared" ref="N34:N65" si="44">IF(J34&gt;0,J34/E34,0)</f>
        <v>0</v>
      </c>
      <c r="O34" s="95"/>
      <c r="P34" s="95">
        <f t="shared" ref="P34:P84" si="45">+(D34-C34)*P$10</f>
        <v>-200000</v>
      </c>
      <c r="Q34" s="95">
        <f t="shared" ref="Q34:Q84" si="46">+(E34-D34)*Q$10</f>
        <v>-430000</v>
      </c>
      <c r="R34" s="95">
        <f t="shared" ref="R34:R84" si="47">+(F34-E34)*R$10</f>
        <v>0</v>
      </c>
      <c r="S34" s="95">
        <f t="shared" si="35"/>
        <v>-630000</v>
      </c>
      <c r="T34" s="263">
        <f t="shared" ref="T34:T84" si="48">IF(C34=0,0,+S34/C34)</f>
        <v>-0.15989847715736041</v>
      </c>
      <c r="U34" s="95"/>
      <c r="V34" s="257">
        <f t="shared" ref="V34:V84" si="49">+S34-E34+C34</f>
        <v>0</v>
      </c>
    </row>
    <row r="35" spans="1:24" x14ac:dyDescent="0.25">
      <c r="A35" s="14" t="s">
        <v>33</v>
      </c>
      <c r="B35" s="20" t="s">
        <v>35</v>
      </c>
      <c r="C35" s="68">
        <v>340000</v>
      </c>
      <c r="D35" s="68">
        <v>340000</v>
      </c>
      <c r="E35" s="68">
        <v>310000</v>
      </c>
      <c r="F35" s="68"/>
      <c r="G35" s="68"/>
      <c r="H35" s="68">
        <v>55132</v>
      </c>
      <c r="I35" s="68">
        <v>84846</v>
      </c>
      <c r="J35" s="68"/>
      <c r="K35" s="68"/>
      <c r="L35" s="628">
        <f t="shared" si="42"/>
        <v>0.16215294117647058</v>
      </c>
      <c r="M35" s="634">
        <f t="shared" si="43"/>
        <v>0.2495470588235294</v>
      </c>
      <c r="N35" s="205">
        <f t="shared" si="44"/>
        <v>0</v>
      </c>
      <c r="O35" s="68"/>
      <c r="P35" s="68">
        <f t="shared" si="45"/>
        <v>0</v>
      </c>
      <c r="Q35" s="68">
        <f t="shared" si="46"/>
        <v>-30000</v>
      </c>
      <c r="R35" s="68">
        <f t="shared" si="47"/>
        <v>0</v>
      </c>
      <c r="S35" s="68">
        <f t="shared" si="35"/>
        <v>-30000</v>
      </c>
      <c r="T35" s="262">
        <f t="shared" si="48"/>
        <v>-8.8235294117647065E-2</v>
      </c>
      <c r="U35" s="68"/>
      <c r="V35" s="255">
        <f t="shared" si="49"/>
        <v>0</v>
      </c>
    </row>
    <row r="36" spans="1:24" x14ac:dyDescent="0.25">
      <c r="A36" s="14"/>
      <c r="B36" s="20" t="s">
        <v>89</v>
      </c>
      <c r="C36" s="68"/>
      <c r="D36" s="68"/>
      <c r="E36" s="68"/>
      <c r="F36" s="68"/>
      <c r="G36" s="68"/>
      <c r="H36" s="68"/>
      <c r="I36" s="143"/>
      <c r="J36" s="68"/>
      <c r="K36" s="68"/>
      <c r="L36" s="628">
        <f t="shared" si="42"/>
        <v>0</v>
      </c>
      <c r="M36" s="629">
        <f t="shared" si="43"/>
        <v>0</v>
      </c>
      <c r="N36" s="205">
        <f t="shared" si="44"/>
        <v>0</v>
      </c>
      <c r="O36" s="68"/>
      <c r="P36" s="68">
        <f t="shared" si="45"/>
        <v>0</v>
      </c>
      <c r="Q36" s="68">
        <f t="shared" si="46"/>
        <v>0</v>
      </c>
      <c r="R36" s="68">
        <f t="shared" si="47"/>
        <v>0</v>
      </c>
      <c r="S36" s="68">
        <f t="shared" si="35"/>
        <v>0</v>
      </c>
      <c r="T36" s="262">
        <f t="shared" si="48"/>
        <v>0</v>
      </c>
      <c r="U36" s="68"/>
      <c r="V36" s="255">
        <f t="shared" si="49"/>
        <v>0</v>
      </c>
    </row>
    <row r="37" spans="1:24" x14ac:dyDescent="0.25">
      <c r="A37" s="14" t="s">
        <v>34</v>
      </c>
      <c r="B37" s="20" t="s">
        <v>36</v>
      </c>
      <c r="C37" s="68">
        <v>3600000</v>
      </c>
      <c r="D37" s="68">
        <v>3400000</v>
      </c>
      <c r="E37" s="68">
        <v>3000000</v>
      </c>
      <c r="F37" s="68"/>
      <c r="G37" s="68"/>
      <c r="H37" s="68">
        <v>2314883</v>
      </c>
      <c r="I37" s="68">
        <v>2570546</v>
      </c>
      <c r="J37" s="68"/>
      <c r="K37" s="68"/>
      <c r="L37" s="628">
        <f t="shared" si="42"/>
        <v>0.6430230555555555</v>
      </c>
      <c r="M37" s="634">
        <f t="shared" si="43"/>
        <v>0.75604294117647064</v>
      </c>
      <c r="N37" s="205">
        <f t="shared" si="44"/>
        <v>0</v>
      </c>
      <c r="O37" s="68"/>
      <c r="P37" s="68">
        <f t="shared" si="45"/>
        <v>-200000</v>
      </c>
      <c r="Q37" s="68">
        <f t="shared" si="46"/>
        <v>-400000</v>
      </c>
      <c r="R37" s="68">
        <f t="shared" si="47"/>
        <v>0</v>
      </c>
      <c r="S37" s="68">
        <f t="shared" si="35"/>
        <v>-600000</v>
      </c>
      <c r="T37" s="262">
        <f t="shared" si="48"/>
        <v>-0.16666666666666666</v>
      </c>
      <c r="U37" s="68"/>
      <c r="V37" s="255">
        <f t="shared" si="49"/>
        <v>0</v>
      </c>
      <c r="X37" s="37"/>
    </row>
    <row r="38" spans="1:24" x14ac:dyDescent="0.25">
      <c r="A38" s="14"/>
      <c r="B38" s="20" t="s">
        <v>96</v>
      </c>
      <c r="C38" s="68"/>
      <c r="D38" s="68"/>
      <c r="E38" s="68"/>
      <c r="F38" s="68"/>
      <c r="G38" s="68"/>
      <c r="H38" s="68"/>
      <c r="I38" s="68"/>
      <c r="J38" s="68"/>
      <c r="K38" s="68"/>
      <c r="L38" s="628">
        <f t="shared" si="42"/>
        <v>0</v>
      </c>
      <c r="M38" s="629">
        <f t="shared" si="43"/>
        <v>0</v>
      </c>
      <c r="N38" s="205">
        <f t="shared" si="44"/>
        <v>0</v>
      </c>
      <c r="O38" s="68"/>
      <c r="P38" s="68">
        <f t="shared" si="45"/>
        <v>0</v>
      </c>
      <c r="Q38" s="68">
        <f t="shared" si="46"/>
        <v>0</v>
      </c>
      <c r="R38" s="68">
        <f t="shared" si="47"/>
        <v>0</v>
      </c>
      <c r="S38" s="68">
        <f t="shared" si="35"/>
        <v>0</v>
      </c>
      <c r="T38" s="262">
        <f t="shared" si="48"/>
        <v>0</v>
      </c>
      <c r="U38" s="68"/>
      <c r="V38" s="255">
        <f t="shared" si="49"/>
        <v>0</v>
      </c>
    </row>
    <row r="39" spans="1:24" x14ac:dyDescent="0.25">
      <c r="A39" s="14"/>
      <c r="B39" s="20" t="s">
        <v>95</v>
      </c>
      <c r="C39" s="68"/>
      <c r="D39" s="68"/>
      <c r="E39" s="68"/>
      <c r="F39" s="68"/>
      <c r="G39" s="68"/>
      <c r="H39" s="68"/>
      <c r="I39" s="68"/>
      <c r="J39" s="68"/>
      <c r="K39" s="68"/>
      <c r="L39" s="628">
        <f t="shared" si="42"/>
        <v>0</v>
      </c>
      <c r="M39" s="629">
        <f t="shared" si="43"/>
        <v>0</v>
      </c>
      <c r="N39" s="205">
        <f t="shared" si="44"/>
        <v>0</v>
      </c>
      <c r="O39" s="68"/>
      <c r="P39" s="68">
        <f t="shared" si="45"/>
        <v>0</v>
      </c>
      <c r="Q39" s="68">
        <f t="shared" si="46"/>
        <v>0</v>
      </c>
      <c r="R39" s="68">
        <f t="shared" si="47"/>
        <v>0</v>
      </c>
      <c r="S39" s="68">
        <f t="shared" si="35"/>
        <v>0</v>
      </c>
      <c r="T39" s="262">
        <f t="shared" si="48"/>
        <v>0</v>
      </c>
      <c r="U39" s="68"/>
      <c r="V39" s="255">
        <f t="shared" si="49"/>
        <v>0</v>
      </c>
    </row>
    <row r="40" spans="1:24" x14ac:dyDescent="0.25">
      <c r="A40" s="14"/>
      <c r="B40" s="20" t="s">
        <v>94</v>
      </c>
      <c r="C40" s="68"/>
      <c r="D40" s="68"/>
      <c r="E40" s="68"/>
      <c r="F40" s="68"/>
      <c r="G40" s="68"/>
      <c r="H40" s="68"/>
      <c r="I40" s="68"/>
      <c r="J40" s="68"/>
      <c r="K40" s="68"/>
      <c r="L40" s="628">
        <f t="shared" si="42"/>
        <v>0</v>
      </c>
      <c r="M40" s="629">
        <f t="shared" si="43"/>
        <v>0</v>
      </c>
      <c r="N40" s="205">
        <f t="shared" si="44"/>
        <v>0</v>
      </c>
      <c r="O40" s="68"/>
      <c r="P40" s="68">
        <f t="shared" si="45"/>
        <v>0</v>
      </c>
      <c r="Q40" s="68">
        <f t="shared" si="46"/>
        <v>0</v>
      </c>
      <c r="R40" s="68">
        <f t="shared" si="47"/>
        <v>0</v>
      </c>
      <c r="S40" s="68">
        <f t="shared" si="35"/>
        <v>0</v>
      </c>
      <c r="T40" s="262">
        <f t="shared" si="48"/>
        <v>0</v>
      </c>
      <c r="U40" s="68"/>
      <c r="V40" s="255">
        <f t="shared" si="49"/>
        <v>0</v>
      </c>
    </row>
    <row r="41" spans="1:24" x14ac:dyDescent="0.25">
      <c r="A41" s="14"/>
      <c r="B41" s="20" t="s">
        <v>93</v>
      </c>
      <c r="C41" s="68"/>
      <c r="D41" s="68"/>
      <c r="E41" s="68"/>
      <c r="F41" s="68"/>
      <c r="G41" s="68"/>
      <c r="H41" s="68"/>
      <c r="I41" s="68"/>
      <c r="J41" s="68"/>
      <c r="K41" s="68"/>
      <c r="L41" s="628">
        <f t="shared" si="42"/>
        <v>0</v>
      </c>
      <c r="M41" s="629">
        <f t="shared" si="43"/>
        <v>0</v>
      </c>
      <c r="N41" s="205">
        <f t="shared" si="44"/>
        <v>0</v>
      </c>
      <c r="O41" s="68"/>
      <c r="P41" s="68">
        <f t="shared" si="45"/>
        <v>0</v>
      </c>
      <c r="Q41" s="68">
        <f t="shared" si="46"/>
        <v>0</v>
      </c>
      <c r="R41" s="68">
        <f t="shared" si="47"/>
        <v>0</v>
      </c>
      <c r="S41" s="68">
        <f t="shared" si="35"/>
        <v>0</v>
      </c>
      <c r="T41" s="262">
        <f t="shared" si="48"/>
        <v>0</v>
      </c>
      <c r="U41" s="68"/>
      <c r="V41" s="255">
        <f t="shared" si="49"/>
        <v>0</v>
      </c>
    </row>
    <row r="42" spans="1:24" x14ac:dyDescent="0.25">
      <c r="A42" s="38" t="s">
        <v>37</v>
      </c>
      <c r="B42" s="39" t="s">
        <v>38</v>
      </c>
      <c r="C42" s="95">
        <f>+C43+C47</f>
        <v>196000</v>
      </c>
      <c r="D42" s="95">
        <f>+D43+D47</f>
        <v>196000</v>
      </c>
      <c r="E42" s="95">
        <f>+E43+E47</f>
        <v>196000</v>
      </c>
      <c r="F42" s="95">
        <f>+F43+F47</f>
        <v>0</v>
      </c>
      <c r="G42" s="95"/>
      <c r="H42" s="95">
        <f>+H43+H47</f>
        <v>74836</v>
      </c>
      <c r="I42" s="95">
        <f>+I43+I47</f>
        <v>121796</v>
      </c>
      <c r="J42" s="95">
        <f>+J43+J47</f>
        <v>0</v>
      </c>
      <c r="K42" s="95"/>
      <c r="L42" s="632">
        <f t="shared" si="42"/>
        <v>0.38181632653061226</v>
      </c>
      <c r="M42" s="633">
        <f t="shared" si="43"/>
        <v>0.62140816326530612</v>
      </c>
      <c r="N42" s="208">
        <f t="shared" si="44"/>
        <v>0</v>
      </c>
      <c r="O42" s="95"/>
      <c r="P42" s="95">
        <f t="shared" si="45"/>
        <v>0</v>
      </c>
      <c r="Q42" s="95">
        <f t="shared" si="46"/>
        <v>0</v>
      </c>
      <c r="R42" s="95">
        <f t="shared" si="47"/>
        <v>0</v>
      </c>
      <c r="S42" s="95">
        <f t="shared" si="35"/>
        <v>0</v>
      </c>
      <c r="T42" s="263">
        <f t="shared" si="48"/>
        <v>0</v>
      </c>
      <c r="U42" s="95"/>
      <c r="V42" s="257">
        <f t="shared" si="49"/>
        <v>0</v>
      </c>
    </row>
    <row r="43" spans="1:24" x14ac:dyDescent="0.25">
      <c r="A43" s="14" t="s">
        <v>39</v>
      </c>
      <c r="B43" s="20" t="s">
        <v>40</v>
      </c>
      <c r="C43" s="68">
        <v>36000</v>
      </c>
      <c r="D43" s="68">
        <v>36000</v>
      </c>
      <c r="E43" s="68">
        <v>36000</v>
      </c>
      <c r="F43" s="68"/>
      <c r="G43" s="68"/>
      <c r="H43" s="68">
        <v>0</v>
      </c>
      <c r="I43" s="68">
        <v>0</v>
      </c>
      <c r="J43" s="68"/>
      <c r="K43" s="68"/>
      <c r="L43" s="628">
        <f t="shared" si="42"/>
        <v>0</v>
      </c>
      <c r="M43" s="634">
        <f t="shared" si="43"/>
        <v>0</v>
      </c>
      <c r="N43" s="205">
        <f t="shared" si="44"/>
        <v>0</v>
      </c>
      <c r="O43" s="68"/>
      <c r="P43" s="68">
        <f t="shared" si="45"/>
        <v>0</v>
      </c>
      <c r="Q43" s="68">
        <f t="shared" si="46"/>
        <v>0</v>
      </c>
      <c r="R43" s="68">
        <f t="shared" si="47"/>
        <v>0</v>
      </c>
      <c r="S43" s="68">
        <f t="shared" si="35"/>
        <v>0</v>
      </c>
      <c r="T43" s="262">
        <f t="shared" si="48"/>
        <v>0</v>
      </c>
      <c r="U43" s="68"/>
      <c r="V43" s="255">
        <f t="shared" si="49"/>
        <v>0</v>
      </c>
    </row>
    <row r="44" spans="1:24" x14ac:dyDescent="0.25">
      <c r="A44" s="14"/>
      <c r="B44" s="20" t="s">
        <v>41</v>
      </c>
      <c r="C44" s="68"/>
      <c r="D44" s="68"/>
      <c r="E44" s="68"/>
      <c r="F44" s="68"/>
      <c r="G44" s="68"/>
      <c r="H44" s="68"/>
      <c r="I44" s="68"/>
      <c r="J44" s="68"/>
      <c r="K44" s="68"/>
      <c r="L44" s="628">
        <f t="shared" si="42"/>
        <v>0</v>
      </c>
      <c r="M44" s="629">
        <f t="shared" si="43"/>
        <v>0</v>
      </c>
      <c r="N44" s="205">
        <f t="shared" si="44"/>
        <v>0</v>
      </c>
      <c r="O44" s="68"/>
      <c r="P44" s="68">
        <f t="shared" si="45"/>
        <v>0</v>
      </c>
      <c r="Q44" s="68">
        <f t="shared" si="46"/>
        <v>0</v>
      </c>
      <c r="R44" s="68">
        <f t="shared" si="47"/>
        <v>0</v>
      </c>
      <c r="S44" s="68">
        <f t="shared" si="35"/>
        <v>0</v>
      </c>
      <c r="T44" s="262">
        <f t="shared" si="48"/>
        <v>0</v>
      </c>
      <c r="U44" s="68"/>
      <c r="V44" s="255">
        <f t="shared" si="49"/>
        <v>0</v>
      </c>
    </row>
    <row r="45" spans="1:24" x14ac:dyDescent="0.25">
      <c r="A45" s="14"/>
      <c r="B45" s="20" t="s">
        <v>42</v>
      </c>
      <c r="C45" s="68"/>
      <c r="D45" s="68"/>
      <c r="E45" s="68"/>
      <c r="F45" s="68"/>
      <c r="G45" s="68"/>
      <c r="H45" s="68"/>
      <c r="I45" s="68"/>
      <c r="J45" s="68"/>
      <c r="K45" s="68"/>
      <c r="L45" s="628">
        <f t="shared" si="42"/>
        <v>0</v>
      </c>
      <c r="M45" s="629">
        <f t="shared" si="43"/>
        <v>0</v>
      </c>
      <c r="N45" s="205">
        <f t="shared" si="44"/>
        <v>0</v>
      </c>
      <c r="O45" s="68"/>
      <c r="P45" s="68">
        <f t="shared" si="45"/>
        <v>0</v>
      </c>
      <c r="Q45" s="68">
        <f t="shared" si="46"/>
        <v>0</v>
      </c>
      <c r="R45" s="68">
        <f t="shared" si="47"/>
        <v>0</v>
      </c>
      <c r="S45" s="68">
        <f t="shared" si="35"/>
        <v>0</v>
      </c>
      <c r="T45" s="262">
        <f t="shared" si="48"/>
        <v>0</v>
      </c>
      <c r="U45" s="68"/>
      <c r="V45" s="255">
        <f t="shared" si="49"/>
        <v>0</v>
      </c>
    </row>
    <row r="46" spans="1:24" x14ac:dyDescent="0.25">
      <c r="A46" s="14"/>
      <c r="B46" s="20" t="s">
        <v>43</v>
      </c>
      <c r="C46" s="68"/>
      <c r="D46" s="68"/>
      <c r="E46" s="68"/>
      <c r="F46" s="68"/>
      <c r="G46" s="68"/>
      <c r="H46" s="68"/>
      <c r="I46" s="68"/>
      <c r="J46" s="68"/>
      <c r="K46" s="68"/>
      <c r="L46" s="628">
        <f t="shared" si="42"/>
        <v>0</v>
      </c>
      <c r="M46" s="629">
        <f t="shared" si="43"/>
        <v>0</v>
      </c>
      <c r="N46" s="205">
        <f t="shared" si="44"/>
        <v>0</v>
      </c>
      <c r="O46" s="68"/>
      <c r="P46" s="68">
        <f t="shared" si="45"/>
        <v>0</v>
      </c>
      <c r="Q46" s="68">
        <f t="shared" si="46"/>
        <v>0</v>
      </c>
      <c r="R46" s="68">
        <f t="shared" si="47"/>
        <v>0</v>
      </c>
      <c r="S46" s="68">
        <f t="shared" si="35"/>
        <v>0</v>
      </c>
      <c r="T46" s="262">
        <f t="shared" si="48"/>
        <v>0</v>
      </c>
      <c r="U46" s="68"/>
      <c r="V46" s="255">
        <f t="shared" si="49"/>
        <v>0</v>
      </c>
    </row>
    <row r="47" spans="1:24" x14ac:dyDescent="0.25">
      <c r="A47" s="14" t="s">
        <v>44</v>
      </c>
      <c r="B47" s="20" t="s">
        <v>45</v>
      </c>
      <c r="C47" s="68">
        <v>160000</v>
      </c>
      <c r="D47" s="68">
        <v>160000</v>
      </c>
      <c r="E47" s="68">
        <v>160000</v>
      </c>
      <c r="F47" s="68"/>
      <c r="G47" s="68"/>
      <c r="H47" s="68">
        <v>74836</v>
      </c>
      <c r="I47" s="68">
        <v>121796</v>
      </c>
      <c r="J47" s="68"/>
      <c r="K47" s="68"/>
      <c r="L47" s="628">
        <f t="shared" si="42"/>
        <v>0.467725</v>
      </c>
      <c r="M47" s="634">
        <f t="shared" si="43"/>
        <v>0.76122500000000004</v>
      </c>
      <c r="N47" s="205">
        <f t="shared" si="44"/>
        <v>0</v>
      </c>
      <c r="O47" s="68"/>
      <c r="P47" s="68">
        <f t="shared" si="45"/>
        <v>0</v>
      </c>
      <c r="Q47" s="68">
        <f t="shared" si="46"/>
        <v>0</v>
      </c>
      <c r="R47" s="68">
        <f t="shared" si="47"/>
        <v>0</v>
      </c>
      <c r="S47" s="68">
        <f t="shared" si="35"/>
        <v>0</v>
      </c>
      <c r="T47" s="262">
        <f t="shared" si="48"/>
        <v>0</v>
      </c>
      <c r="U47" s="68"/>
      <c r="V47" s="255">
        <f t="shared" si="49"/>
        <v>0</v>
      </c>
    </row>
    <row r="48" spans="1:24" x14ac:dyDescent="0.25">
      <c r="A48" s="14"/>
      <c r="B48" s="20" t="s">
        <v>46</v>
      </c>
      <c r="C48" s="68"/>
      <c r="D48" s="68"/>
      <c r="E48" s="68"/>
      <c r="F48" s="68"/>
      <c r="G48" s="68"/>
      <c r="H48" s="68"/>
      <c r="I48" s="68"/>
      <c r="J48" s="68"/>
      <c r="K48" s="68"/>
      <c r="L48" s="628">
        <f t="shared" si="42"/>
        <v>0</v>
      </c>
      <c r="M48" s="629">
        <f t="shared" si="43"/>
        <v>0</v>
      </c>
      <c r="N48" s="205">
        <f t="shared" si="44"/>
        <v>0</v>
      </c>
      <c r="O48" s="68"/>
      <c r="P48" s="68">
        <f t="shared" si="45"/>
        <v>0</v>
      </c>
      <c r="Q48" s="68">
        <f t="shared" si="46"/>
        <v>0</v>
      </c>
      <c r="R48" s="68">
        <f t="shared" si="47"/>
        <v>0</v>
      </c>
      <c r="S48" s="68">
        <f t="shared" si="35"/>
        <v>0</v>
      </c>
      <c r="T48" s="262">
        <f t="shared" si="48"/>
        <v>0</v>
      </c>
      <c r="U48" s="68"/>
      <c r="V48" s="255">
        <f t="shared" si="49"/>
        <v>0</v>
      </c>
    </row>
    <row r="49" spans="1:22" s="42" customFormat="1" x14ac:dyDescent="0.25">
      <c r="A49" s="38" t="s">
        <v>47</v>
      </c>
      <c r="B49" s="39" t="s">
        <v>48</v>
      </c>
      <c r="C49" s="95">
        <f>+C50+C54+C57+C59+C61+C63+C65</f>
        <v>5450000</v>
      </c>
      <c r="D49" s="95">
        <f>+D50+D54+D57+D59+D61+D63+D65</f>
        <v>5650000</v>
      </c>
      <c r="E49" s="95">
        <f>+E50+E54+E57+E59+E61+E63+E65</f>
        <v>6025000</v>
      </c>
      <c r="F49" s="95">
        <f>+F50+F54+F57+F59+F61+F63+F65</f>
        <v>0</v>
      </c>
      <c r="G49" s="95"/>
      <c r="H49" s="95">
        <f>+H50+H54+H57+H59+H61+H63+H65</f>
        <v>3553583</v>
      </c>
      <c r="I49" s="95">
        <f>+I50+I54+I57+I59+I61+I63+I65</f>
        <v>5174036</v>
      </c>
      <c r="J49" s="95">
        <f>+J50+J54+J57+J59+J61+J63+J65</f>
        <v>0</v>
      </c>
      <c r="K49" s="95"/>
      <c r="L49" s="632">
        <f t="shared" si="42"/>
        <v>0.6520335779816514</v>
      </c>
      <c r="M49" s="633">
        <f t="shared" si="43"/>
        <v>0.91575858407079647</v>
      </c>
      <c r="N49" s="208">
        <f t="shared" si="44"/>
        <v>0</v>
      </c>
      <c r="O49" s="95"/>
      <c r="P49" s="95">
        <f t="shared" si="45"/>
        <v>200000</v>
      </c>
      <c r="Q49" s="95">
        <f t="shared" si="46"/>
        <v>375000</v>
      </c>
      <c r="R49" s="95">
        <f t="shared" si="47"/>
        <v>0</v>
      </c>
      <c r="S49" s="95">
        <f t="shared" si="35"/>
        <v>575000</v>
      </c>
      <c r="T49" s="263">
        <f t="shared" si="48"/>
        <v>0.10550458715596331</v>
      </c>
      <c r="U49" s="95"/>
      <c r="V49" s="257">
        <f t="shared" si="49"/>
        <v>0</v>
      </c>
    </row>
    <row r="50" spans="1:22" x14ac:dyDescent="0.25">
      <c r="A50" s="14" t="s">
        <v>49</v>
      </c>
      <c r="B50" s="20" t="s">
        <v>50</v>
      </c>
      <c r="C50" s="214">
        <v>4300000</v>
      </c>
      <c r="D50" s="68">
        <v>4300000</v>
      </c>
      <c r="E50" s="68">
        <v>4300000</v>
      </c>
      <c r="F50" s="68"/>
      <c r="G50" s="68"/>
      <c r="H50" s="68">
        <v>2609368</v>
      </c>
      <c r="I50" s="68">
        <v>3749046</v>
      </c>
      <c r="J50" s="68"/>
      <c r="K50" s="68"/>
      <c r="L50" s="628">
        <f t="shared" si="42"/>
        <v>0.60682976744186046</v>
      </c>
      <c r="M50" s="634">
        <f t="shared" si="43"/>
        <v>0.87187116279069765</v>
      </c>
      <c r="N50" s="205">
        <f t="shared" si="44"/>
        <v>0</v>
      </c>
      <c r="O50" s="68"/>
      <c r="P50" s="68">
        <f t="shared" si="45"/>
        <v>0</v>
      </c>
      <c r="Q50" s="68">
        <f t="shared" si="46"/>
        <v>0</v>
      </c>
      <c r="R50" s="68">
        <f t="shared" si="47"/>
        <v>0</v>
      </c>
      <c r="S50" s="68">
        <f t="shared" si="35"/>
        <v>0</v>
      </c>
      <c r="T50" s="262">
        <f t="shared" si="48"/>
        <v>0</v>
      </c>
      <c r="U50" s="68"/>
      <c r="V50" s="255">
        <f t="shared" si="49"/>
        <v>0</v>
      </c>
    </row>
    <row r="51" spans="1:22" x14ac:dyDescent="0.25">
      <c r="A51" s="14" t="s">
        <v>103</v>
      </c>
      <c r="B51" s="20" t="s">
        <v>97</v>
      </c>
      <c r="C51" s="68"/>
      <c r="D51" s="68"/>
      <c r="E51" s="68"/>
      <c r="F51" s="68"/>
      <c r="G51" s="68"/>
      <c r="H51" s="68"/>
      <c r="I51" s="68"/>
      <c r="J51" s="68"/>
      <c r="K51" s="68"/>
      <c r="L51" s="628">
        <f t="shared" si="42"/>
        <v>0</v>
      </c>
      <c r="M51" s="629">
        <f t="shared" si="43"/>
        <v>0</v>
      </c>
      <c r="N51" s="205">
        <f t="shared" si="44"/>
        <v>0</v>
      </c>
      <c r="O51" s="68"/>
      <c r="P51" s="68">
        <f t="shared" si="45"/>
        <v>0</v>
      </c>
      <c r="Q51" s="68">
        <f t="shared" si="46"/>
        <v>0</v>
      </c>
      <c r="R51" s="68">
        <f t="shared" si="47"/>
        <v>0</v>
      </c>
      <c r="S51" s="68">
        <f t="shared" si="35"/>
        <v>0</v>
      </c>
      <c r="T51" s="262">
        <f t="shared" si="48"/>
        <v>0</v>
      </c>
      <c r="U51" s="68"/>
      <c r="V51" s="255">
        <f t="shared" si="49"/>
        <v>0</v>
      </c>
    </row>
    <row r="52" spans="1:22" x14ac:dyDescent="0.25">
      <c r="A52" s="14"/>
      <c r="B52" s="20" t="s">
        <v>98</v>
      </c>
      <c r="C52" s="68"/>
      <c r="D52" s="68"/>
      <c r="E52" s="68"/>
      <c r="F52" s="68"/>
      <c r="G52" s="68"/>
      <c r="H52" s="68"/>
      <c r="I52" s="68"/>
      <c r="J52" s="68"/>
      <c r="K52" s="68"/>
      <c r="L52" s="628">
        <f t="shared" si="42"/>
        <v>0</v>
      </c>
      <c r="M52" s="629">
        <f t="shared" si="43"/>
        <v>0</v>
      </c>
      <c r="N52" s="205">
        <f t="shared" si="44"/>
        <v>0</v>
      </c>
      <c r="O52" s="68"/>
      <c r="P52" s="68">
        <f t="shared" si="45"/>
        <v>0</v>
      </c>
      <c r="Q52" s="68">
        <f t="shared" si="46"/>
        <v>0</v>
      </c>
      <c r="R52" s="68">
        <f t="shared" si="47"/>
        <v>0</v>
      </c>
      <c r="S52" s="68">
        <f t="shared" si="35"/>
        <v>0</v>
      </c>
      <c r="T52" s="262">
        <f t="shared" si="48"/>
        <v>0</v>
      </c>
      <c r="U52" s="68"/>
      <c r="V52" s="255">
        <f t="shared" si="49"/>
        <v>0</v>
      </c>
    </row>
    <row r="53" spans="1:22" x14ac:dyDescent="0.25">
      <c r="A53" s="14"/>
      <c r="B53" s="20" t="s">
        <v>99</v>
      </c>
      <c r="C53" s="68"/>
      <c r="D53" s="68"/>
      <c r="E53" s="68"/>
      <c r="F53" s="68"/>
      <c r="G53" s="68"/>
      <c r="H53" s="68"/>
      <c r="I53" s="68"/>
      <c r="J53" s="68"/>
      <c r="K53" s="68"/>
      <c r="L53" s="628">
        <f t="shared" si="42"/>
        <v>0</v>
      </c>
      <c r="M53" s="629">
        <f t="shared" si="43"/>
        <v>0</v>
      </c>
      <c r="N53" s="205">
        <f t="shared" si="44"/>
        <v>0</v>
      </c>
      <c r="O53" s="68"/>
      <c r="P53" s="68">
        <f t="shared" si="45"/>
        <v>0</v>
      </c>
      <c r="Q53" s="68">
        <f t="shared" si="46"/>
        <v>0</v>
      </c>
      <c r="R53" s="68">
        <f t="shared" si="47"/>
        <v>0</v>
      </c>
      <c r="S53" s="68">
        <f t="shared" si="35"/>
        <v>0</v>
      </c>
      <c r="T53" s="262">
        <f t="shared" si="48"/>
        <v>0</v>
      </c>
      <c r="U53" s="68"/>
      <c r="V53" s="255">
        <f t="shared" si="49"/>
        <v>0</v>
      </c>
    </row>
    <row r="54" spans="1:22" x14ac:dyDescent="0.25">
      <c r="A54" s="14" t="s">
        <v>51</v>
      </c>
      <c r="B54" s="20" t="s">
        <v>52</v>
      </c>
      <c r="C54" s="68">
        <v>0</v>
      </c>
      <c r="D54" s="68">
        <v>0</v>
      </c>
      <c r="E54" s="68">
        <v>0</v>
      </c>
      <c r="F54" s="68"/>
      <c r="G54" s="68"/>
      <c r="H54" s="68">
        <v>0</v>
      </c>
      <c r="I54" s="68">
        <v>0</v>
      </c>
      <c r="J54" s="68"/>
      <c r="K54" s="68"/>
      <c r="L54" s="628">
        <f t="shared" si="42"/>
        <v>0</v>
      </c>
      <c r="M54" s="629">
        <f t="shared" si="43"/>
        <v>0</v>
      </c>
      <c r="N54" s="205">
        <f t="shared" si="44"/>
        <v>0</v>
      </c>
      <c r="O54" s="68"/>
      <c r="P54" s="68">
        <f t="shared" si="45"/>
        <v>0</v>
      </c>
      <c r="Q54" s="68">
        <f t="shared" si="46"/>
        <v>0</v>
      </c>
      <c r="R54" s="68">
        <f t="shared" si="47"/>
        <v>0</v>
      </c>
      <c r="S54" s="68">
        <f t="shared" si="35"/>
        <v>0</v>
      </c>
      <c r="T54" s="262">
        <f t="shared" si="48"/>
        <v>0</v>
      </c>
      <c r="U54" s="68"/>
      <c r="V54" s="255">
        <f t="shared" si="49"/>
        <v>0</v>
      </c>
    </row>
    <row r="55" spans="1:22" x14ac:dyDescent="0.25">
      <c r="A55" s="14"/>
      <c r="B55" s="20" t="s">
        <v>90</v>
      </c>
      <c r="C55" s="68"/>
      <c r="D55" s="68"/>
      <c r="E55" s="68"/>
      <c r="F55" s="68"/>
      <c r="G55" s="68"/>
      <c r="H55" s="68"/>
      <c r="I55" s="68"/>
      <c r="J55" s="68"/>
      <c r="K55" s="68"/>
      <c r="L55" s="628">
        <f t="shared" si="42"/>
        <v>0</v>
      </c>
      <c r="M55" s="629">
        <f t="shared" si="43"/>
        <v>0</v>
      </c>
      <c r="N55" s="205">
        <f t="shared" si="44"/>
        <v>0</v>
      </c>
      <c r="O55" s="68"/>
      <c r="P55" s="68">
        <f t="shared" si="45"/>
        <v>0</v>
      </c>
      <c r="Q55" s="68">
        <f t="shared" si="46"/>
        <v>0</v>
      </c>
      <c r="R55" s="68">
        <f t="shared" si="47"/>
        <v>0</v>
      </c>
      <c r="S55" s="68">
        <f t="shared" si="35"/>
        <v>0</v>
      </c>
      <c r="T55" s="262">
        <f t="shared" si="48"/>
        <v>0</v>
      </c>
      <c r="U55" s="68"/>
      <c r="V55" s="255">
        <f t="shared" si="49"/>
        <v>0</v>
      </c>
    </row>
    <row r="56" spans="1:22" x14ac:dyDescent="0.25">
      <c r="A56" s="14"/>
      <c r="B56" s="20" t="s">
        <v>53</v>
      </c>
      <c r="C56" s="68"/>
      <c r="D56" s="68"/>
      <c r="E56" s="68"/>
      <c r="F56" s="68"/>
      <c r="G56" s="68"/>
      <c r="H56" s="68"/>
      <c r="I56" s="68"/>
      <c r="J56" s="68"/>
      <c r="K56" s="68"/>
      <c r="L56" s="628">
        <f t="shared" si="42"/>
        <v>0</v>
      </c>
      <c r="M56" s="629">
        <f t="shared" si="43"/>
        <v>0</v>
      </c>
      <c r="N56" s="205">
        <f t="shared" si="44"/>
        <v>0</v>
      </c>
      <c r="O56" s="68"/>
      <c r="P56" s="68">
        <f t="shared" si="45"/>
        <v>0</v>
      </c>
      <c r="Q56" s="68">
        <f t="shared" si="46"/>
        <v>0</v>
      </c>
      <c r="R56" s="68">
        <f t="shared" si="47"/>
        <v>0</v>
      </c>
      <c r="S56" s="68">
        <f t="shared" si="35"/>
        <v>0</v>
      </c>
      <c r="T56" s="262">
        <f t="shared" si="48"/>
        <v>0</v>
      </c>
      <c r="U56" s="68"/>
      <c r="V56" s="255">
        <f t="shared" si="49"/>
        <v>0</v>
      </c>
    </row>
    <row r="57" spans="1:22" x14ac:dyDescent="0.25">
      <c r="A57" s="14" t="s">
        <v>54</v>
      </c>
      <c r="B57" s="20" t="s">
        <v>55</v>
      </c>
      <c r="C57" s="68">
        <v>0</v>
      </c>
      <c r="D57" s="68">
        <v>0</v>
      </c>
      <c r="E57" s="68">
        <v>0</v>
      </c>
      <c r="F57" s="68"/>
      <c r="G57" s="68"/>
      <c r="H57" s="68">
        <v>0</v>
      </c>
      <c r="I57" s="68">
        <v>0</v>
      </c>
      <c r="J57" s="68"/>
      <c r="K57" s="68"/>
      <c r="L57" s="628">
        <f t="shared" si="42"/>
        <v>0</v>
      </c>
      <c r="M57" s="629">
        <f t="shared" si="43"/>
        <v>0</v>
      </c>
      <c r="N57" s="205">
        <f t="shared" si="44"/>
        <v>0</v>
      </c>
      <c r="O57" s="68"/>
      <c r="P57" s="68">
        <f t="shared" si="45"/>
        <v>0</v>
      </c>
      <c r="Q57" s="68">
        <f t="shared" si="46"/>
        <v>0</v>
      </c>
      <c r="R57" s="68">
        <f t="shared" si="47"/>
        <v>0</v>
      </c>
      <c r="S57" s="68">
        <f t="shared" si="35"/>
        <v>0</v>
      </c>
      <c r="T57" s="262">
        <f t="shared" si="48"/>
        <v>0</v>
      </c>
      <c r="U57" s="68"/>
      <c r="V57" s="255">
        <f t="shared" si="49"/>
        <v>0</v>
      </c>
    </row>
    <row r="58" spans="1:22" x14ac:dyDescent="0.25">
      <c r="A58" s="14"/>
      <c r="B58" s="20" t="s">
        <v>56</v>
      </c>
      <c r="C58" s="68"/>
      <c r="D58" s="68"/>
      <c r="E58" s="68"/>
      <c r="F58" s="68"/>
      <c r="G58" s="68"/>
      <c r="H58" s="68"/>
      <c r="I58" s="68"/>
      <c r="J58" s="68"/>
      <c r="K58" s="68"/>
      <c r="L58" s="628">
        <f t="shared" si="42"/>
        <v>0</v>
      </c>
      <c r="M58" s="629">
        <f t="shared" si="43"/>
        <v>0</v>
      </c>
      <c r="N58" s="205">
        <f t="shared" si="44"/>
        <v>0</v>
      </c>
      <c r="O58" s="68"/>
      <c r="P58" s="68">
        <f t="shared" si="45"/>
        <v>0</v>
      </c>
      <c r="Q58" s="68">
        <f t="shared" si="46"/>
        <v>0</v>
      </c>
      <c r="R58" s="68">
        <f t="shared" si="47"/>
        <v>0</v>
      </c>
      <c r="S58" s="68">
        <f t="shared" si="35"/>
        <v>0</v>
      </c>
      <c r="T58" s="262">
        <f t="shared" si="48"/>
        <v>0</v>
      </c>
      <c r="U58" s="68"/>
      <c r="V58" s="255">
        <f t="shared" si="49"/>
        <v>0</v>
      </c>
    </row>
    <row r="59" spans="1:22" x14ac:dyDescent="0.25">
      <c r="A59" s="14" t="s">
        <v>57</v>
      </c>
      <c r="B59" s="20" t="s">
        <v>91</v>
      </c>
      <c r="C59" s="68">
        <v>200000</v>
      </c>
      <c r="D59" s="68">
        <v>100000</v>
      </c>
      <c r="E59" s="68">
        <v>25000</v>
      </c>
      <c r="F59" s="68"/>
      <c r="G59" s="68"/>
      <c r="H59" s="68">
        <v>0</v>
      </c>
      <c r="I59" s="68">
        <v>0</v>
      </c>
      <c r="J59" s="68"/>
      <c r="K59" s="68"/>
      <c r="L59" s="628">
        <f t="shared" si="42"/>
        <v>0</v>
      </c>
      <c r="M59" s="634">
        <f t="shared" si="43"/>
        <v>0</v>
      </c>
      <c r="N59" s="205">
        <f t="shared" si="44"/>
        <v>0</v>
      </c>
      <c r="O59" s="68"/>
      <c r="P59" s="68">
        <f t="shared" si="45"/>
        <v>-100000</v>
      </c>
      <c r="Q59" s="68">
        <f t="shared" si="46"/>
        <v>-75000</v>
      </c>
      <c r="R59" s="68">
        <f t="shared" si="47"/>
        <v>0</v>
      </c>
      <c r="S59" s="68">
        <f t="shared" si="35"/>
        <v>-175000</v>
      </c>
      <c r="T59" s="262">
        <f t="shared" si="48"/>
        <v>-0.875</v>
      </c>
      <c r="U59" s="68"/>
      <c r="V59" s="255">
        <f t="shared" si="49"/>
        <v>0</v>
      </c>
    </row>
    <row r="60" spans="1:22" x14ac:dyDescent="0.25">
      <c r="A60" s="14"/>
      <c r="B60" s="20" t="s">
        <v>58</v>
      </c>
      <c r="C60" s="68"/>
      <c r="D60" s="68"/>
      <c r="E60" s="68"/>
      <c r="F60" s="68"/>
      <c r="G60" s="68"/>
      <c r="H60" s="68"/>
      <c r="I60" s="68"/>
      <c r="J60" s="68"/>
      <c r="K60" s="68"/>
      <c r="L60" s="628">
        <f t="shared" si="42"/>
        <v>0</v>
      </c>
      <c r="M60" s="629">
        <f t="shared" si="43"/>
        <v>0</v>
      </c>
      <c r="N60" s="205">
        <f t="shared" si="44"/>
        <v>0</v>
      </c>
      <c r="O60" s="68"/>
      <c r="P60" s="68">
        <f t="shared" si="45"/>
        <v>0</v>
      </c>
      <c r="Q60" s="68">
        <f t="shared" si="46"/>
        <v>0</v>
      </c>
      <c r="R60" s="68">
        <f t="shared" si="47"/>
        <v>0</v>
      </c>
      <c r="S60" s="68">
        <f t="shared" si="35"/>
        <v>0</v>
      </c>
      <c r="T60" s="262">
        <f t="shared" si="48"/>
        <v>0</v>
      </c>
      <c r="U60" s="68"/>
      <c r="V60" s="255">
        <f t="shared" si="49"/>
        <v>0</v>
      </c>
    </row>
    <row r="61" spans="1:22" x14ac:dyDescent="0.25">
      <c r="A61" s="14" t="s">
        <v>59</v>
      </c>
      <c r="B61" s="20" t="s">
        <v>60</v>
      </c>
      <c r="C61" s="68"/>
      <c r="D61" s="68"/>
      <c r="E61" s="68"/>
      <c r="F61" s="68"/>
      <c r="G61" s="68"/>
      <c r="H61" s="68"/>
      <c r="I61" s="68"/>
      <c r="J61" s="68"/>
      <c r="K61" s="68"/>
      <c r="L61" s="628">
        <f t="shared" si="42"/>
        <v>0</v>
      </c>
      <c r="M61" s="629">
        <f t="shared" si="43"/>
        <v>0</v>
      </c>
      <c r="N61" s="205">
        <f t="shared" si="44"/>
        <v>0</v>
      </c>
      <c r="O61" s="68"/>
      <c r="P61" s="68">
        <f t="shared" si="45"/>
        <v>0</v>
      </c>
      <c r="Q61" s="68">
        <f t="shared" si="46"/>
        <v>0</v>
      </c>
      <c r="R61" s="68">
        <f t="shared" si="47"/>
        <v>0</v>
      </c>
      <c r="S61" s="68">
        <f t="shared" si="35"/>
        <v>0</v>
      </c>
      <c r="T61" s="262">
        <f t="shared" si="48"/>
        <v>0</v>
      </c>
      <c r="U61" s="68"/>
      <c r="V61" s="255">
        <f t="shared" si="49"/>
        <v>0</v>
      </c>
    </row>
    <row r="62" spans="1:22" ht="26.4" x14ac:dyDescent="0.25">
      <c r="A62" s="20"/>
      <c r="B62" s="20" t="s">
        <v>61</v>
      </c>
      <c r="C62" s="68"/>
      <c r="D62" s="68"/>
      <c r="E62" s="68"/>
      <c r="F62" s="68"/>
      <c r="G62" s="68"/>
      <c r="H62" s="68"/>
      <c r="I62" s="68"/>
      <c r="J62" s="68"/>
      <c r="K62" s="68"/>
      <c r="L62" s="628">
        <f t="shared" si="42"/>
        <v>0</v>
      </c>
      <c r="M62" s="629">
        <f t="shared" si="43"/>
        <v>0</v>
      </c>
      <c r="N62" s="205">
        <f t="shared" si="44"/>
        <v>0</v>
      </c>
      <c r="O62" s="68"/>
      <c r="P62" s="68">
        <f t="shared" si="45"/>
        <v>0</v>
      </c>
      <c r="Q62" s="68">
        <f t="shared" si="46"/>
        <v>0</v>
      </c>
      <c r="R62" s="68">
        <f t="shared" si="47"/>
        <v>0</v>
      </c>
      <c r="S62" s="68">
        <f t="shared" si="35"/>
        <v>0</v>
      </c>
      <c r="T62" s="262">
        <f t="shared" si="48"/>
        <v>0</v>
      </c>
      <c r="U62" s="68"/>
      <c r="V62" s="255">
        <f t="shared" si="49"/>
        <v>0</v>
      </c>
    </row>
    <row r="63" spans="1:22" x14ac:dyDescent="0.25">
      <c r="A63" s="14" t="s">
        <v>62</v>
      </c>
      <c r="B63" s="20" t="s">
        <v>63</v>
      </c>
      <c r="C63" s="68">
        <v>250000</v>
      </c>
      <c r="D63" s="68">
        <v>481500</v>
      </c>
      <c r="E63" s="68">
        <v>631500</v>
      </c>
      <c r="F63" s="68"/>
      <c r="G63" s="68"/>
      <c r="H63" s="68">
        <v>343420</v>
      </c>
      <c r="I63" s="68">
        <v>466410</v>
      </c>
      <c r="J63" s="68"/>
      <c r="K63" s="68"/>
      <c r="L63" s="628">
        <f t="shared" si="42"/>
        <v>1.37368</v>
      </c>
      <c r="M63" s="634">
        <f t="shared" si="43"/>
        <v>0.96866043613707165</v>
      </c>
      <c r="N63" s="205">
        <f t="shared" si="44"/>
        <v>0</v>
      </c>
      <c r="O63" s="68"/>
      <c r="P63" s="68">
        <f t="shared" si="45"/>
        <v>231500</v>
      </c>
      <c r="Q63" s="68">
        <f t="shared" si="46"/>
        <v>150000</v>
      </c>
      <c r="R63" s="68">
        <f t="shared" si="47"/>
        <v>0</v>
      </c>
      <c r="S63" s="68">
        <f t="shared" si="35"/>
        <v>381500</v>
      </c>
      <c r="T63" s="262">
        <f t="shared" si="48"/>
        <v>1.526</v>
      </c>
      <c r="U63" s="68"/>
      <c r="V63" s="255">
        <f t="shared" si="49"/>
        <v>0</v>
      </c>
    </row>
    <row r="64" spans="1:22" ht="79.2" x14ac:dyDescent="0.25">
      <c r="A64" s="14"/>
      <c r="B64" s="20" t="s">
        <v>102</v>
      </c>
      <c r="C64" s="68"/>
      <c r="D64" s="68"/>
      <c r="E64" s="68"/>
      <c r="F64" s="68"/>
      <c r="G64" s="68"/>
      <c r="H64" s="68"/>
      <c r="I64" s="68"/>
      <c r="J64" s="68"/>
      <c r="K64" s="68"/>
      <c r="L64" s="628">
        <f t="shared" si="42"/>
        <v>0</v>
      </c>
      <c r="M64" s="629">
        <f t="shared" si="43"/>
        <v>0</v>
      </c>
      <c r="N64" s="205">
        <f t="shared" si="44"/>
        <v>0</v>
      </c>
      <c r="O64" s="68"/>
      <c r="P64" s="68">
        <f t="shared" si="45"/>
        <v>0</v>
      </c>
      <c r="Q64" s="68">
        <f t="shared" si="46"/>
        <v>0</v>
      </c>
      <c r="R64" s="68">
        <f t="shared" si="47"/>
        <v>0</v>
      </c>
      <c r="S64" s="68">
        <f t="shared" si="35"/>
        <v>0</v>
      </c>
      <c r="T64" s="262">
        <f t="shared" si="48"/>
        <v>0</v>
      </c>
      <c r="U64" s="68"/>
      <c r="V64" s="255">
        <f t="shared" si="49"/>
        <v>0</v>
      </c>
    </row>
    <row r="65" spans="1:24" x14ac:dyDescent="0.25">
      <c r="A65" s="14" t="s">
        <v>64</v>
      </c>
      <c r="B65" s="20" t="s">
        <v>65</v>
      </c>
      <c r="C65" s="68">
        <v>700000</v>
      </c>
      <c r="D65" s="68">
        <v>768500</v>
      </c>
      <c r="E65" s="68">
        <v>1068500</v>
      </c>
      <c r="F65" s="68"/>
      <c r="G65" s="68"/>
      <c r="H65" s="68">
        <v>600795</v>
      </c>
      <c r="I65" s="68">
        <v>958580</v>
      </c>
      <c r="J65" s="68"/>
      <c r="K65" s="68"/>
      <c r="L65" s="628">
        <f t="shared" si="42"/>
        <v>0.85827857142857145</v>
      </c>
      <c r="M65" s="634">
        <f t="shared" si="43"/>
        <v>1.2473389720234223</v>
      </c>
      <c r="N65" s="205">
        <f t="shared" si="44"/>
        <v>0</v>
      </c>
      <c r="O65" s="68"/>
      <c r="P65" s="68">
        <f t="shared" si="45"/>
        <v>68500</v>
      </c>
      <c r="Q65" s="68">
        <f t="shared" si="46"/>
        <v>300000</v>
      </c>
      <c r="R65" s="68">
        <f t="shared" si="47"/>
        <v>0</v>
      </c>
      <c r="S65" s="68">
        <f t="shared" si="35"/>
        <v>368500</v>
      </c>
      <c r="T65" s="262">
        <f t="shared" si="48"/>
        <v>0.52642857142857147</v>
      </c>
      <c r="U65" s="68"/>
      <c r="V65" s="255">
        <f t="shared" si="49"/>
        <v>0</v>
      </c>
    </row>
    <row r="66" spans="1:24" ht="39.6" x14ac:dyDescent="0.25">
      <c r="A66" s="14"/>
      <c r="B66" s="20" t="s">
        <v>66</v>
      </c>
      <c r="C66" s="68"/>
      <c r="D66" s="68"/>
      <c r="E66" s="68"/>
      <c r="F66" s="68"/>
      <c r="G66" s="68"/>
      <c r="H66" s="68"/>
      <c r="I66" s="68"/>
      <c r="J66" s="68"/>
      <c r="K66" s="68"/>
      <c r="L66" s="628">
        <f t="shared" ref="L66:N102" si="50">IF(H66&gt;0,H66/C66,0)</f>
        <v>0</v>
      </c>
      <c r="M66" s="629">
        <f t="shared" ref="M66:M102" si="51">IF(I66&gt;0,I66/D66,0)</f>
        <v>0</v>
      </c>
      <c r="N66" s="205">
        <f t="shared" ref="N66:N102" si="52">IF(J66&gt;0,J66/E66,0)</f>
        <v>0</v>
      </c>
      <c r="O66" s="68"/>
      <c r="P66" s="68">
        <f t="shared" si="45"/>
        <v>0</v>
      </c>
      <c r="Q66" s="68">
        <f t="shared" si="46"/>
        <v>0</v>
      </c>
      <c r="R66" s="68">
        <f t="shared" si="47"/>
        <v>0</v>
      </c>
      <c r="S66" s="68">
        <f t="shared" si="35"/>
        <v>0</v>
      </c>
      <c r="T66" s="262">
        <f t="shared" si="48"/>
        <v>0</v>
      </c>
      <c r="U66" s="68"/>
      <c r="V66" s="255">
        <f t="shared" si="49"/>
        <v>0</v>
      </c>
    </row>
    <row r="67" spans="1:24" s="42" customFormat="1" x14ac:dyDescent="0.25">
      <c r="A67" s="38" t="s">
        <v>67</v>
      </c>
      <c r="B67" s="39" t="s">
        <v>68</v>
      </c>
      <c r="C67" s="95">
        <f>+C68+C70</f>
        <v>50000</v>
      </c>
      <c r="D67" s="95">
        <f t="shared" ref="D67:F67" si="53">+D68+D70</f>
        <v>50000</v>
      </c>
      <c r="E67" s="95">
        <f t="shared" si="53"/>
        <v>100000</v>
      </c>
      <c r="F67" s="95">
        <f t="shared" si="53"/>
        <v>0</v>
      </c>
      <c r="G67" s="95"/>
      <c r="H67" s="95">
        <f>+H68+H70</f>
        <v>25215</v>
      </c>
      <c r="I67" s="95">
        <f>+I68+I70</f>
        <v>44180</v>
      </c>
      <c r="J67" s="95"/>
      <c r="K67" s="95"/>
      <c r="L67" s="632">
        <f t="shared" si="50"/>
        <v>0.50429999999999997</v>
      </c>
      <c r="M67" s="633">
        <f t="shared" si="51"/>
        <v>0.88360000000000005</v>
      </c>
      <c r="N67" s="208">
        <f t="shared" si="52"/>
        <v>0</v>
      </c>
      <c r="O67" s="95"/>
      <c r="P67" s="95">
        <f t="shared" si="45"/>
        <v>0</v>
      </c>
      <c r="Q67" s="95">
        <f t="shared" si="46"/>
        <v>50000</v>
      </c>
      <c r="R67" s="95">
        <f t="shared" si="47"/>
        <v>0</v>
      </c>
      <c r="S67" s="95">
        <f t="shared" si="35"/>
        <v>50000</v>
      </c>
      <c r="T67" s="263">
        <f t="shared" si="48"/>
        <v>1</v>
      </c>
      <c r="U67" s="95"/>
      <c r="V67" s="257">
        <f t="shared" si="49"/>
        <v>0</v>
      </c>
      <c r="X67" s="58"/>
    </row>
    <row r="68" spans="1:24" x14ac:dyDescent="0.25">
      <c r="A68" s="14" t="s">
        <v>69</v>
      </c>
      <c r="B68" s="20" t="s">
        <v>70</v>
      </c>
      <c r="C68" s="68">
        <v>50000</v>
      </c>
      <c r="D68" s="68">
        <v>50000</v>
      </c>
      <c r="E68" s="68">
        <v>100000</v>
      </c>
      <c r="F68" s="68"/>
      <c r="G68" s="68"/>
      <c r="H68" s="68">
        <v>25215</v>
      </c>
      <c r="I68" s="68">
        <v>44180</v>
      </c>
      <c r="J68" s="68"/>
      <c r="K68" s="68"/>
      <c r="L68" s="628">
        <f t="shared" si="50"/>
        <v>0.50429999999999997</v>
      </c>
      <c r="M68" s="629">
        <f t="shared" si="51"/>
        <v>0.88360000000000005</v>
      </c>
      <c r="N68" s="205">
        <f t="shared" si="52"/>
        <v>0</v>
      </c>
      <c r="O68" s="68"/>
      <c r="P68" s="68">
        <f t="shared" si="45"/>
        <v>0</v>
      </c>
      <c r="Q68" s="68">
        <f t="shared" si="46"/>
        <v>50000</v>
      </c>
      <c r="R68" s="68">
        <f t="shared" si="47"/>
        <v>0</v>
      </c>
      <c r="S68" s="68">
        <f t="shared" si="35"/>
        <v>50000</v>
      </c>
      <c r="T68" s="262">
        <f t="shared" si="48"/>
        <v>1</v>
      </c>
      <c r="U68" s="68"/>
      <c r="V68" s="255">
        <f t="shared" si="49"/>
        <v>0</v>
      </c>
    </row>
    <row r="69" spans="1:24" ht="39.6" x14ac:dyDescent="0.25">
      <c r="A69" s="14"/>
      <c r="B69" s="20" t="s">
        <v>71</v>
      </c>
      <c r="C69" s="68"/>
      <c r="D69" s="68"/>
      <c r="E69" s="68"/>
      <c r="F69" s="68"/>
      <c r="G69" s="68"/>
      <c r="H69" s="68"/>
      <c r="I69" s="68"/>
      <c r="J69" s="68"/>
      <c r="K69" s="68"/>
      <c r="L69" s="628">
        <f t="shared" si="50"/>
        <v>0</v>
      </c>
      <c r="M69" s="629">
        <f t="shared" si="51"/>
        <v>0</v>
      </c>
      <c r="N69" s="205">
        <f t="shared" si="52"/>
        <v>0</v>
      </c>
      <c r="O69" s="68"/>
      <c r="P69" s="68">
        <f t="shared" si="45"/>
        <v>0</v>
      </c>
      <c r="Q69" s="68">
        <f t="shared" si="46"/>
        <v>0</v>
      </c>
      <c r="R69" s="68">
        <f t="shared" si="47"/>
        <v>0</v>
      </c>
      <c r="S69" s="68">
        <f t="shared" si="35"/>
        <v>0</v>
      </c>
      <c r="T69" s="262">
        <f t="shared" si="48"/>
        <v>0</v>
      </c>
      <c r="U69" s="68"/>
      <c r="V69" s="255">
        <f t="shared" si="49"/>
        <v>0</v>
      </c>
      <c r="X69" s="37"/>
    </row>
    <row r="70" spans="1:24" x14ac:dyDescent="0.25">
      <c r="A70" s="14" t="s">
        <v>72</v>
      </c>
      <c r="B70" s="20" t="s">
        <v>100</v>
      </c>
      <c r="C70" s="68">
        <v>0</v>
      </c>
      <c r="D70" s="68">
        <v>0</v>
      </c>
      <c r="E70" s="68">
        <v>0</v>
      </c>
      <c r="F70" s="68"/>
      <c r="G70" s="68"/>
      <c r="H70" s="68">
        <v>0</v>
      </c>
      <c r="I70" s="68">
        <v>0</v>
      </c>
      <c r="J70" s="68"/>
      <c r="K70" s="68"/>
      <c r="L70" s="628">
        <f t="shared" si="50"/>
        <v>0</v>
      </c>
      <c r="M70" s="629">
        <f t="shared" si="51"/>
        <v>0</v>
      </c>
      <c r="N70" s="205">
        <f t="shared" si="52"/>
        <v>0</v>
      </c>
      <c r="O70" s="68"/>
      <c r="P70" s="68">
        <f t="shared" si="45"/>
        <v>0</v>
      </c>
      <c r="Q70" s="68">
        <f t="shared" si="46"/>
        <v>0</v>
      </c>
      <c r="R70" s="68">
        <f t="shared" si="47"/>
        <v>0</v>
      </c>
      <c r="S70" s="68">
        <f t="shared" si="35"/>
        <v>0</v>
      </c>
      <c r="T70" s="262">
        <f t="shared" si="48"/>
        <v>0</v>
      </c>
      <c r="U70" s="68"/>
      <c r="V70" s="255">
        <f t="shared" si="49"/>
        <v>0</v>
      </c>
      <c r="X70" s="37"/>
    </row>
    <row r="71" spans="1:24" ht="39.6" x14ac:dyDescent="0.25">
      <c r="A71" s="14"/>
      <c r="B71" s="20" t="s">
        <v>73</v>
      </c>
      <c r="C71" s="68"/>
      <c r="D71" s="68"/>
      <c r="E71" s="68"/>
      <c r="F71" s="68"/>
      <c r="G71" s="68"/>
      <c r="H71" s="68"/>
      <c r="I71" s="68"/>
      <c r="J71" s="68"/>
      <c r="K71" s="68"/>
      <c r="L71" s="628">
        <f t="shared" si="50"/>
        <v>0</v>
      </c>
      <c r="M71" s="629">
        <f t="shared" si="51"/>
        <v>0</v>
      </c>
      <c r="N71" s="205">
        <f t="shared" si="52"/>
        <v>0</v>
      </c>
      <c r="O71" s="68"/>
      <c r="P71" s="68">
        <f t="shared" si="45"/>
        <v>0</v>
      </c>
      <c r="Q71" s="68">
        <f t="shared" si="46"/>
        <v>0</v>
      </c>
      <c r="R71" s="68">
        <f t="shared" si="47"/>
        <v>0</v>
      </c>
      <c r="S71" s="68">
        <f t="shared" si="35"/>
        <v>0</v>
      </c>
      <c r="T71" s="262">
        <f t="shared" si="48"/>
        <v>0</v>
      </c>
      <c r="U71" s="68"/>
      <c r="V71" s="255">
        <f t="shared" si="49"/>
        <v>0</v>
      </c>
      <c r="X71" s="37"/>
    </row>
    <row r="72" spans="1:24" x14ac:dyDescent="0.25">
      <c r="A72" s="38" t="s">
        <v>74</v>
      </c>
      <c r="B72" s="39" t="s">
        <v>75</v>
      </c>
      <c r="C72" s="95">
        <f>+C73+C75+C77+C79+C81</f>
        <v>2010000</v>
      </c>
      <c r="D72" s="95">
        <f>+D73+D75+D77+D79+D81</f>
        <v>2010000</v>
      </c>
      <c r="E72" s="95">
        <f>+E73+E75+E77+E79+E81</f>
        <v>2015000</v>
      </c>
      <c r="F72" s="95">
        <f>+F73+F75+F77+F79+F81</f>
        <v>0</v>
      </c>
      <c r="G72" s="95"/>
      <c r="H72" s="95">
        <f>+H73+H75+H77+H79+H81</f>
        <v>1139408</v>
      </c>
      <c r="I72" s="95">
        <f>+I73+I75+I77+I79+I81</f>
        <v>1542237</v>
      </c>
      <c r="J72" s="95">
        <f>+J73+J75+J77+J79+J81</f>
        <v>0</v>
      </c>
      <c r="K72" s="95"/>
      <c r="L72" s="632">
        <f t="shared" si="50"/>
        <v>0.56686965174129356</v>
      </c>
      <c r="M72" s="633">
        <f t="shared" si="51"/>
        <v>0.76728208955223876</v>
      </c>
      <c r="N72" s="208">
        <f t="shared" si="52"/>
        <v>0</v>
      </c>
      <c r="O72" s="95"/>
      <c r="P72" s="95">
        <f t="shared" si="45"/>
        <v>0</v>
      </c>
      <c r="Q72" s="95">
        <f t="shared" si="46"/>
        <v>5000</v>
      </c>
      <c r="R72" s="95">
        <f t="shared" si="47"/>
        <v>0</v>
      </c>
      <c r="S72" s="95">
        <f t="shared" si="35"/>
        <v>5000</v>
      </c>
      <c r="T72" s="263">
        <f t="shared" si="48"/>
        <v>2.4875621890547263E-3</v>
      </c>
      <c r="U72" s="95"/>
      <c r="V72" s="257">
        <f t="shared" si="49"/>
        <v>0</v>
      </c>
      <c r="X72" s="37"/>
    </row>
    <row r="73" spans="1:24" x14ac:dyDescent="0.25">
      <c r="A73" s="14" t="s">
        <v>76</v>
      </c>
      <c r="B73" s="20" t="s">
        <v>77</v>
      </c>
      <c r="C73" s="68">
        <v>2000000</v>
      </c>
      <c r="D73" s="68">
        <v>1988000</v>
      </c>
      <c r="E73" s="68">
        <v>1988000</v>
      </c>
      <c r="F73" s="68"/>
      <c r="G73" s="68"/>
      <c r="H73" s="68">
        <v>1118554</v>
      </c>
      <c r="I73" s="68">
        <v>1519986</v>
      </c>
      <c r="J73" s="68"/>
      <c r="K73" s="68"/>
      <c r="L73" s="628">
        <f t="shared" si="50"/>
        <v>0.55927700000000002</v>
      </c>
      <c r="M73" s="634">
        <f t="shared" si="51"/>
        <v>0.76458048289738434</v>
      </c>
      <c r="N73" s="205">
        <f t="shared" si="52"/>
        <v>0</v>
      </c>
      <c r="O73" s="68"/>
      <c r="P73" s="68">
        <f t="shared" si="45"/>
        <v>-12000</v>
      </c>
      <c r="Q73" s="68">
        <f t="shared" si="46"/>
        <v>0</v>
      </c>
      <c r="R73" s="68">
        <f t="shared" si="47"/>
        <v>0</v>
      </c>
      <c r="S73" s="68">
        <f t="shared" si="35"/>
        <v>-12000</v>
      </c>
      <c r="T73" s="262">
        <f t="shared" si="48"/>
        <v>-6.0000000000000001E-3</v>
      </c>
      <c r="U73" s="68"/>
      <c r="V73" s="255">
        <f t="shared" si="49"/>
        <v>0</v>
      </c>
      <c r="X73" s="37"/>
    </row>
    <row r="74" spans="1:24" x14ac:dyDescent="0.25">
      <c r="A74" s="14"/>
      <c r="B74" s="20" t="s">
        <v>78</v>
      </c>
      <c r="C74" s="68"/>
      <c r="D74" s="68"/>
      <c r="E74" s="68"/>
      <c r="F74" s="68"/>
      <c r="G74" s="68"/>
      <c r="H74" s="68"/>
      <c r="I74" s="68"/>
      <c r="J74" s="68"/>
      <c r="K74" s="68"/>
      <c r="L74" s="628">
        <f t="shared" si="50"/>
        <v>0</v>
      </c>
      <c r="M74" s="629">
        <f t="shared" si="51"/>
        <v>0</v>
      </c>
      <c r="N74" s="205">
        <f t="shared" si="52"/>
        <v>0</v>
      </c>
      <c r="O74" s="68"/>
      <c r="P74" s="68">
        <f t="shared" si="45"/>
        <v>0</v>
      </c>
      <c r="Q74" s="68">
        <f t="shared" si="46"/>
        <v>0</v>
      </c>
      <c r="R74" s="68">
        <f t="shared" si="47"/>
        <v>0</v>
      </c>
      <c r="S74" s="68">
        <f t="shared" si="35"/>
        <v>0</v>
      </c>
      <c r="T74" s="262">
        <f t="shared" si="48"/>
        <v>0</v>
      </c>
      <c r="U74" s="68"/>
      <c r="V74" s="255">
        <f t="shared" si="49"/>
        <v>0</v>
      </c>
      <c r="X74" s="37"/>
    </row>
    <row r="75" spans="1:24" x14ac:dyDescent="0.25">
      <c r="A75" s="14" t="s">
        <v>79</v>
      </c>
      <c r="B75" s="20" t="s">
        <v>80</v>
      </c>
      <c r="C75" s="68">
        <v>5000</v>
      </c>
      <c r="D75" s="68">
        <v>17000</v>
      </c>
      <c r="E75" s="68">
        <v>17000</v>
      </c>
      <c r="F75" s="68"/>
      <c r="G75" s="68"/>
      <c r="H75" s="68">
        <v>17000</v>
      </c>
      <c r="I75" s="68">
        <v>17000</v>
      </c>
      <c r="J75" s="68"/>
      <c r="K75" s="68"/>
      <c r="L75" s="628">
        <f t="shared" si="50"/>
        <v>3.4</v>
      </c>
      <c r="M75" s="629">
        <f t="shared" si="51"/>
        <v>1</v>
      </c>
      <c r="N75" s="205">
        <f t="shared" si="52"/>
        <v>0</v>
      </c>
      <c r="O75" s="68"/>
      <c r="P75" s="68">
        <f t="shared" si="45"/>
        <v>12000</v>
      </c>
      <c r="Q75" s="68">
        <f t="shared" si="46"/>
        <v>0</v>
      </c>
      <c r="R75" s="68">
        <f t="shared" si="47"/>
        <v>0</v>
      </c>
      <c r="S75" s="68">
        <f t="shared" si="35"/>
        <v>12000</v>
      </c>
      <c r="T75" s="262">
        <f t="shared" si="48"/>
        <v>2.4</v>
      </c>
      <c r="U75" s="68"/>
      <c r="V75" s="255">
        <f t="shared" si="49"/>
        <v>0</v>
      </c>
      <c r="X75" s="37"/>
    </row>
    <row r="76" spans="1:24" ht="26.4" x14ac:dyDescent="0.25">
      <c r="A76" s="14"/>
      <c r="B76" s="20" t="s">
        <v>101</v>
      </c>
      <c r="C76" s="68"/>
      <c r="D76" s="68"/>
      <c r="E76" s="68"/>
      <c r="F76" s="68"/>
      <c r="G76" s="68"/>
      <c r="H76" s="68"/>
      <c r="I76" s="68"/>
      <c r="J76" s="68"/>
      <c r="K76" s="68"/>
      <c r="L76" s="628">
        <f t="shared" si="50"/>
        <v>0</v>
      </c>
      <c r="M76" s="629">
        <f t="shared" si="51"/>
        <v>0</v>
      </c>
      <c r="N76" s="205">
        <f t="shared" si="52"/>
        <v>0</v>
      </c>
      <c r="O76" s="68"/>
      <c r="P76" s="68">
        <f t="shared" si="45"/>
        <v>0</v>
      </c>
      <c r="Q76" s="68">
        <f t="shared" si="46"/>
        <v>0</v>
      </c>
      <c r="R76" s="68">
        <f t="shared" si="47"/>
        <v>0</v>
      </c>
      <c r="S76" s="68">
        <f t="shared" si="35"/>
        <v>0</v>
      </c>
      <c r="T76" s="262">
        <f t="shared" si="48"/>
        <v>0</v>
      </c>
      <c r="U76" s="68"/>
      <c r="V76" s="255">
        <f t="shared" si="49"/>
        <v>0</v>
      </c>
      <c r="X76" s="37"/>
    </row>
    <row r="77" spans="1:24" x14ac:dyDescent="0.25">
      <c r="A77" s="14" t="s">
        <v>81</v>
      </c>
      <c r="B77" s="20" t="s">
        <v>82</v>
      </c>
      <c r="C77" s="68"/>
      <c r="D77" s="68"/>
      <c r="E77" s="68"/>
      <c r="F77" s="68"/>
      <c r="G77" s="68"/>
      <c r="H77" s="68"/>
      <c r="I77" s="68"/>
      <c r="J77" s="68"/>
      <c r="K77" s="68"/>
      <c r="L77" s="628">
        <f t="shared" si="50"/>
        <v>0</v>
      </c>
      <c r="M77" s="629">
        <f t="shared" si="51"/>
        <v>0</v>
      </c>
      <c r="N77" s="205">
        <f t="shared" si="52"/>
        <v>0</v>
      </c>
      <c r="O77" s="68"/>
      <c r="P77" s="68">
        <f t="shared" si="45"/>
        <v>0</v>
      </c>
      <c r="Q77" s="68">
        <f t="shared" si="46"/>
        <v>0</v>
      </c>
      <c r="R77" s="68">
        <f t="shared" si="47"/>
        <v>0</v>
      </c>
      <c r="S77" s="68">
        <f t="shared" si="35"/>
        <v>0</v>
      </c>
      <c r="T77" s="262">
        <f t="shared" si="48"/>
        <v>0</v>
      </c>
      <c r="U77" s="68"/>
      <c r="V77" s="255">
        <f t="shared" si="49"/>
        <v>0</v>
      </c>
      <c r="X77" s="37"/>
    </row>
    <row r="78" spans="1:24" ht="26.4" x14ac:dyDescent="0.25">
      <c r="A78" s="14"/>
      <c r="B78" s="20" t="s">
        <v>83</v>
      </c>
      <c r="C78" s="68"/>
      <c r="D78" s="68"/>
      <c r="E78" s="68"/>
      <c r="F78" s="68"/>
      <c r="G78" s="68"/>
      <c r="H78" s="68"/>
      <c r="I78" s="68"/>
      <c r="J78" s="68"/>
      <c r="K78" s="68"/>
      <c r="L78" s="628">
        <f t="shared" si="50"/>
        <v>0</v>
      </c>
      <c r="M78" s="629">
        <f t="shared" si="51"/>
        <v>0</v>
      </c>
      <c r="N78" s="205">
        <f t="shared" si="52"/>
        <v>0</v>
      </c>
      <c r="O78" s="68"/>
      <c r="P78" s="68">
        <f t="shared" si="45"/>
        <v>0</v>
      </c>
      <c r="Q78" s="68">
        <f t="shared" si="46"/>
        <v>0</v>
      </c>
      <c r="R78" s="68">
        <f t="shared" si="47"/>
        <v>0</v>
      </c>
      <c r="S78" s="68">
        <f t="shared" si="35"/>
        <v>0</v>
      </c>
      <c r="T78" s="262">
        <f t="shared" si="48"/>
        <v>0</v>
      </c>
      <c r="U78" s="68"/>
      <c r="V78" s="255">
        <f t="shared" si="49"/>
        <v>0</v>
      </c>
      <c r="X78" s="37"/>
    </row>
    <row r="79" spans="1:24" x14ac:dyDescent="0.25">
      <c r="A79" s="14" t="s">
        <v>84</v>
      </c>
      <c r="B79" s="20" t="s">
        <v>85</v>
      </c>
      <c r="C79" s="68"/>
      <c r="D79" s="68"/>
      <c r="E79" s="68"/>
      <c r="F79" s="68"/>
      <c r="G79" s="68"/>
      <c r="H79" s="68"/>
      <c r="I79" s="68"/>
      <c r="J79" s="68"/>
      <c r="K79" s="68"/>
      <c r="L79" s="628">
        <f t="shared" si="50"/>
        <v>0</v>
      </c>
      <c r="M79" s="629">
        <f t="shared" si="51"/>
        <v>0</v>
      </c>
      <c r="N79" s="205">
        <f t="shared" si="52"/>
        <v>0</v>
      </c>
      <c r="O79" s="68"/>
      <c r="P79" s="68">
        <f t="shared" si="45"/>
        <v>0</v>
      </c>
      <c r="Q79" s="68">
        <f t="shared" si="46"/>
        <v>0</v>
      </c>
      <c r="R79" s="68">
        <f t="shared" si="47"/>
        <v>0</v>
      </c>
      <c r="S79" s="68">
        <f t="shared" si="35"/>
        <v>0</v>
      </c>
      <c r="T79" s="262">
        <f t="shared" si="48"/>
        <v>0</v>
      </c>
      <c r="U79" s="68"/>
      <c r="V79" s="255">
        <f t="shared" si="49"/>
        <v>0</v>
      </c>
      <c r="X79" s="37"/>
    </row>
    <row r="80" spans="1:24" x14ac:dyDescent="0.25">
      <c r="A80" s="14"/>
      <c r="B80" s="20" t="s">
        <v>86</v>
      </c>
      <c r="C80" s="68"/>
      <c r="D80" s="68"/>
      <c r="E80" s="68"/>
      <c r="F80" s="68"/>
      <c r="G80" s="68"/>
      <c r="H80" s="68"/>
      <c r="I80" s="68"/>
      <c r="J80" s="68"/>
      <c r="K80" s="68"/>
      <c r="L80" s="628">
        <f t="shared" si="50"/>
        <v>0</v>
      </c>
      <c r="M80" s="629">
        <f t="shared" si="51"/>
        <v>0</v>
      </c>
      <c r="N80" s="205">
        <f t="shared" si="52"/>
        <v>0</v>
      </c>
      <c r="O80" s="68"/>
      <c r="P80" s="68">
        <f t="shared" si="45"/>
        <v>0</v>
      </c>
      <c r="Q80" s="68">
        <f t="shared" si="46"/>
        <v>0</v>
      </c>
      <c r="R80" s="68">
        <f t="shared" si="47"/>
        <v>0</v>
      </c>
      <c r="S80" s="68">
        <f t="shared" si="35"/>
        <v>0</v>
      </c>
      <c r="T80" s="262">
        <f t="shared" si="48"/>
        <v>0</v>
      </c>
      <c r="U80" s="68"/>
      <c r="V80" s="255">
        <f t="shared" si="49"/>
        <v>0</v>
      </c>
      <c r="X80" s="37"/>
    </row>
    <row r="81" spans="1:24" x14ac:dyDescent="0.25">
      <c r="A81" s="14" t="s">
        <v>87</v>
      </c>
      <c r="B81" s="20" t="s">
        <v>88</v>
      </c>
      <c r="C81" s="145">
        <v>5000</v>
      </c>
      <c r="D81" s="68">
        <v>5000</v>
      </c>
      <c r="E81" s="68">
        <v>10000</v>
      </c>
      <c r="F81" s="68"/>
      <c r="G81" s="68"/>
      <c r="H81" s="68">
        <v>3854</v>
      </c>
      <c r="I81" s="68">
        <v>5251</v>
      </c>
      <c r="J81" s="68"/>
      <c r="K81" s="68"/>
      <c r="L81" s="628">
        <f t="shared" si="50"/>
        <v>0.77080000000000004</v>
      </c>
      <c r="M81" s="601">
        <f t="shared" si="51"/>
        <v>1.0502</v>
      </c>
      <c r="N81" s="205">
        <f t="shared" si="52"/>
        <v>0</v>
      </c>
      <c r="O81" s="68"/>
      <c r="P81" s="68">
        <f t="shared" si="45"/>
        <v>0</v>
      </c>
      <c r="Q81" s="68">
        <f t="shared" si="46"/>
        <v>5000</v>
      </c>
      <c r="R81" s="68">
        <f t="shared" si="47"/>
        <v>0</v>
      </c>
      <c r="S81" s="68">
        <f t="shared" si="35"/>
        <v>5000</v>
      </c>
      <c r="T81" s="262">
        <f t="shared" si="48"/>
        <v>1</v>
      </c>
      <c r="U81" s="68"/>
      <c r="V81" s="255">
        <f t="shared" si="49"/>
        <v>0</v>
      </c>
      <c r="X81" s="37"/>
    </row>
    <row r="82" spans="1:24" ht="52.8" x14ac:dyDescent="0.25">
      <c r="A82" s="14"/>
      <c r="B82" s="20" t="s">
        <v>92</v>
      </c>
      <c r="C82" s="68"/>
      <c r="D82" s="68"/>
      <c r="E82" s="68"/>
      <c r="F82" s="68"/>
      <c r="G82" s="68"/>
      <c r="H82" s="68"/>
      <c r="I82" s="68"/>
      <c r="J82" s="68"/>
      <c r="K82" s="68"/>
      <c r="L82" s="628">
        <f t="shared" si="50"/>
        <v>0</v>
      </c>
      <c r="M82" s="601">
        <f t="shared" si="51"/>
        <v>0</v>
      </c>
      <c r="N82" s="205">
        <f t="shared" si="52"/>
        <v>0</v>
      </c>
      <c r="O82" s="68"/>
      <c r="P82" s="68">
        <f t="shared" si="45"/>
        <v>0</v>
      </c>
      <c r="Q82" s="68">
        <f t="shared" si="46"/>
        <v>0</v>
      </c>
      <c r="R82" s="68">
        <f t="shared" si="47"/>
        <v>0</v>
      </c>
      <c r="S82" s="68">
        <f t="shared" si="35"/>
        <v>0</v>
      </c>
      <c r="T82" s="262">
        <f t="shared" si="48"/>
        <v>0</v>
      </c>
      <c r="U82" s="68"/>
      <c r="V82" s="255">
        <f t="shared" si="49"/>
        <v>0</v>
      </c>
      <c r="X82" s="37"/>
    </row>
    <row r="83" spans="1:24" x14ac:dyDescent="0.25">
      <c r="A83" s="14"/>
      <c r="B83" s="14"/>
      <c r="C83" s="68"/>
      <c r="D83" s="68"/>
      <c r="E83" s="68"/>
      <c r="F83" s="68"/>
      <c r="G83" s="68"/>
      <c r="H83" s="68"/>
      <c r="I83" s="68"/>
      <c r="J83" s="68"/>
      <c r="K83" s="68"/>
      <c r="L83" s="628"/>
      <c r="M83" s="629"/>
      <c r="N83" s="205"/>
      <c r="O83" s="68"/>
      <c r="P83" s="68"/>
      <c r="Q83" s="68"/>
      <c r="R83" s="68"/>
      <c r="S83" s="68"/>
      <c r="T83" s="262"/>
      <c r="U83" s="68"/>
      <c r="V83" s="255"/>
    </row>
    <row r="84" spans="1:24" x14ac:dyDescent="0.25">
      <c r="A84" s="55" t="s">
        <v>158</v>
      </c>
      <c r="B84" s="51" t="s">
        <v>159</v>
      </c>
      <c r="C84" s="67">
        <f>+C85</f>
        <v>3150000</v>
      </c>
      <c r="D84" s="67">
        <f>SUM(D85)</f>
        <v>3150000</v>
      </c>
      <c r="E84" s="67">
        <f>SUM(E85)</f>
        <v>3150000</v>
      </c>
      <c r="F84" s="67">
        <f>SUM(F85)</f>
        <v>0</v>
      </c>
      <c r="G84" s="67"/>
      <c r="H84" s="67">
        <f>SUM(H85)</f>
        <v>2648999</v>
      </c>
      <c r="I84" s="67">
        <f>SUM(I85)</f>
        <v>2648999</v>
      </c>
      <c r="J84" s="67">
        <f>SUM(J85)</f>
        <v>0</v>
      </c>
      <c r="K84" s="215"/>
      <c r="L84" s="635">
        <f t="shared" si="50"/>
        <v>0.84095206349206353</v>
      </c>
      <c r="M84" s="636">
        <f t="shared" si="51"/>
        <v>0.84095206349206353</v>
      </c>
      <c r="N84" s="209">
        <f t="shared" si="52"/>
        <v>0</v>
      </c>
      <c r="O84" s="215"/>
      <c r="P84" s="215">
        <f t="shared" si="45"/>
        <v>0</v>
      </c>
      <c r="Q84" s="215">
        <f t="shared" si="46"/>
        <v>0</v>
      </c>
      <c r="R84" s="215">
        <f t="shared" si="47"/>
        <v>0</v>
      </c>
      <c r="S84" s="215">
        <f t="shared" ref="S84:S90" si="54">+P84*P$10+Q84*Q$10+R84*R$10</f>
        <v>0</v>
      </c>
      <c r="T84" s="264">
        <f t="shared" si="48"/>
        <v>0</v>
      </c>
      <c r="U84" s="215"/>
      <c r="V84" s="258">
        <f t="shared" si="49"/>
        <v>0</v>
      </c>
      <c r="X84" s="37"/>
    </row>
    <row r="85" spans="1:24" x14ac:dyDescent="0.25">
      <c r="A85" s="14" t="s">
        <v>167</v>
      </c>
      <c r="B85" s="20" t="s">
        <v>381</v>
      </c>
      <c r="C85" s="68">
        <v>3150000</v>
      </c>
      <c r="D85" s="68">
        <v>3150000</v>
      </c>
      <c r="E85" s="68">
        <v>3150000</v>
      </c>
      <c r="F85" s="68"/>
      <c r="G85" s="68"/>
      <c r="H85" s="68">
        <v>2648999</v>
      </c>
      <c r="I85" s="68">
        <v>2648999</v>
      </c>
      <c r="J85" s="68"/>
      <c r="K85" s="68"/>
      <c r="L85" s="601">
        <f t="shared" ref="L85" si="55">IF(H85&gt;0,H85/C85,0)</f>
        <v>0.84095206349206353</v>
      </c>
      <c r="M85" s="601">
        <f t="shared" ref="M85" si="56">IF(I85&gt;0,I85/D85,0)</f>
        <v>0.84095206349206353</v>
      </c>
      <c r="N85" s="206">
        <f t="shared" ref="N85" si="57">IF(J85&gt;0,J85/E85,0)</f>
        <v>0</v>
      </c>
      <c r="O85" s="68"/>
      <c r="P85" s="81">
        <f t="shared" ref="P85" si="58">+(D85-C85)*P$10</f>
        <v>0</v>
      </c>
      <c r="Q85" s="81">
        <f t="shared" ref="Q85" si="59">+(E85-D85)*Q$10</f>
        <v>0</v>
      </c>
      <c r="R85" s="81">
        <f t="shared" ref="R85" si="60">+(F85-E85)*R$10</f>
        <v>0</v>
      </c>
      <c r="S85" s="81">
        <f t="shared" si="54"/>
        <v>0</v>
      </c>
      <c r="T85" s="281">
        <f t="shared" ref="T85" si="61">IF(C85=0,0,+S85/C85)</f>
        <v>0</v>
      </c>
      <c r="U85" s="120"/>
      <c r="V85" s="195">
        <f t="shared" ref="V85" si="62">+S85-E85+C85</f>
        <v>0</v>
      </c>
    </row>
    <row r="86" spans="1:24" x14ac:dyDescent="0.25">
      <c r="A86" s="14"/>
      <c r="B86" s="14"/>
      <c r="C86" s="68"/>
      <c r="D86" s="68"/>
      <c r="E86" s="68"/>
      <c r="F86" s="68"/>
      <c r="G86" s="68"/>
      <c r="H86" s="68"/>
      <c r="I86" s="68"/>
      <c r="J86" s="68"/>
      <c r="K86" s="68"/>
      <c r="L86" s="628"/>
      <c r="M86" s="629"/>
      <c r="N86" s="205"/>
      <c r="O86" s="68"/>
      <c r="P86" s="68"/>
      <c r="Q86" s="68"/>
      <c r="R86" s="68"/>
      <c r="S86" s="68">
        <f t="shared" si="54"/>
        <v>0</v>
      </c>
      <c r="T86" s="262"/>
      <c r="U86" s="68"/>
      <c r="V86" s="255"/>
    </row>
    <row r="87" spans="1:24" x14ac:dyDescent="0.25">
      <c r="A87" s="7" t="s">
        <v>173</v>
      </c>
      <c r="B87" s="5" t="s">
        <v>174</v>
      </c>
      <c r="C87" s="67">
        <f>+C88</f>
        <v>0</v>
      </c>
      <c r="D87" s="67">
        <f>SUM(D88)</f>
        <v>0</v>
      </c>
      <c r="E87" s="67">
        <f>SUM(E88)</f>
        <v>0</v>
      </c>
      <c r="F87" s="67">
        <f>SUM(F88)</f>
        <v>0</v>
      </c>
      <c r="G87" s="67"/>
      <c r="H87" s="67">
        <f>SUM(H88)</f>
        <v>0</v>
      </c>
      <c r="I87" s="67">
        <f>SUM(I88)</f>
        <v>0</v>
      </c>
      <c r="J87" s="67">
        <f>SUM(J88)</f>
        <v>0</v>
      </c>
      <c r="K87" s="67"/>
      <c r="L87" s="635">
        <f t="shared" si="50"/>
        <v>0</v>
      </c>
      <c r="M87" s="631" t="e">
        <f>+I87/E87</f>
        <v>#DIV/0!</v>
      </c>
      <c r="N87" s="207"/>
      <c r="O87" s="67"/>
      <c r="P87" s="67">
        <f t="shared" ref="P87:P88" si="63">+(D87-C87)*P$10</f>
        <v>0</v>
      </c>
      <c r="Q87" s="67">
        <f t="shared" ref="Q87:Q88" si="64">+(E87-D87)*Q$10</f>
        <v>0</v>
      </c>
      <c r="R87" s="67">
        <f t="shared" ref="R87:R88" si="65">+(F87-E87)*R$10</f>
        <v>0</v>
      </c>
      <c r="S87" s="67">
        <f t="shared" si="54"/>
        <v>0</v>
      </c>
      <c r="T87" s="261">
        <f t="shared" ref="T87:T88" si="66">IF(C87=0,0,+S87/C87)</f>
        <v>0</v>
      </c>
      <c r="U87" s="67"/>
      <c r="V87" s="256">
        <f t="shared" ref="V87:V88" si="67">+S87-E87+C87</f>
        <v>0</v>
      </c>
    </row>
    <row r="88" spans="1:24" x14ac:dyDescent="0.25">
      <c r="A88" s="14"/>
      <c r="B88" s="20"/>
      <c r="C88" s="68"/>
      <c r="D88" s="68"/>
      <c r="E88" s="68"/>
      <c r="F88" s="68"/>
      <c r="G88" s="68"/>
      <c r="H88" s="68"/>
      <c r="I88" s="68"/>
      <c r="J88" s="68"/>
      <c r="K88" s="68"/>
      <c r="L88" s="601">
        <f>IF(H88&gt;0,H88/C88,0)</f>
        <v>0</v>
      </c>
      <c r="M88" s="601">
        <f>IF(I88&gt;0,I88/D88,0)</f>
        <v>0</v>
      </c>
      <c r="N88" s="206">
        <f>IF(J88&gt;0,J88/E88,0)</f>
        <v>0</v>
      </c>
      <c r="O88" s="68"/>
      <c r="P88" s="81">
        <f t="shared" si="63"/>
        <v>0</v>
      </c>
      <c r="Q88" s="81">
        <f t="shared" si="64"/>
        <v>0</v>
      </c>
      <c r="R88" s="81">
        <f t="shared" si="65"/>
        <v>0</v>
      </c>
      <c r="S88" s="81">
        <f t="shared" si="54"/>
        <v>0</v>
      </c>
      <c r="T88" s="281">
        <f t="shared" si="66"/>
        <v>0</v>
      </c>
      <c r="U88" s="120"/>
      <c r="V88" s="195">
        <f t="shared" si="67"/>
        <v>0</v>
      </c>
    </row>
    <row r="89" spans="1:24" hidden="1" x14ac:dyDescent="0.25">
      <c r="A89" s="14"/>
      <c r="B89" s="14"/>
      <c r="C89" s="68"/>
      <c r="D89" s="68"/>
      <c r="E89" s="68"/>
      <c r="F89" s="68"/>
      <c r="G89" s="68"/>
      <c r="H89" s="68"/>
      <c r="I89" s="68"/>
      <c r="J89" s="68"/>
      <c r="K89" s="68"/>
      <c r="L89" s="628"/>
      <c r="M89" s="629"/>
      <c r="N89" s="205"/>
      <c r="O89" s="68"/>
      <c r="P89" s="68"/>
      <c r="Q89" s="68"/>
      <c r="R89" s="68"/>
      <c r="S89" s="68">
        <f t="shared" si="54"/>
        <v>0</v>
      </c>
      <c r="T89" s="262"/>
      <c r="U89" s="68"/>
      <c r="V89" s="255"/>
    </row>
    <row r="90" spans="1:24" x14ac:dyDescent="0.25">
      <c r="A90" s="7"/>
      <c r="B90" s="5" t="s">
        <v>372</v>
      </c>
      <c r="C90" s="216">
        <f>C13+C30+C33+C84+C87</f>
        <v>233586000</v>
      </c>
      <c r="D90" s="216">
        <f t="shared" ref="D90:J90" si="68">D13+D30+D33+D84+D87</f>
        <v>233586000</v>
      </c>
      <c r="E90" s="216">
        <f t="shared" si="68"/>
        <v>233586000</v>
      </c>
      <c r="F90" s="216">
        <f t="shared" si="68"/>
        <v>0</v>
      </c>
      <c r="G90" s="216"/>
      <c r="H90" s="216">
        <f t="shared" si="68"/>
        <v>113114201</v>
      </c>
      <c r="I90" s="216">
        <f t="shared" si="68"/>
        <v>168801044</v>
      </c>
      <c r="J90" s="216">
        <f t="shared" si="68"/>
        <v>0</v>
      </c>
      <c r="K90" s="216"/>
      <c r="L90" s="630">
        <f t="shared" si="50"/>
        <v>0.48425077273466732</v>
      </c>
      <c r="M90" s="631">
        <f t="shared" si="51"/>
        <v>0.72265051843860506</v>
      </c>
      <c r="N90" s="210">
        <f t="shared" si="52"/>
        <v>0</v>
      </c>
      <c r="O90" s="216"/>
      <c r="P90" s="216">
        <f>P13+P30+P33+P84</f>
        <v>0</v>
      </c>
      <c r="Q90" s="216">
        <f>Q13+Q30+Q33+Q84</f>
        <v>0</v>
      </c>
      <c r="R90" s="216">
        <f>R13+R30+R33+R84</f>
        <v>0</v>
      </c>
      <c r="S90" s="216">
        <f t="shared" si="54"/>
        <v>0</v>
      </c>
      <c r="T90" s="265">
        <f>T13+T30+T33+T84</f>
        <v>0</v>
      </c>
      <c r="U90" s="216"/>
      <c r="V90" s="259"/>
      <c r="X90" s="37"/>
    </row>
    <row r="91" spans="1:24" ht="10.35" customHeight="1" x14ac:dyDescent="0.25">
      <c r="A91" s="25"/>
      <c r="B91" s="25"/>
      <c r="C91" s="97"/>
      <c r="D91" s="98"/>
      <c r="E91" s="98"/>
      <c r="F91" s="98"/>
      <c r="G91" s="98"/>
      <c r="H91" s="98"/>
      <c r="I91" s="98"/>
      <c r="J91" s="98"/>
      <c r="K91" s="98"/>
      <c r="L91" s="607"/>
      <c r="M91" s="607"/>
      <c r="N91" s="98"/>
      <c r="O91" s="98"/>
      <c r="P91" s="98"/>
      <c r="Q91" s="98"/>
      <c r="R91" s="98"/>
      <c r="S91" s="98"/>
      <c r="T91" s="98"/>
      <c r="U91" s="22"/>
      <c r="V91" s="195">
        <f t="shared" ref="V91" si="69">+S91-E91+C91</f>
        <v>0</v>
      </c>
      <c r="W91" s="122"/>
      <c r="X91" s="122"/>
    </row>
    <row r="92" spans="1:24" ht="10.35" customHeight="1" x14ac:dyDescent="0.25">
      <c r="A92" s="466"/>
      <c r="B92" s="466"/>
      <c r="C92" s="467"/>
      <c r="D92" s="468"/>
      <c r="E92" s="468"/>
      <c r="F92" s="468"/>
      <c r="G92" s="468"/>
      <c r="H92" s="468"/>
      <c r="I92" s="468"/>
      <c r="J92" s="468"/>
      <c r="K92" s="468"/>
      <c r="L92" s="608"/>
      <c r="M92" s="608"/>
      <c r="N92" s="468"/>
      <c r="O92" s="468"/>
      <c r="P92" s="468"/>
      <c r="Q92" s="468"/>
      <c r="R92" s="468"/>
      <c r="S92" s="468"/>
      <c r="T92" s="468"/>
      <c r="U92" s="469"/>
      <c r="V92" s="470"/>
      <c r="W92" s="122"/>
      <c r="X92" s="122"/>
    </row>
    <row r="93" spans="1:24" s="42" customFormat="1" x14ac:dyDescent="0.25">
      <c r="A93" s="4" t="s">
        <v>240</v>
      </c>
      <c r="B93" s="3" t="s">
        <v>241</v>
      </c>
      <c r="C93" s="219">
        <f>SUM(C94:C94)</f>
        <v>0</v>
      </c>
      <c r="D93" s="219">
        <f>SUM(D94:D94)</f>
        <v>0</v>
      </c>
      <c r="E93" s="219">
        <f>SUM(E94:E94)</f>
        <v>0</v>
      </c>
      <c r="F93" s="219">
        <f>SUM(F94:F94)</f>
        <v>0</v>
      </c>
      <c r="G93" s="219"/>
      <c r="H93" s="219">
        <f>SUM(H94:H94)</f>
        <v>0</v>
      </c>
      <c r="I93" s="219">
        <f>SUM(I94:I94)</f>
        <v>0</v>
      </c>
      <c r="J93" s="219">
        <f>SUM(J94:J94)</f>
        <v>0</v>
      </c>
      <c r="K93" s="219"/>
      <c r="L93" s="637">
        <f t="shared" ref="L93:L94" si="70">IF(H93&gt;0,H93/C93,0)</f>
        <v>0</v>
      </c>
      <c r="M93" s="631">
        <f t="shared" ref="M93:M94" si="71">IF(I93&gt;0,I93/D93,0)</f>
        <v>0</v>
      </c>
      <c r="N93" s="212">
        <f t="shared" ref="N93:N94" si="72">IF(J93&gt;0,J93/E93,0)</f>
        <v>0</v>
      </c>
      <c r="O93" s="219"/>
      <c r="P93" s="219">
        <f t="shared" ref="P93:P94" si="73">+(D93-C93)*P$10</f>
        <v>0</v>
      </c>
      <c r="Q93" s="219">
        <f t="shared" ref="Q93:Q94" si="74">+(E93-D93)*Q$10</f>
        <v>0</v>
      </c>
      <c r="R93" s="219">
        <f t="shared" ref="R93:R94" si="75">+(F93-E93)*R$10</f>
        <v>0</v>
      </c>
      <c r="S93" s="219">
        <f t="shared" ref="S93:S102" si="76">+P93*P$10+Q93*Q$10+R93*R$10</f>
        <v>0</v>
      </c>
      <c r="T93" s="266">
        <f t="shared" ref="T93:T94" si="77">IF(C93=0,0,+S93/C93)</f>
        <v>0</v>
      </c>
      <c r="U93" s="219"/>
      <c r="V93" s="260">
        <f t="shared" ref="V93:V94" si="78">+S93-E93+C93</f>
        <v>0</v>
      </c>
    </row>
    <row r="94" spans="1:24" x14ac:dyDescent="0.25">
      <c r="A94" s="14"/>
      <c r="B94" s="20"/>
      <c r="C94" s="220"/>
      <c r="D94" s="221"/>
      <c r="E94" s="221"/>
      <c r="F94" s="221"/>
      <c r="G94" s="221"/>
      <c r="H94" s="221"/>
      <c r="I94" s="221"/>
      <c r="J94" s="221"/>
      <c r="K94" s="221"/>
      <c r="L94" s="628">
        <f t="shared" si="70"/>
        <v>0</v>
      </c>
      <c r="M94" s="638">
        <f t="shared" si="71"/>
        <v>0</v>
      </c>
      <c r="N94" s="213">
        <f t="shared" si="72"/>
        <v>0</v>
      </c>
      <c r="O94" s="221"/>
      <c r="P94" s="81">
        <f t="shared" si="73"/>
        <v>0</v>
      </c>
      <c r="Q94" s="81">
        <f t="shared" si="74"/>
        <v>0</v>
      </c>
      <c r="R94" s="81">
        <f t="shared" si="75"/>
        <v>0</v>
      </c>
      <c r="S94" s="81">
        <f t="shared" si="76"/>
        <v>0</v>
      </c>
      <c r="T94" s="261">
        <f t="shared" si="77"/>
        <v>0</v>
      </c>
      <c r="U94" s="120"/>
      <c r="V94" s="195">
        <f t="shared" si="78"/>
        <v>0</v>
      </c>
    </row>
    <row r="95" spans="1:24" s="42" customFormat="1" x14ac:dyDescent="0.25">
      <c r="A95" s="4" t="s">
        <v>282</v>
      </c>
      <c r="B95" s="3" t="s">
        <v>283</v>
      </c>
      <c r="C95" s="219">
        <f>SUM(C96:C98)</f>
        <v>5000</v>
      </c>
      <c r="D95" s="219">
        <f>SUM(D96:D98)</f>
        <v>5000</v>
      </c>
      <c r="E95" s="219">
        <f>SUM(E96:E98)</f>
        <v>5000</v>
      </c>
      <c r="F95" s="219">
        <f t="shared" ref="F95" si="79">SUM(F96:F97)</f>
        <v>0</v>
      </c>
      <c r="G95" s="219"/>
      <c r="H95" s="219">
        <f>SUM(H96:H98)</f>
        <v>1920</v>
      </c>
      <c r="I95" s="219">
        <f>SUM(I96:I98)</f>
        <v>2397</v>
      </c>
      <c r="J95" s="219">
        <f t="shared" ref="J95" si="80">SUM(J96:J97)</f>
        <v>0</v>
      </c>
      <c r="K95" s="219"/>
      <c r="L95" s="637">
        <f t="shared" si="50"/>
        <v>0.38400000000000001</v>
      </c>
      <c r="M95" s="631">
        <f t="shared" si="51"/>
        <v>0.47939999999999999</v>
      </c>
      <c r="N95" s="212">
        <f t="shared" si="52"/>
        <v>0</v>
      </c>
      <c r="O95" s="219"/>
      <c r="P95" s="219">
        <f t="shared" ref="P95" si="81">+(D95-C95)*P$10</f>
        <v>0</v>
      </c>
      <c r="Q95" s="219">
        <f t="shared" ref="Q95" si="82">+(E95-D95)*Q$10</f>
        <v>0</v>
      </c>
      <c r="R95" s="219">
        <f t="shared" ref="R95" si="83">+(F95-E95)*R$10</f>
        <v>0</v>
      </c>
      <c r="S95" s="219">
        <f t="shared" si="76"/>
        <v>0</v>
      </c>
      <c r="T95" s="266">
        <f t="shared" ref="T95" si="84">IF(C95=0,0,+S95/C95)</f>
        <v>0</v>
      </c>
      <c r="U95" s="219"/>
      <c r="V95" s="260">
        <f t="shared" ref="V95" si="85">+S95-E95+C95</f>
        <v>0</v>
      </c>
      <c r="W95" s="59" t="s">
        <v>395</v>
      </c>
    </row>
    <row r="96" spans="1:24" x14ac:dyDescent="0.25">
      <c r="A96" s="14" t="s">
        <v>293</v>
      </c>
      <c r="B96" s="20" t="s">
        <v>294</v>
      </c>
      <c r="C96" s="220">
        <v>0</v>
      </c>
      <c r="D96" s="220">
        <v>0</v>
      </c>
      <c r="E96" s="220"/>
      <c r="F96" s="220"/>
      <c r="G96" s="220"/>
      <c r="H96" s="220">
        <v>0</v>
      </c>
      <c r="I96" s="220"/>
      <c r="J96" s="220"/>
      <c r="K96" s="220"/>
      <c r="L96" s="629">
        <f t="shared" si="50"/>
        <v>0</v>
      </c>
      <c r="M96" s="638">
        <f t="shared" si="51"/>
        <v>0</v>
      </c>
      <c r="N96" s="211">
        <f t="shared" si="52"/>
        <v>0</v>
      </c>
      <c r="O96" s="220"/>
      <c r="P96" s="81">
        <f t="shared" ref="P96:R99" si="86">+(D96-C96)*P$10</f>
        <v>0</v>
      </c>
      <c r="Q96" s="81">
        <f t="shared" ref="Q96:Q99" si="87">+(E96-D96)*Q$10</f>
        <v>0</v>
      </c>
      <c r="R96" s="81">
        <f t="shared" ref="R96:R99" si="88">+(F96-E96)*R$10</f>
        <v>0</v>
      </c>
      <c r="S96" s="81">
        <f t="shared" si="76"/>
        <v>0</v>
      </c>
      <c r="T96" s="261">
        <f t="shared" ref="T96:T102" si="89">IF(C96=0,0,+S96/C96)</f>
        <v>0</v>
      </c>
      <c r="U96" s="120"/>
      <c r="V96" s="195">
        <f t="shared" ref="V96:V99" si="90">+S96-E96+C96</f>
        <v>0</v>
      </c>
    </row>
    <row r="97" spans="1:24" x14ac:dyDescent="0.25">
      <c r="A97" s="14" t="s">
        <v>296</v>
      </c>
      <c r="B97" s="20" t="s">
        <v>297</v>
      </c>
      <c r="C97" s="220">
        <v>0</v>
      </c>
      <c r="D97" s="220">
        <v>0</v>
      </c>
      <c r="E97" s="220"/>
      <c r="F97" s="220"/>
      <c r="G97" s="220"/>
      <c r="H97" s="220">
        <v>0</v>
      </c>
      <c r="I97" s="220"/>
      <c r="J97" s="220"/>
      <c r="K97" s="220"/>
      <c r="L97" s="629">
        <f t="shared" si="50"/>
        <v>0</v>
      </c>
      <c r="M97" s="639">
        <f t="shared" si="51"/>
        <v>0</v>
      </c>
      <c r="N97" s="211">
        <f t="shared" si="52"/>
        <v>0</v>
      </c>
      <c r="O97" s="220"/>
      <c r="P97" s="81">
        <f t="shared" si="86"/>
        <v>0</v>
      </c>
      <c r="Q97" s="81">
        <f t="shared" si="87"/>
        <v>0</v>
      </c>
      <c r="R97" s="81">
        <f t="shared" si="88"/>
        <v>0</v>
      </c>
      <c r="S97" s="81">
        <f t="shared" si="76"/>
        <v>0</v>
      </c>
      <c r="T97" s="261">
        <f t="shared" si="89"/>
        <v>0</v>
      </c>
      <c r="U97" s="120"/>
      <c r="V97" s="195">
        <f t="shared" si="90"/>
        <v>0</v>
      </c>
    </row>
    <row r="98" spans="1:24" ht="25.95" customHeight="1" x14ac:dyDescent="0.25">
      <c r="A98" s="482" t="s">
        <v>457</v>
      </c>
      <c r="B98" s="482" t="s">
        <v>456</v>
      </c>
      <c r="C98" s="71">
        <v>5000</v>
      </c>
      <c r="D98" s="71">
        <v>5000</v>
      </c>
      <c r="E98" s="142">
        <v>5000</v>
      </c>
      <c r="F98" s="71"/>
      <c r="G98" s="117"/>
      <c r="H98" s="96">
        <f>94+1826</f>
        <v>1920</v>
      </c>
      <c r="I98" s="96">
        <v>2397</v>
      </c>
      <c r="J98" s="96"/>
      <c r="K98" s="117"/>
      <c r="L98" s="603">
        <f t="shared" si="50"/>
        <v>0.38400000000000001</v>
      </c>
      <c r="M98" s="603">
        <f t="shared" si="50"/>
        <v>0.47939999999999999</v>
      </c>
      <c r="N98" s="137">
        <f t="shared" si="50"/>
        <v>0</v>
      </c>
      <c r="O98" s="120"/>
      <c r="P98" s="81">
        <f t="shared" si="86"/>
        <v>0</v>
      </c>
      <c r="Q98" s="81">
        <f t="shared" si="86"/>
        <v>0</v>
      </c>
      <c r="R98" s="81">
        <f t="shared" si="86"/>
        <v>0</v>
      </c>
      <c r="S98" s="81">
        <f t="shared" si="76"/>
        <v>0</v>
      </c>
      <c r="T98" s="85">
        <f t="shared" si="89"/>
        <v>0</v>
      </c>
      <c r="U98" s="120"/>
      <c r="V98" s="195">
        <f t="shared" si="90"/>
        <v>0</v>
      </c>
      <c r="W98" s="122"/>
      <c r="X98" s="122"/>
    </row>
    <row r="99" spans="1:24" s="42" customFormat="1" x14ac:dyDescent="0.25">
      <c r="A99" s="4" t="s">
        <v>328</v>
      </c>
      <c r="B99" s="3" t="s">
        <v>329</v>
      </c>
      <c r="C99" s="219">
        <f>SUM(C100:C101)</f>
        <v>233581000</v>
      </c>
      <c r="D99" s="219">
        <f t="shared" ref="D99:F99" si="91">SUM(D100:D101)</f>
        <v>233581000</v>
      </c>
      <c r="E99" s="219">
        <f t="shared" si="91"/>
        <v>233581000</v>
      </c>
      <c r="F99" s="219">
        <f t="shared" si="91"/>
        <v>0</v>
      </c>
      <c r="G99" s="219"/>
      <c r="H99" s="219">
        <f t="shared" ref="H99" si="92">SUM(H100:H101)</f>
        <v>116834931</v>
      </c>
      <c r="I99" s="219">
        <f t="shared" ref="I99" si="93">SUM(I100:I101)</f>
        <v>173535205</v>
      </c>
      <c r="J99" s="219">
        <f t="shared" ref="J99" si="94">SUM(J100:J101)</f>
        <v>0</v>
      </c>
      <c r="K99" s="219"/>
      <c r="L99" s="637">
        <f t="shared" si="50"/>
        <v>0.50019021667002028</v>
      </c>
      <c r="M99" s="631">
        <f t="shared" si="51"/>
        <v>0.7429337360487368</v>
      </c>
      <c r="N99" s="212">
        <f t="shared" si="52"/>
        <v>0</v>
      </c>
      <c r="O99" s="219"/>
      <c r="P99" s="219">
        <f t="shared" si="86"/>
        <v>0</v>
      </c>
      <c r="Q99" s="219">
        <f t="shared" si="87"/>
        <v>0</v>
      </c>
      <c r="R99" s="219">
        <f t="shared" si="88"/>
        <v>0</v>
      </c>
      <c r="S99" s="219">
        <f t="shared" si="76"/>
        <v>0</v>
      </c>
      <c r="T99" s="266">
        <f t="shared" si="89"/>
        <v>0</v>
      </c>
      <c r="U99" s="219"/>
      <c r="V99" s="260">
        <f t="shared" si="90"/>
        <v>0</v>
      </c>
    </row>
    <row r="100" spans="1:24" x14ac:dyDescent="0.25">
      <c r="A100" s="14" t="s">
        <v>354</v>
      </c>
      <c r="B100" s="20" t="s">
        <v>382</v>
      </c>
      <c r="C100" s="142">
        <f>+C104</f>
        <v>233250594</v>
      </c>
      <c r="D100" s="142">
        <v>233250594</v>
      </c>
      <c r="E100" s="221">
        <v>233250594</v>
      </c>
      <c r="F100" s="221"/>
      <c r="G100" s="221"/>
      <c r="H100" s="221">
        <v>116504525</v>
      </c>
      <c r="I100" s="221">
        <v>173204799</v>
      </c>
      <c r="J100" s="221"/>
      <c r="K100" s="221"/>
      <c r="L100" s="628">
        <f t="shared" si="50"/>
        <v>0.49948222211172588</v>
      </c>
      <c r="M100" s="638">
        <f t="shared" si="51"/>
        <v>0.74256959448514848</v>
      </c>
      <c r="N100" s="213">
        <f t="shared" si="52"/>
        <v>0</v>
      </c>
      <c r="O100" s="221"/>
      <c r="P100" s="81">
        <f t="shared" ref="P100:P102" si="95">+(D100-C100)*P$10</f>
        <v>0</v>
      </c>
      <c r="Q100" s="81">
        <f t="shared" ref="Q100:Q102" si="96">+(E100-D100)*Q$10</f>
        <v>0</v>
      </c>
      <c r="R100" s="81">
        <f t="shared" ref="R100:R102" si="97">+(F100-E100)*R$10</f>
        <v>0</v>
      </c>
      <c r="S100" s="81">
        <f t="shared" si="76"/>
        <v>0</v>
      </c>
      <c r="T100" s="261">
        <f t="shared" si="89"/>
        <v>0</v>
      </c>
      <c r="U100" s="120"/>
      <c r="V100" s="195">
        <f t="shared" ref="V100:V102" si="98">+S100-E100+C100</f>
        <v>0</v>
      </c>
    </row>
    <row r="101" spans="1:24" ht="14.4" x14ac:dyDescent="0.3">
      <c r="A101" s="14" t="s">
        <v>342</v>
      </c>
      <c r="B101" s="20" t="s">
        <v>343</v>
      </c>
      <c r="C101" s="722">
        <v>330406</v>
      </c>
      <c r="D101" s="722">
        <v>330406</v>
      </c>
      <c r="E101" s="569">
        <v>330406</v>
      </c>
      <c r="F101" s="221"/>
      <c r="G101" s="221"/>
      <c r="H101" s="569">
        <v>330406</v>
      </c>
      <c r="I101" s="220">
        <v>330406</v>
      </c>
      <c r="J101" s="220"/>
      <c r="K101" s="221"/>
      <c r="L101" s="629">
        <f t="shared" si="50"/>
        <v>1</v>
      </c>
      <c r="M101" s="639">
        <f t="shared" si="51"/>
        <v>1</v>
      </c>
      <c r="N101" s="211">
        <f t="shared" si="52"/>
        <v>0</v>
      </c>
      <c r="O101" s="221"/>
      <c r="P101" s="81">
        <f t="shared" si="95"/>
        <v>0</v>
      </c>
      <c r="Q101" s="81">
        <f t="shared" si="96"/>
        <v>0</v>
      </c>
      <c r="R101" s="81">
        <f t="shared" si="97"/>
        <v>0</v>
      </c>
      <c r="S101" s="81">
        <f t="shared" si="76"/>
        <v>0</v>
      </c>
      <c r="T101" s="261">
        <f t="shared" si="89"/>
        <v>0</v>
      </c>
      <c r="U101" s="120"/>
      <c r="V101" s="195">
        <f t="shared" si="98"/>
        <v>0</v>
      </c>
    </row>
    <row r="102" spans="1:24" x14ac:dyDescent="0.25">
      <c r="A102" s="5"/>
      <c r="B102" s="5" t="s">
        <v>371</v>
      </c>
      <c r="C102" s="216">
        <f>+C95+C99+C93</f>
        <v>233586000</v>
      </c>
      <c r="D102" s="216">
        <f>+D95+D99+D93</f>
        <v>233586000</v>
      </c>
      <c r="E102" s="216">
        <f>+E95+E99+E93</f>
        <v>233586000</v>
      </c>
      <c r="F102" s="216">
        <f>+F95+F99+F93</f>
        <v>0</v>
      </c>
      <c r="G102" s="216"/>
      <c r="H102" s="216">
        <f>+H95+H99+H93</f>
        <v>116836851</v>
      </c>
      <c r="I102" s="216">
        <f>+I95+I99+I93</f>
        <v>173537602</v>
      </c>
      <c r="J102" s="216">
        <f>+J95+J99+J93</f>
        <v>0</v>
      </c>
      <c r="K102" s="216"/>
      <c r="L102" s="630">
        <f t="shared" si="50"/>
        <v>0.50018772957283397</v>
      </c>
      <c r="M102" s="631">
        <f t="shared" si="51"/>
        <v>0.74292809500569379</v>
      </c>
      <c r="N102" s="210">
        <f t="shared" si="52"/>
        <v>0</v>
      </c>
      <c r="O102" s="216"/>
      <c r="P102" s="216">
        <f t="shared" si="95"/>
        <v>0</v>
      </c>
      <c r="Q102" s="216">
        <f t="shared" si="96"/>
        <v>0</v>
      </c>
      <c r="R102" s="216">
        <f t="shared" si="97"/>
        <v>0</v>
      </c>
      <c r="S102" s="216">
        <f t="shared" si="76"/>
        <v>0</v>
      </c>
      <c r="T102" s="265">
        <f t="shared" si="89"/>
        <v>0</v>
      </c>
      <c r="U102" s="216"/>
      <c r="V102" s="259">
        <f t="shared" si="98"/>
        <v>0</v>
      </c>
    </row>
    <row r="103" spans="1:24" x14ac:dyDescent="0.25">
      <c r="B103" s="25"/>
      <c r="C103" s="97"/>
      <c r="D103" s="98"/>
      <c r="E103" s="98"/>
      <c r="F103" s="98"/>
      <c r="G103" s="98"/>
      <c r="H103" s="98"/>
      <c r="I103" s="98"/>
      <c r="J103" s="98"/>
      <c r="K103" s="98"/>
      <c r="L103" s="610"/>
      <c r="M103" s="610"/>
      <c r="O103" s="98"/>
      <c r="P103" s="98"/>
      <c r="Q103" s="98"/>
      <c r="R103" s="98"/>
      <c r="S103" s="98"/>
      <c r="T103" s="98"/>
      <c r="U103" s="98"/>
      <c r="V103" s="123"/>
    </row>
    <row r="104" spans="1:24" x14ac:dyDescent="0.25">
      <c r="B104" s="25"/>
      <c r="C104" s="97">
        <f>+C90-C101-C95</f>
        <v>233250594</v>
      </c>
      <c r="D104" s="98"/>
      <c r="E104" s="98"/>
      <c r="F104" s="98"/>
      <c r="G104" s="98"/>
      <c r="H104" s="98"/>
      <c r="I104" s="98"/>
      <c r="J104" s="98"/>
      <c r="K104" s="98"/>
      <c r="L104" s="610"/>
      <c r="M104" s="610"/>
      <c r="O104" s="98"/>
      <c r="P104" s="98"/>
      <c r="Q104" s="98"/>
      <c r="R104" s="98"/>
      <c r="S104" s="98"/>
      <c r="T104" s="98"/>
      <c r="U104" s="98"/>
      <c r="V104" s="123"/>
    </row>
    <row r="105" spans="1:24" x14ac:dyDescent="0.25">
      <c r="B105" s="25"/>
      <c r="C105" s="17"/>
      <c r="L105" s="610"/>
      <c r="M105" s="610"/>
      <c r="V105" s="123"/>
    </row>
    <row r="106" spans="1:24" x14ac:dyDescent="0.25">
      <c r="B106" s="25"/>
      <c r="C106" s="17"/>
      <c r="D106" s="19"/>
      <c r="E106" s="19"/>
      <c r="F106" s="19"/>
      <c r="G106" s="19"/>
      <c r="K106" s="19"/>
      <c r="L106" s="610"/>
      <c r="M106" s="610"/>
      <c r="O106" s="19"/>
      <c r="V106" s="123"/>
    </row>
    <row r="107" spans="1:24" x14ac:dyDescent="0.25">
      <c r="A107" s="59"/>
      <c r="B107" s="59"/>
      <c r="C107" s="71"/>
      <c r="D107" s="98"/>
      <c r="E107" s="721"/>
      <c r="L107" s="610"/>
      <c r="M107" s="610"/>
      <c r="V107" s="123"/>
    </row>
    <row r="108" spans="1:24" x14ac:dyDescent="0.25">
      <c r="B108" s="566"/>
      <c r="C108" s="586"/>
      <c r="D108" s="98"/>
      <c r="L108" s="610"/>
      <c r="M108" s="610"/>
      <c r="V108" s="123"/>
    </row>
    <row r="109" spans="1:24" x14ac:dyDescent="0.25">
      <c r="B109" s="25"/>
      <c r="C109" s="17"/>
      <c r="L109" s="610"/>
      <c r="M109" s="610"/>
    </row>
    <row r="110" spans="1:24" x14ac:dyDescent="0.25">
      <c r="B110" s="25"/>
      <c r="C110" s="17"/>
      <c r="L110" s="610"/>
      <c r="M110" s="610"/>
    </row>
    <row r="111" spans="1:24" x14ac:dyDescent="0.25">
      <c r="B111" s="25"/>
      <c r="C111" s="17"/>
      <c r="L111" s="610"/>
      <c r="M111" s="610"/>
    </row>
    <row r="112" spans="1:24" x14ac:dyDescent="0.25">
      <c r="B112" s="25"/>
      <c r="C112" s="17"/>
      <c r="L112" s="610"/>
      <c r="M112" s="610"/>
    </row>
    <row r="113" spans="1:13" x14ac:dyDescent="0.25">
      <c r="B113" s="25"/>
      <c r="C113" s="17"/>
      <c r="L113" s="610"/>
      <c r="M113" s="610"/>
    </row>
    <row r="114" spans="1:13" x14ac:dyDescent="0.25">
      <c r="B114" s="25"/>
      <c r="C114" s="17"/>
      <c r="L114" s="610"/>
      <c r="M114" s="610"/>
    </row>
    <row r="115" spans="1:13" x14ac:dyDescent="0.25">
      <c r="B115" s="25"/>
      <c r="C115" s="17"/>
      <c r="L115" s="610"/>
      <c r="M115" s="610"/>
    </row>
    <row r="116" spans="1:13" x14ac:dyDescent="0.25">
      <c r="B116" s="25"/>
      <c r="C116" s="17"/>
      <c r="L116" s="610"/>
      <c r="M116" s="610"/>
    </row>
    <row r="117" spans="1:13" x14ac:dyDescent="0.25">
      <c r="C117" s="17"/>
      <c r="L117" s="610"/>
      <c r="M117" s="610"/>
    </row>
    <row r="118" spans="1:13" x14ac:dyDescent="0.25">
      <c r="A118" s="30"/>
      <c r="B118" s="26"/>
      <c r="C118" s="17"/>
      <c r="L118" s="610"/>
      <c r="M118" s="610"/>
    </row>
    <row r="119" spans="1:13" x14ac:dyDescent="0.25">
      <c r="B119" s="25"/>
      <c r="C119" s="17"/>
      <c r="L119" s="610"/>
      <c r="M119" s="610"/>
    </row>
    <row r="120" spans="1:13" x14ac:dyDescent="0.25">
      <c r="B120" s="25"/>
      <c r="C120" s="17"/>
      <c r="L120" s="610"/>
      <c r="M120" s="610"/>
    </row>
    <row r="121" spans="1:13" x14ac:dyDescent="0.25">
      <c r="B121" s="25"/>
      <c r="C121" s="17"/>
      <c r="L121" s="610"/>
      <c r="M121" s="610"/>
    </row>
    <row r="122" spans="1:13" x14ac:dyDescent="0.25">
      <c r="B122" s="25"/>
      <c r="C122" s="17"/>
      <c r="L122" s="610"/>
      <c r="M122" s="610"/>
    </row>
    <row r="123" spans="1:13" x14ac:dyDescent="0.25">
      <c r="B123" s="25"/>
      <c r="C123" s="17"/>
      <c r="L123" s="610"/>
      <c r="M123" s="610"/>
    </row>
    <row r="124" spans="1:13" x14ac:dyDescent="0.25">
      <c r="B124" s="25"/>
      <c r="C124" s="17"/>
      <c r="L124" s="610"/>
      <c r="M124" s="610"/>
    </row>
    <row r="125" spans="1:13" x14ac:dyDescent="0.25">
      <c r="B125" s="25"/>
      <c r="C125" s="17"/>
      <c r="L125" s="610"/>
      <c r="M125" s="610"/>
    </row>
    <row r="126" spans="1:13" x14ac:dyDescent="0.25">
      <c r="B126" s="25"/>
      <c r="C126" s="17"/>
      <c r="L126" s="610"/>
      <c r="M126" s="610"/>
    </row>
    <row r="127" spans="1:13" x14ac:dyDescent="0.25">
      <c r="B127" s="25"/>
      <c r="C127" s="17"/>
      <c r="L127" s="610"/>
      <c r="M127" s="610"/>
    </row>
    <row r="128" spans="1:13" x14ac:dyDescent="0.25">
      <c r="C128" s="17"/>
      <c r="L128" s="610"/>
      <c r="M128" s="610"/>
    </row>
    <row r="129" spans="1:13" x14ac:dyDescent="0.25">
      <c r="A129" s="30"/>
      <c r="B129" s="26"/>
      <c r="C129" s="17"/>
      <c r="L129" s="610"/>
      <c r="M129" s="610"/>
    </row>
    <row r="130" spans="1:13" x14ac:dyDescent="0.25">
      <c r="B130" s="25"/>
      <c r="C130" s="17"/>
      <c r="L130" s="610"/>
      <c r="M130" s="610"/>
    </row>
    <row r="131" spans="1:13" x14ac:dyDescent="0.25">
      <c r="B131" s="25"/>
      <c r="C131" s="17"/>
      <c r="L131" s="610"/>
      <c r="M131" s="610"/>
    </row>
    <row r="132" spans="1:13" x14ac:dyDescent="0.25">
      <c r="B132" s="25"/>
      <c r="C132" s="17"/>
      <c r="L132" s="610"/>
      <c r="M132" s="610"/>
    </row>
    <row r="133" spans="1:13" x14ac:dyDescent="0.25">
      <c r="B133" s="25"/>
      <c r="C133" s="17"/>
      <c r="L133" s="610"/>
      <c r="M133" s="610"/>
    </row>
    <row r="134" spans="1:13" x14ac:dyDescent="0.25">
      <c r="B134" s="25"/>
      <c r="C134" s="17"/>
      <c r="L134" s="610"/>
      <c r="M134" s="610"/>
    </row>
    <row r="135" spans="1:13" x14ac:dyDescent="0.25">
      <c r="B135" s="25"/>
      <c r="C135" s="17"/>
      <c r="L135" s="610"/>
      <c r="M135" s="610"/>
    </row>
    <row r="136" spans="1:13" x14ac:dyDescent="0.25">
      <c r="B136" s="25"/>
      <c r="C136" s="17"/>
      <c r="L136" s="610"/>
      <c r="M136" s="610"/>
    </row>
    <row r="137" spans="1:13" x14ac:dyDescent="0.25">
      <c r="C137" s="17"/>
      <c r="L137" s="610"/>
      <c r="M137" s="610"/>
    </row>
    <row r="138" spans="1:13" x14ac:dyDescent="0.25">
      <c r="A138" s="30"/>
      <c r="B138" s="26"/>
      <c r="C138" s="17"/>
      <c r="L138" s="610"/>
      <c r="M138" s="610"/>
    </row>
    <row r="139" spans="1:13" x14ac:dyDescent="0.25">
      <c r="B139" s="25"/>
      <c r="C139" s="17"/>
      <c r="L139" s="610"/>
      <c r="M139" s="610"/>
    </row>
    <row r="140" spans="1:13" x14ac:dyDescent="0.25">
      <c r="B140" s="25"/>
      <c r="C140" s="17"/>
      <c r="L140" s="610"/>
      <c r="M140" s="610"/>
    </row>
    <row r="141" spans="1:13" x14ac:dyDescent="0.25">
      <c r="B141" s="25"/>
      <c r="C141" s="17"/>
      <c r="L141" s="610"/>
      <c r="M141" s="610"/>
    </row>
    <row r="142" spans="1:13" x14ac:dyDescent="0.25">
      <c r="B142" s="25"/>
      <c r="C142" s="17"/>
    </row>
    <row r="143" spans="1:13" x14ac:dyDescent="0.25">
      <c r="C143" s="17"/>
    </row>
    <row r="144" spans="1:13" x14ac:dyDescent="0.25">
      <c r="A144" s="30"/>
      <c r="B144" s="26"/>
      <c r="C144" s="17"/>
    </row>
    <row r="145" spans="1:3" x14ac:dyDescent="0.25">
      <c r="B145" s="25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C153" s="17"/>
    </row>
    <row r="154" spans="1:3" x14ac:dyDescent="0.25">
      <c r="A154" s="30"/>
      <c r="B154" s="26"/>
      <c r="C154" s="17"/>
    </row>
    <row r="155" spans="1:3" x14ac:dyDescent="0.25">
      <c r="B155" s="25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C176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4" fitToHeight="0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topLeftCell="A25" zoomScaleNormal="100" zoomScaleSheetLayoutView="75" workbookViewId="0">
      <selection activeCell="B3" sqref="B3"/>
    </sheetView>
  </sheetViews>
  <sheetFormatPr defaultRowHeight="13.2" x14ac:dyDescent="0.25"/>
  <cols>
    <col min="1" max="1" width="6.6640625" style="13" bestFit="1" customWidth="1"/>
    <col min="2" max="2" width="53.44140625" style="13" customWidth="1"/>
    <col min="3" max="5" width="15.5546875" style="13" customWidth="1"/>
    <col min="6" max="6" width="14.77734375" style="13" customWidth="1"/>
    <col min="7" max="7" width="1.21875" style="13" customWidth="1"/>
    <col min="8" max="9" width="15.5546875" style="13" customWidth="1"/>
    <col min="10" max="10" width="15.33203125" style="13" customWidth="1"/>
    <col min="11" max="11" width="0.6640625" style="13" customWidth="1"/>
    <col min="12" max="12" width="12.77734375" style="13" customWidth="1"/>
    <col min="13" max="13" width="12.44140625" style="13" customWidth="1"/>
    <col min="14" max="14" width="12.109375" style="13" customWidth="1"/>
    <col min="15" max="15" width="0.6640625" style="13" customWidth="1"/>
    <col min="16" max="17" width="14.5546875" style="13" customWidth="1"/>
    <col min="18" max="18" width="14.88671875" style="13" customWidth="1"/>
    <col min="19" max="19" width="15.5546875" style="13" customWidth="1"/>
    <col min="21" max="21" width="0.6640625" customWidth="1"/>
    <col min="22" max="22" width="3.44140625" customWidth="1"/>
  </cols>
  <sheetData>
    <row r="1" spans="1:26" ht="24.6" x14ac:dyDescent="0.4">
      <c r="A1" s="299" t="s">
        <v>419</v>
      </c>
      <c r="B1" s="227"/>
      <c r="C1" s="227"/>
      <c r="D1" s="227"/>
      <c r="E1" s="769"/>
      <c r="F1" s="227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/>
      <c r="M1" s="225"/>
      <c r="N1" s="225"/>
      <c r="O1" s="229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554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6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53000000</v>
      </c>
      <c r="D5" s="250">
        <f t="shared" ref="D5:E5" si="0">+D89</f>
        <v>53000000</v>
      </c>
      <c r="E5" s="250">
        <f t="shared" si="0"/>
        <v>57000000</v>
      </c>
      <c r="F5" s="250">
        <f>+F89</f>
        <v>0</v>
      </c>
      <c r="G5" s="250"/>
      <c r="H5" s="250">
        <f>+H89</f>
        <v>16779304</v>
      </c>
      <c r="I5" s="250">
        <f t="shared" ref="I5:J5" si="1">+I89</f>
        <v>37075792</v>
      </c>
      <c r="J5" s="250">
        <f t="shared" si="1"/>
        <v>0</v>
      </c>
      <c r="K5" s="89"/>
      <c r="L5" s="651">
        <f t="shared" ref="L5:N6" si="2">IF(H5&gt;0,H5/C5,0)</f>
        <v>0.31659064150943395</v>
      </c>
      <c r="M5" s="651">
        <f t="shared" si="2"/>
        <v>0.69954324528301892</v>
      </c>
      <c r="N5" s="651">
        <f t="shared" si="2"/>
        <v>0</v>
      </c>
      <c r="O5" s="89"/>
      <c r="P5" s="250">
        <f>+P89</f>
        <v>0</v>
      </c>
      <c r="Q5" s="250">
        <f>+Q89</f>
        <v>4000000</v>
      </c>
      <c r="R5" s="250">
        <f>+R89</f>
        <v>0</v>
      </c>
      <c r="S5" s="250">
        <f>+S89</f>
        <v>4000000</v>
      </c>
      <c r="T5" s="133">
        <f>IF(C5=0,0,+S5/C5)</f>
        <v>7.5471698113207544E-2</v>
      </c>
      <c r="U5" s="118"/>
      <c r="V5" s="198">
        <f t="shared" ref="V5:V7" si="3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53000000</v>
      </c>
      <c r="D6" s="252">
        <f t="shared" ref="D6:J6" si="4">+D102</f>
        <v>53000000</v>
      </c>
      <c r="E6" s="252">
        <f t="shared" si="4"/>
        <v>57000000</v>
      </c>
      <c r="F6" s="252">
        <f t="shared" si="4"/>
        <v>0</v>
      </c>
      <c r="G6" s="252"/>
      <c r="H6" s="252">
        <f t="shared" si="4"/>
        <v>20944232</v>
      </c>
      <c r="I6" s="252">
        <f t="shared" si="4"/>
        <v>39183221</v>
      </c>
      <c r="J6" s="252">
        <f t="shared" si="4"/>
        <v>0</v>
      </c>
      <c r="K6" s="67"/>
      <c r="L6" s="651">
        <f t="shared" si="2"/>
        <v>0.39517418867924531</v>
      </c>
      <c r="M6" s="651">
        <f t="shared" si="2"/>
        <v>0.73930605660377358</v>
      </c>
      <c r="N6" s="651">
        <f t="shared" si="2"/>
        <v>0</v>
      </c>
      <c r="O6" s="67"/>
      <c r="P6" s="252">
        <f>+P102</f>
        <v>0</v>
      </c>
      <c r="Q6" s="252">
        <f t="shared" ref="Q6:S6" si="5">+Q102</f>
        <v>4000000</v>
      </c>
      <c r="R6" s="252">
        <f t="shared" si="5"/>
        <v>0</v>
      </c>
      <c r="S6" s="252">
        <f t="shared" si="5"/>
        <v>4000000</v>
      </c>
      <c r="T6" s="31">
        <f>IF(C6=0,0,+S6/C6)</f>
        <v>7.5471698113207544E-2</v>
      </c>
      <c r="U6" s="118"/>
      <c r="V6" s="198">
        <f t="shared" si="3"/>
        <v>0</v>
      </c>
      <c r="W6" s="122"/>
      <c r="X6" s="122"/>
    </row>
    <row r="7" spans="1:26" ht="20.100000000000001" customHeight="1" x14ac:dyDescent="0.3">
      <c r="A7" s="251"/>
      <c r="B7" s="251" t="s">
        <v>405</v>
      </c>
      <c r="C7" s="252">
        <f>+C6-C5</f>
        <v>0</v>
      </c>
      <c r="D7" s="252">
        <f t="shared" ref="D7:H7" si="6">+D6-D5</f>
        <v>0</v>
      </c>
      <c r="E7" s="252">
        <f t="shared" si="6"/>
        <v>0</v>
      </c>
      <c r="F7" s="252">
        <f t="shared" si="6"/>
        <v>0</v>
      </c>
      <c r="G7" s="252"/>
      <c r="H7" s="252">
        <f t="shared" si="6"/>
        <v>4164928</v>
      </c>
      <c r="I7" s="252">
        <f>+I6-I5</f>
        <v>2107429</v>
      </c>
      <c r="J7" s="252">
        <f t="shared" ref="J7" si="7">+J6-J5</f>
        <v>0</v>
      </c>
      <c r="K7" s="67"/>
      <c r="L7" s="651"/>
      <c r="M7" s="651"/>
      <c r="N7" s="651"/>
      <c r="O7" s="67"/>
      <c r="P7" s="252">
        <f t="shared" ref="P7:S7" si="8">+P6-P5</f>
        <v>0</v>
      </c>
      <c r="Q7" s="252">
        <f t="shared" si="8"/>
        <v>0</v>
      </c>
      <c r="R7" s="252">
        <f t="shared" si="8"/>
        <v>0</v>
      </c>
      <c r="S7" s="252">
        <f t="shared" si="8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6" x14ac:dyDescent="0.25">
      <c r="A8" s="235"/>
      <c r="B8" s="236"/>
      <c r="C8" s="621"/>
      <c r="D8" s="622"/>
      <c r="E8" s="622"/>
      <c r="F8" s="622"/>
      <c r="G8" s="623"/>
      <c r="H8" s="623"/>
      <c r="I8" s="623"/>
      <c r="J8" s="623"/>
      <c r="K8" s="623"/>
      <c r="L8" s="137"/>
      <c r="M8" s="137"/>
      <c r="N8" s="137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17" t="s">
        <v>404</v>
      </c>
      <c r="D9" s="925"/>
      <c r="E9" s="925"/>
      <c r="F9" s="926"/>
      <c r="G9" s="154"/>
      <c r="H9" s="917" t="s">
        <v>403</v>
      </c>
      <c r="I9" s="925"/>
      <c r="J9" s="925"/>
      <c r="K9" s="925"/>
      <c r="L9" s="925"/>
      <c r="M9" s="925"/>
      <c r="N9" s="926"/>
      <c r="O9" s="154"/>
      <c r="P9" s="917" t="s">
        <v>400</v>
      </c>
      <c r="Q9" s="925"/>
      <c r="R9" s="925"/>
      <c r="S9" s="925"/>
      <c r="T9" s="926"/>
      <c r="U9" s="199"/>
      <c r="V9" s="195"/>
      <c r="W9" s="122"/>
      <c r="X9" s="122"/>
    </row>
    <row r="10" spans="1:26" x14ac:dyDescent="0.25">
      <c r="A10" s="268"/>
      <c r="B10" s="267"/>
      <c r="C10" s="233"/>
      <c r="D10" s="88"/>
      <c r="E10" s="88"/>
      <c r="F10" s="234"/>
      <c r="G10" s="134"/>
      <c r="H10" s="914" t="s">
        <v>413</v>
      </c>
      <c r="I10" s="927"/>
      <c r="J10" s="928"/>
      <c r="K10" s="134"/>
      <c r="L10" s="914" t="s">
        <v>412</v>
      </c>
      <c r="M10" s="927"/>
      <c r="N10" s="928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6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6" ht="12.75" customHeight="1" x14ac:dyDescent="0.25">
      <c r="A12" s="14"/>
      <c r="B12" s="20"/>
      <c r="C12" s="221"/>
      <c r="D12" s="221"/>
      <c r="E12" s="221"/>
      <c r="F12" s="221"/>
      <c r="G12" s="221"/>
      <c r="H12" s="221"/>
      <c r="I12" s="221"/>
      <c r="J12" s="221"/>
      <c r="K12" s="221"/>
      <c r="L12" s="136"/>
      <c r="M12" s="136"/>
      <c r="N12" s="136"/>
      <c r="O12" s="221"/>
      <c r="P12" s="221"/>
      <c r="Q12" s="221"/>
      <c r="R12" s="221"/>
      <c r="S12" s="221"/>
    </row>
    <row r="13" spans="1:26" ht="12.75" customHeight="1" x14ac:dyDescent="0.25">
      <c r="A13" s="7" t="s">
        <v>0</v>
      </c>
      <c r="B13" s="5" t="s">
        <v>3</v>
      </c>
      <c r="C13" s="216">
        <f>SUM(C14:C28)</f>
        <v>20982000</v>
      </c>
      <c r="D13" s="216">
        <f t="shared" ref="D13:J13" si="9">SUM(D14:D28)</f>
        <v>20982000</v>
      </c>
      <c r="E13" s="216">
        <f t="shared" si="9"/>
        <v>20982000</v>
      </c>
      <c r="F13" s="216">
        <f t="shared" si="9"/>
        <v>0</v>
      </c>
      <c r="G13" s="216"/>
      <c r="H13" s="216">
        <f t="shared" si="9"/>
        <v>8356256</v>
      </c>
      <c r="I13" s="216">
        <f t="shared" si="9"/>
        <v>12538644</v>
      </c>
      <c r="J13" s="216">
        <f t="shared" si="9"/>
        <v>0</v>
      </c>
      <c r="K13" s="216"/>
      <c r="L13" s="85">
        <f t="shared" ref="L13:L28" si="10">IF(H13&gt;0,H13/C13,0)</f>
        <v>0.39825831665236872</v>
      </c>
      <c r="M13" s="85">
        <f t="shared" ref="M13:M28" si="11">IF(I13&gt;0,I13/D13,0)</f>
        <v>0.59759050614812692</v>
      </c>
      <c r="N13" s="85">
        <f t="shared" ref="N13:N28" si="12">IF(J13&gt;0,J13/E13,0)</f>
        <v>0</v>
      </c>
      <c r="O13" s="216"/>
      <c r="P13" s="216">
        <f t="shared" ref="P13:P14" si="13">+(D13-C13)*P$10</f>
        <v>0</v>
      </c>
      <c r="Q13" s="216">
        <f t="shared" ref="Q13:Q14" si="14">+(E13-D13)*Q$10</f>
        <v>0</v>
      </c>
      <c r="R13" s="216">
        <f t="shared" ref="R13:R14" si="15">+(F13-E13)*R$10</f>
        <v>0</v>
      </c>
      <c r="S13" s="216">
        <f>+P13*P$10+Q13*Q$10+R13*R$10</f>
        <v>0</v>
      </c>
      <c r="T13" s="281">
        <f>IF(C13=0,0,+S13/C13)</f>
        <v>0</v>
      </c>
      <c r="U13" s="120"/>
      <c r="V13" s="195">
        <f>+S13-E13+C13</f>
        <v>0</v>
      </c>
    </row>
    <row r="14" spans="1:26" ht="12.75" customHeight="1" x14ac:dyDescent="0.25">
      <c r="A14" s="14" t="s">
        <v>1</v>
      </c>
      <c r="B14" s="20"/>
      <c r="C14" s="221"/>
      <c r="D14" s="221"/>
      <c r="E14" s="221"/>
      <c r="F14" s="221"/>
      <c r="G14" s="221"/>
      <c r="H14" s="221"/>
      <c r="I14" s="221"/>
      <c r="J14" s="221"/>
      <c r="K14" s="221"/>
      <c r="L14" s="136">
        <f t="shared" si="10"/>
        <v>0</v>
      </c>
      <c r="M14" s="136">
        <f t="shared" si="11"/>
        <v>0</v>
      </c>
      <c r="N14" s="136">
        <f t="shared" si="12"/>
        <v>0</v>
      </c>
      <c r="O14" s="221"/>
      <c r="P14" s="302">
        <f t="shared" si="13"/>
        <v>0</v>
      </c>
      <c r="Q14" s="302">
        <f t="shared" si="14"/>
        <v>0</v>
      </c>
      <c r="R14" s="302">
        <f t="shared" si="15"/>
        <v>0</v>
      </c>
      <c r="S14" s="302">
        <f t="shared" ref="S14:S77" si="16">+P14*P$10+Q14*Q$10+R14*R$10</f>
        <v>0</v>
      </c>
      <c r="T14" s="281">
        <f>IF(C14=0,0,+S14/C14)</f>
        <v>0</v>
      </c>
      <c r="U14" s="120"/>
      <c r="V14" s="195">
        <f>+S14-E14+C14</f>
        <v>0</v>
      </c>
    </row>
    <row r="15" spans="1:26" ht="12.75" customHeight="1" x14ac:dyDescent="0.25">
      <c r="A15" s="14" t="s">
        <v>2</v>
      </c>
      <c r="B15" s="482" t="s">
        <v>357</v>
      </c>
      <c r="C15" s="221">
        <v>20500000</v>
      </c>
      <c r="D15" s="221">
        <v>20249121</v>
      </c>
      <c r="E15" s="221">
        <v>19849121</v>
      </c>
      <c r="F15" s="221"/>
      <c r="G15" s="221"/>
      <c r="H15" s="221">
        <v>7781482</v>
      </c>
      <c r="I15" s="221">
        <v>11653141</v>
      </c>
      <c r="J15" s="221"/>
      <c r="K15" s="221"/>
      <c r="L15" s="137">
        <f t="shared" si="10"/>
        <v>0.37958448780487802</v>
      </c>
      <c r="M15" s="137">
        <f t="shared" si="11"/>
        <v>0.57548873356033581</v>
      </c>
      <c r="N15" s="137">
        <f t="shared" si="12"/>
        <v>0</v>
      </c>
      <c r="O15" s="221"/>
      <c r="P15" s="302">
        <f t="shared" ref="P15:P23" si="17">+(D15-C15)*P$10</f>
        <v>-250879</v>
      </c>
      <c r="Q15" s="302">
        <f t="shared" ref="Q15:Q23" si="18">+(E15-D15)*Q$10</f>
        <v>-400000</v>
      </c>
      <c r="R15" s="302">
        <f t="shared" ref="R15:R23" si="19">+(F15-E15)*R$10</f>
        <v>0</v>
      </c>
      <c r="S15" s="302">
        <f t="shared" si="16"/>
        <v>-650879</v>
      </c>
      <c r="T15" s="281">
        <f t="shared" ref="T15:T23" si="20">IF(C15=0,0,+S15/C15)</f>
        <v>-3.1750195121951222E-2</v>
      </c>
      <c r="U15" s="120"/>
      <c r="V15" s="195">
        <f t="shared" ref="V15:V23" si="21">+S15-E15+C15</f>
        <v>0</v>
      </c>
    </row>
    <row r="16" spans="1:26" ht="27.6" customHeight="1" x14ac:dyDescent="0.25">
      <c r="A16" s="482" t="s">
        <v>579</v>
      </c>
      <c r="B16" s="20" t="s">
        <v>4</v>
      </c>
      <c r="C16" s="221"/>
      <c r="D16" s="221">
        <v>160879</v>
      </c>
      <c r="E16" s="221">
        <v>160879</v>
      </c>
      <c r="F16" s="221"/>
      <c r="G16" s="221"/>
      <c r="H16" s="221">
        <v>145879</v>
      </c>
      <c r="I16" s="221">
        <v>145879</v>
      </c>
      <c r="J16" s="221"/>
      <c r="K16" s="221"/>
      <c r="L16" s="136" t="e">
        <f t="shared" si="10"/>
        <v>#DIV/0!</v>
      </c>
      <c r="M16" s="136">
        <f t="shared" si="11"/>
        <v>0.90676222502626203</v>
      </c>
      <c r="N16" s="136">
        <f t="shared" si="12"/>
        <v>0</v>
      </c>
      <c r="O16" s="221"/>
      <c r="P16" s="302">
        <f t="shared" si="17"/>
        <v>160879</v>
      </c>
      <c r="Q16" s="302">
        <f t="shared" si="18"/>
        <v>0</v>
      </c>
      <c r="R16" s="302">
        <f t="shared" si="19"/>
        <v>0</v>
      </c>
      <c r="S16" s="302">
        <f t="shared" si="16"/>
        <v>160879</v>
      </c>
      <c r="T16" s="281">
        <f t="shared" si="20"/>
        <v>0</v>
      </c>
      <c r="U16" s="120"/>
      <c r="V16" s="195">
        <f t="shared" si="21"/>
        <v>0</v>
      </c>
    </row>
    <row r="17" spans="1:22" ht="12.75" customHeight="1" x14ac:dyDescent="0.25">
      <c r="A17" s="14" t="s">
        <v>13</v>
      </c>
      <c r="B17" s="20" t="s">
        <v>5</v>
      </c>
      <c r="C17" s="221"/>
      <c r="D17" s="221"/>
      <c r="E17" s="221"/>
      <c r="F17" s="221"/>
      <c r="G17" s="221"/>
      <c r="H17" s="221"/>
      <c r="I17" s="221"/>
      <c r="J17" s="221"/>
      <c r="K17" s="221"/>
      <c r="L17" s="136">
        <f t="shared" si="10"/>
        <v>0</v>
      </c>
      <c r="M17" s="136">
        <f t="shared" si="11"/>
        <v>0</v>
      </c>
      <c r="N17" s="136">
        <f t="shared" si="12"/>
        <v>0</v>
      </c>
      <c r="O17" s="221"/>
      <c r="P17" s="302">
        <f t="shared" si="17"/>
        <v>0</v>
      </c>
      <c r="Q17" s="302">
        <f t="shared" si="18"/>
        <v>0</v>
      </c>
      <c r="R17" s="302">
        <f t="shared" si="19"/>
        <v>0</v>
      </c>
      <c r="S17" s="302">
        <f t="shared" si="16"/>
        <v>0</v>
      </c>
      <c r="T17" s="281">
        <f t="shared" si="20"/>
        <v>0</v>
      </c>
      <c r="U17" s="120"/>
      <c r="V17" s="195">
        <f t="shared" si="21"/>
        <v>0</v>
      </c>
    </row>
    <row r="18" spans="1:22" ht="12.75" customHeight="1" x14ac:dyDescent="0.25">
      <c r="A18" s="529" t="s">
        <v>380</v>
      </c>
      <c r="B18" s="20" t="s">
        <v>6</v>
      </c>
      <c r="C18" s="221"/>
      <c r="D18" s="221"/>
      <c r="E18" s="221"/>
      <c r="F18" s="221"/>
      <c r="G18" s="221"/>
      <c r="H18" s="221"/>
      <c r="I18" s="221"/>
      <c r="J18" s="221"/>
      <c r="K18" s="221"/>
      <c r="L18" s="136">
        <f t="shared" si="10"/>
        <v>0</v>
      </c>
      <c r="M18" s="136">
        <f t="shared" si="11"/>
        <v>0</v>
      </c>
      <c r="N18" s="136">
        <f t="shared" si="12"/>
        <v>0</v>
      </c>
      <c r="O18" s="221"/>
      <c r="P18" s="302">
        <f t="shared" si="17"/>
        <v>0</v>
      </c>
      <c r="Q18" s="302">
        <f t="shared" si="18"/>
        <v>0</v>
      </c>
      <c r="R18" s="302">
        <f t="shared" si="19"/>
        <v>0</v>
      </c>
      <c r="S18" s="302">
        <f t="shared" si="16"/>
        <v>0</v>
      </c>
      <c r="T18" s="281">
        <f t="shared" si="20"/>
        <v>0</v>
      </c>
      <c r="U18" s="120"/>
      <c r="V18" s="195">
        <f t="shared" si="21"/>
        <v>0</v>
      </c>
    </row>
    <row r="19" spans="1:22" ht="12.75" customHeight="1" x14ac:dyDescent="0.25">
      <c r="A19" s="14" t="s">
        <v>14</v>
      </c>
      <c r="B19" s="20" t="s">
        <v>7</v>
      </c>
      <c r="C19" s="530">
        <v>0</v>
      </c>
      <c r="D19" s="221">
        <v>90000</v>
      </c>
      <c r="E19" s="221">
        <v>90000</v>
      </c>
      <c r="F19" s="221"/>
      <c r="G19" s="221"/>
      <c r="H19" s="221">
        <v>40000</v>
      </c>
      <c r="I19" s="221">
        <v>40000</v>
      </c>
      <c r="J19" s="221"/>
      <c r="K19" s="221"/>
      <c r="L19" s="137" t="e">
        <f t="shared" si="10"/>
        <v>#DIV/0!</v>
      </c>
      <c r="M19" s="137">
        <f t="shared" si="11"/>
        <v>0.44444444444444442</v>
      </c>
      <c r="N19" s="137">
        <f t="shared" si="12"/>
        <v>0</v>
      </c>
      <c r="O19" s="221"/>
      <c r="P19" s="302">
        <f t="shared" si="17"/>
        <v>90000</v>
      </c>
      <c r="Q19" s="302">
        <f t="shared" si="18"/>
        <v>0</v>
      </c>
      <c r="R19" s="302">
        <f t="shared" si="19"/>
        <v>0</v>
      </c>
      <c r="S19" s="302">
        <f t="shared" si="16"/>
        <v>90000</v>
      </c>
      <c r="T19" s="281">
        <f t="shared" si="20"/>
        <v>0</v>
      </c>
      <c r="U19" s="120"/>
      <c r="V19" s="195">
        <f t="shared" si="21"/>
        <v>0</v>
      </c>
    </row>
    <row r="20" spans="1:22" ht="12.75" customHeight="1" x14ac:dyDescent="0.25">
      <c r="A20" s="14" t="s">
        <v>15</v>
      </c>
      <c r="B20" s="20" t="s">
        <v>8</v>
      </c>
      <c r="C20" s="221"/>
      <c r="D20" s="221"/>
      <c r="E20" s="221"/>
      <c r="F20" s="221"/>
      <c r="G20" s="221"/>
      <c r="H20" s="221"/>
      <c r="I20" s="221"/>
      <c r="J20" s="221"/>
      <c r="K20" s="221"/>
      <c r="L20" s="136">
        <f t="shared" si="10"/>
        <v>0</v>
      </c>
      <c r="M20" s="136">
        <f t="shared" si="11"/>
        <v>0</v>
      </c>
      <c r="N20" s="136">
        <f t="shared" si="12"/>
        <v>0</v>
      </c>
      <c r="O20" s="221"/>
      <c r="P20" s="302">
        <f t="shared" si="17"/>
        <v>0</v>
      </c>
      <c r="Q20" s="302">
        <f t="shared" si="18"/>
        <v>0</v>
      </c>
      <c r="R20" s="302">
        <f t="shared" si="19"/>
        <v>0</v>
      </c>
      <c r="S20" s="302">
        <f t="shared" si="16"/>
        <v>0</v>
      </c>
      <c r="T20" s="281">
        <f t="shared" si="20"/>
        <v>0</v>
      </c>
      <c r="U20" s="120"/>
      <c r="V20" s="195">
        <f t="shared" si="21"/>
        <v>0</v>
      </c>
    </row>
    <row r="21" spans="1:22" ht="12.75" customHeight="1" x14ac:dyDescent="0.25">
      <c r="A21" s="14" t="s">
        <v>16</v>
      </c>
      <c r="B21" s="20" t="s">
        <v>9</v>
      </c>
      <c r="C21" s="221">
        <v>30000</v>
      </c>
      <c r="D21" s="221">
        <v>30000</v>
      </c>
      <c r="E21" s="221">
        <v>30000</v>
      </c>
      <c r="F21" s="221"/>
      <c r="G21" s="221"/>
      <c r="H21" s="221"/>
      <c r="I21" s="221"/>
      <c r="J21" s="221"/>
      <c r="K21" s="221"/>
      <c r="L21" s="137">
        <f t="shared" si="10"/>
        <v>0</v>
      </c>
      <c r="M21" s="137">
        <f t="shared" si="11"/>
        <v>0</v>
      </c>
      <c r="N21" s="137">
        <f t="shared" si="12"/>
        <v>0</v>
      </c>
      <c r="O21" s="221"/>
      <c r="P21" s="302">
        <f t="shared" si="17"/>
        <v>0</v>
      </c>
      <c r="Q21" s="302">
        <f t="shared" si="18"/>
        <v>0</v>
      </c>
      <c r="R21" s="302">
        <f t="shared" si="19"/>
        <v>0</v>
      </c>
      <c r="S21" s="302">
        <f t="shared" si="16"/>
        <v>0</v>
      </c>
      <c r="T21" s="281">
        <f t="shared" si="20"/>
        <v>0</v>
      </c>
      <c r="U21" s="120"/>
      <c r="V21" s="195">
        <f t="shared" si="21"/>
        <v>0</v>
      </c>
    </row>
    <row r="22" spans="1:22" ht="12.75" customHeight="1" x14ac:dyDescent="0.25">
      <c r="A22" s="14" t="s">
        <v>17</v>
      </c>
      <c r="B22" s="20" t="s">
        <v>10</v>
      </c>
      <c r="C22" s="221"/>
      <c r="D22" s="221"/>
      <c r="E22" s="221"/>
      <c r="F22" s="221"/>
      <c r="G22" s="221"/>
      <c r="H22" s="221"/>
      <c r="I22" s="221"/>
      <c r="J22" s="221"/>
      <c r="K22" s="221"/>
      <c r="L22" s="136">
        <f t="shared" si="10"/>
        <v>0</v>
      </c>
      <c r="M22" s="136">
        <f t="shared" si="11"/>
        <v>0</v>
      </c>
      <c r="N22" s="136">
        <f t="shared" si="12"/>
        <v>0</v>
      </c>
      <c r="O22" s="221"/>
      <c r="P22" s="302">
        <f t="shared" si="17"/>
        <v>0</v>
      </c>
      <c r="Q22" s="302">
        <f t="shared" si="18"/>
        <v>0</v>
      </c>
      <c r="R22" s="302">
        <f t="shared" si="19"/>
        <v>0</v>
      </c>
      <c r="S22" s="302">
        <f t="shared" si="16"/>
        <v>0</v>
      </c>
      <c r="T22" s="281">
        <f t="shared" si="20"/>
        <v>0</v>
      </c>
      <c r="U22" s="120"/>
      <c r="V22" s="195">
        <f t="shared" si="21"/>
        <v>0</v>
      </c>
    </row>
    <row r="23" spans="1:22" ht="12.75" customHeight="1" x14ac:dyDescent="0.25">
      <c r="A23" s="14" t="s">
        <v>18</v>
      </c>
      <c r="B23" s="20" t="s">
        <v>11</v>
      </c>
      <c r="C23" s="221">
        <v>452000</v>
      </c>
      <c r="D23" s="221">
        <v>452000</v>
      </c>
      <c r="E23" s="221">
        <v>852000</v>
      </c>
      <c r="F23" s="221"/>
      <c r="G23" s="221"/>
      <c r="H23" s="221">
        <v>388895</v>
      </c>
      <c r="I23" s="221">
        <v>699624</v>
      </c>
      <c r="J23" s="221"/>
      <c r="K23" s="221"/>
      <c r="L23" s="137">
        <f t="shared" si="10"/>
        <v>0.86038716814159288</v>
      </c>
      <c r="M23" s="137">
        <f t="shared" si="11"/>
        <v>1.5478407079646017</v>
      </c>
      <c r="N23" s="137">
        <f t="shared" si="12"/>
        <v>0</v>
      </c>
      <c r="O23" s="221"/>
      <c r="P23" s="302">
        <f t="shared" si="17"/>
        <v>0</v>
      </c>
      <c r="Q23" s="302">
        <f t="shared" si="18"/>
        <v>400000</v>
      </c>
      <c r="R23" s="302">
        <f t="shared" si="19"/>
        <v>0</v>
      </c>
      <c r="S23" s="302">
        <f t="shared" si="16"/>
        <v>400000</v>
      </c>
      <c r="T23" s="281">
        <f t="shared" si="20"/>
        <v>0.88495575221238942</v>
      </c>
      <c r="U23" s="120"/>
      <c r="V23" s="195">
        <f t="shared" si="21"/>
        <v>0</v>
      </c>
    </row>
    <row r="24" spans="1:22" ht="12.75" customHeight="1" x14ac:dyDescent="0.25">
      <c r="A24" s="14" t="s">
        <v>19</v>
      </c>
      <c r="B24" s="20"/>
      <c r="C24" s="221"/>
      <c r="D24" s="221"/>
      <c r="E24" s="221"/>
      <c r="F24" s="221"/>
      <c r="G24" s="221"/>
      <c r="H24" s="221"/>
      <c r="I24" s="221"/>
      <c r="J24" s="221"/>
      <c r="K24" s="221"/>
      <c r="L24" s="136">
        <f t="shared" si="10"/>
        <v>0</v>
      </c>
      <c r="M24" s="136">
        <f t="shared" si="11"/>
        <v>0</v>
      </c>
      <c r="N24" s="136">
        <f t="shared" si="12"/>
        <v>0</v>
      </c>
      <c r="O24" s="221"/>
      <c r="P24" s="302">
        <f t="shared" ref="P24:P67" si="22">+(D24-C24)*P$10</f>
        <v>0</v>
      </c>
      <c r="Q24" s="302">
        <f t="shared" ref="Q24:Q67" si="23">+(E24-D24)*Q$10</f>
        <v>0</v>
      </c>
      <c r="R24" s="302">
        <f t="shared" ref="R24:R67" si="24">+(F24-E24)*R$10</f>
        <v>0</v>
      </c>
      <c r="S24" s="302">
        <f t="shared" si="16"/>
        <v>0</v>
      </c>
      <c r="T24" s="281">
        <f t="shared" ref="T24:T47" si="25">IF(C24=0,0,+S24/C24)</f>
        <v>0</v>
      </c>
      <c r="U24" s="120"/>
      <c r="V24" s="195">
        <f t="shared" ref="V24:V47" si="26">+S24-E24+C24</f>
        <v>0</v>
      </c>
    </row>
    <row r="25" spans="1:22" ht="12.75" customHeight="1" x14ac:dyDescent="0.25">
      <c r="A25" s="14" t="s">
        <v>20</v>
      </c>
      <c r="B25" s="482" t="s">
        <v>461</v>
      </c>
      <c r="C25" s="221"/>
      <c r="D25" s="221"/>
      <c r="E25" s="221"/>
      <c r="F25" s="221"/>
      <c r="G25" s="221"/>
      <c r="H25" s="221"/>
      <c r="I25" s="221"/>
      <c r="J25" s="221"/>
      <c r="K25" s="221"/>
      <c r="L25" s="136">
        <f t="shared" si="10"/>
        <v>0</v>
      </c>
      <c r="M25" s="136">
        <f t="shared" si="11"/>
        <v>0</v>
      </c>
      <c r="N25" s="136">
        <f t="shared" si="12"/>
        <v>0</v>
      </c>
      <c r="O25" s="221"/>
      <c r="P25" s="302">
        <f t="shared" si="22"/>
        <v>0</v>
      </c>
      <c r="Q25" s="302">
        <f t="shared" si="23"/>
        <v>0</v>
      </c>
      <c r="R25" s="302">
        <f t="shared" si="24"/>
        <v>0</v>
      </c>
      <c r="S25" s="302">
        <f t="shared" si="16"/>
        <v>0</v>
      </c>
      <c r="T25" s="281">
        <f t="shared" si="25"/>
        <v>0</v>
      </c>
      <c r="U25" s="120"/>
      <c r="V25" s="195">
        <f t="shared" si="26"/>
        <v>0</v>
      </c>
    </row>
    <row r="26" spans="1:22" ht="12.75" customHeight="1" x14ac:dyDescent="0.25">
      <c r="A26" s="14" t="s">
        <v>22</v>
      </c>
      <c r="B26" s="20" t="s">
        <v>23</v>
      </c>
      <c r="C26" s="221"/>
      <c r="D26" s="221"/>
      <c r="E26" s="221"/>
      <c r="F26" s="221"/>
      <c r="G26" s="221"/>
      <c r="H26" s="221"/>
      <c r="I26" s="221"/>
      <c r="J26" s="221"/>
      <c r="K26" s="221"/>
      <c r="L26" s="136">
        <f t="shared" si="10"/>
        <v>0</v>
      </c>
      <c r="M26" s="136">
        <f t="shared" si="11"/>
        <v>0</v>
      </c>
      <c r="N26" s="136">
        <f t="shared" si="12"/>
        <v>0</v>
      </c>
      <c r="O26" s="221"/>
      <c r="P26" s="302">
        <f t="shared" si="22"/>
        <v>0</v>
      </c>
      <c r="Q26" s="302">
        <f t="shared" si="23"/>
        <v>0</v>
      </c>
      <c r="R26" s="302">
        <f t="shared" si="24"/>
        <v>0</v>
      </c>
      <c r="S26" s="302">
        <f t="shared" si="16"/>
        <v>0</v>
      </c>
      <c r="T26" s="281">
        <f t="shared" si="25"/>
        <v>0</v>
      </c>
      <c r="U26" s="120"/>
      <c r="V26" s="195">
        <f t="shared" si="26"/>
        <v>0</v>
      </c>
    </row>
    <row r="27" spans="1:22" ht="12.75" customHeight="1" x14ac:dyDescent="0.25">
      <c r="A27" s="14" t="s">
        <v>24</v>
      </c>
      <c r="B27" s="20" t="s">
        <v>25</v>
      </c>
      <c r="C27" s="221"/>
      <c r="D27" s="221"/>
      <c r="E27" s="221"/>
      <c r="F27" s="221"/>
      <c r="G27" s="221"/>
      <c r="H27" s="221"/>
      <c r="I27" s="221"/>
      <c r="J27" s="221"/>
      <c r="K27" s="221"/>
      <c r="L27" s="136">
        <f t="shared" si="10"/>
        <v>0</v>
      </c>
      <c r="M27" s="136">
        <f t="shared" si="11"/>
        <v>0</v>
      </c>
      <c r="N27" s="136">
        <f t="shared" si="12"/>
        <v>0</v>
      </c>
      <c r="O27" s="221"/>
      <c r="P27" s="302">
        <f t="shared" si="22"/>
        <v>0</v>
      </c>
      <c r="Q27" s="302">
        <f t="shared" si="23"/>
        <v>0</v>
      </c>
      <c r="R27" s="302">
        <f t="shared" si="24"/>
        <v>0</v>
      </c>
      <c r="S27" s="302">
        <f t="shared" si="16"/>
        <v>0</v>
      </c>
      <c r="T27" s="281">
        <f t="shared" si="25"/>
        <v>0</v>
      </c>
      <c r="U27" s="120"/>
      <c r="V27" s="195">
        <f t="shared" si="26"/>
        <v>0</v>
      </c>
    </row>
    <row r="28" spans="1:22" ht="12.75" customHeight="1" x14ac:dyDescent="0.25">
      <c r="A28" s="14"/>
      <c r="B28" s="14"/>
      <c r="C28" s="221"/>
      <c r="D28" s="221"/>
      <c r="E28" s="221"/>
      <c r="F28" s="221"/>
      <c r="G28" s="221"/>
      <c r="H28" s="221"/>
      <c r="I28" s="221"/>
      <c r="J28" s="221"/>
      <c r="K28" s="221"/>
      <c r="L28" s="152">
        <f t="shared" si="10"/>
        <v>0</v>
      </c>
      <c r="M28" s="152">
        <f t="shared" si="11"/>
        <v>0</v>
      </c>
      <c r="N28" s="152">
        <f t="shared" si="12"/>
        <v>0</v>
      </c>
      <c r="O28" s="221"/>
      <c r="P28" s="302">
        <f t="shared" si="22"/>
        <v>0</v>
      </c>
      <c r="Q28" s="302">
        <f t="shared" si="23"/>
        <v>0</v>
      </c>
      <c r="R28" s="302">
        <f t="shared" si="24"/>
        <v>0</v>
      </c>
      <c r="S28" s="302">
        <f t="shared" si="16"/>
        <v>0</v>
      </c>
      <c r="T28" s="281">
        <f t="shared" si="25"/>
        <v>0</v>
      </c>
      <c r="U28" s="120"/>
      <c r="V28" s="195">
        <f t="shared" si="26"/>
        <v>0</v>
      </c>
    </row>
    <row r="29" spans="1:22" ht="12.75" customHeight="1" x14ac:dyDescent="0.25">
      <c r="A29" s="7" t="s">
        <v>26</v>
      </c>
      <c r="B29" s="5" t="s">
        <v>27</v>
      </c>
      <c r="C29" s="216">
        <f>SUM(C30:C31)</f>
        <v>2800000</v>
      </c>
      <c r="D29" s="216">
        <f t="shared" ref="D29:J29" si="27">SUM(D30:D31)</f>
        <v>2800000</v>
      </c>
      <c r="E29" s="216">
        <f t="shared" si="27"/>
        <v>2800000</v>
      </c>
      <c r="F29" s="216">
        <f t="shared" si="27"/>
        <v>0</v>
      </c>
      <c r="G29" s="216"/>
      <c r="H29" s="216">
        <f t="shared" si="27"/>
        <v>1183516</v>
      </c>
      <c r="I29" s="216">
        <f t="shared" si="27"/>
        <v>1773121</v>
      </c>
      <c r="J29" s="216">
        <f t="shared" si="27"/>
        <v>0</v>
      </c>
      <c r="K29" s="216"/>
      <c r="L29" s="85">
        <f t="shared" ref="L29:L30" si="28">IF(H29&gt;0,H29/C29,0)</f>
        <v>0.42268428571428573</v>
      </c>
      <c r="M29" s="85">
        <f t="shared" ref="M29:M30" si="29">IF(I29&gt;0,I29/D29,0)</f>
        <v>0.63325750000000003</v>
      </c>
      <c r="N29" s="85">
        <f t="shared" ref="N29:N30" si="30">IF(J29&gt;0,J29/E29,0)</f>
        <v>0</v>
      </c>
      <c r="O29" s="216"/>
      <c r="P29" s="216">
        <f t="shared" ref="P29:P30" si="31">+(D29-C29)*P$10</f>
        <v>0</v>
      </c>
      <c r="Q29" s="216">
        <f t="shared" ref="Q29:Q30" si="32">+(E29-D29)*Q$10</f>
        <v>0</v>
      </c>
      <c r="R29" s="216">
        <f t="shared" ref="R29:R30" si="33">+(F29-E29)*R$10</f>
        <v>0</v>
      </c>
      <c r="S29" s="216">
        <f t="shared" si="16"/>
        <v>0</v>
      </c>
      <c r="T29" s="281">
        <f t="shared" si="25"/>
        <v>0</v>
      </c>
      <c r="U29" s="120"/>
      <c r="V29" s="195">
        <f t="shared" si="26"/>
        <v>0</v>
      </c>
    </row>
    <row r="30" spans="1:22" ht="12.75" customHeight="1" x14ac:dyDescent="0.25">
      <c r="A30" s="14"/>
      <c r="B30" s="20" t="s">
        <v>28</v>
      </c>
      <c r="C30" s="221">
        <f>2800000</f>
        <v>2800000</v>
      </c>
      <c r="D30" s="221">
        <v>2800000</v>
      </c>
      <c r="E30" s="221">
        <v>2800000</v>
      </c>
      <c r="F30" s="221"/>
      <c r="G30" s="221"/>
      <c r="H30" s="221">
        <v>1183516</v>
      </c>
      <c r="I30" s="221">
        <v>1773121</v>
      </c>
      <c r="J30" s="221"/>
      <c r="K30" s="221"/>
      <c r="L30" s="137">
        <f t="shared" si="28"/>
        <v>0.42268428571428573</v>
      </c>
      <c r="M30" s="137">
        <f t="shared" si="29"/>
        <v>0.63325750000000003</v>
      </c>
      <c r="N30" s="137">
        <f t="shared" si="30"/>
        <v>0</v>
      </c>
      <c r="O30" s="221"/>
      <c r="P30" s="302">
        <f t="shared" si="31"/>
        <v>0</v>
      </c>
      <c r="Q30" s="302">
        <f t="shared" si="32"/>
        <v>0</v>
      </c>
      <c r="R30" s="302">
        <f t="shared" si="33"/>
        <v>0</v>
      </c>
      <c r="S30" s="302">
        <f t="shared" si="16"/>
        <v>0</v>
      </c>
      <c r="T30" s="281">
        <f t="shared" si="25"/>
        <v>0</v>
      </c>
      <c r="U30" s="120"/>
      <c r="V30" s="195">
        <f t="shared" si="26"/>
        <v>0</v>
      </c>
    </row>
    <row r="31" spans="1:22" ht="12.75" customHeight="1" x14ac:dyDescent="0.25">
      <c r="A31" s="14"/>
      <c r="B31" s="14"/>
      <c r="C31" s="221"/>
      <c r="D31" s="221"/>
      <c r="E31" s="221"/>
      <c r="F31" s="221"/>
      <c r="G31" s="221"/>
      <c r="H31" s="221"/>
      <c r="I31" s="221"/>
      <c r="J31" s="221"/>
      <c r="K31" s="221"/>
      <c r="L31" s="152"/>
      <c r="M31" s="152"/>
      <c r="N31" s="152"/>
      <c r="O31" s="221"/>
      <c r="P31" s="302">
        <f t="shared" si="22"/>
        <v>0</v>
      </c>
      <c r="Q31" s="302">
        <f t="shared" si="23"/>
        <v>0</v>
      </c>
      <c r="R31" s="302">
        <f t="shared" si="24"/>
        <v>0</v>
      </c>
      <c r="S31" s="302">
        <f t="shared" si="16"/>
        <v>0</v>
      </c>
      <c r="T31" s="281">
        <f t="shared" si="25"/>
        <v>0</v>
      </c>
      <c r="U31" s="120"/>
      <c r="V31" s="195">
        <f t="shared" si="26"/>
        <v>0</v>
      </c>
    </row>
    <row r="32" spans="1:22" ht="12.75" customHeight="1" x14ac:dyDescent="0.25">
      <c r="A32" s="7" t="s">
        <v>29</v>
      </c>
      <c r="B32" s="5" t="s">
        <v>30</v>
      </c>
      <c r="C32" s="216">
        <f>+C33+C48+C41+C66+C71</f>
        <v>18618000</v>
      </c>
      <c r="D32" s="216">
        <f>+D33+D48+D41+D66+D71</f>
        <v>18017555</v>
      </c>
      <c r="E32" s="216">
        <f>+E33+E41+E48+E66+E71</f>
        <v>31275555</v>
      </c>
      <c r="F32" s="216">
        <f t="shared" ref="F32:J32" si="34">+F33+F48+F66+F71</f>
        <v>0</v>
      </c>
      <c r="G32" s="216"/>
      <c r="H32" s="216">
        <f t="shared" si="34"/>
        <v>6515355</v>
      </c>
      <c r="I32" s="216">
        <f>+I33+I41+I48+I66+I71</f>
        <v>21064460</v>
      </c>
      <c r="J32" s="216">
        <f t="shared" si="34"/>
        <v>0</v>
      </c>
      <c r="K32" s="216"/>
      <c r="L32" s="85">
        <f t="shared" ref="L32:L45" si="35">IF(H32&gt;0,H32/C32,0)</f>
        <v>0.34994924266838545</v>
      </c>
      <c r="M32" s="85">
        <f t="shared" ref="M32:M45" si="36">IF(I32&gt;0,I32/D32,0)</f>
        <v>1.1691075731418608</v>
      </c>
      <c r="N32" s="85">
        <f t="shared" ref="N32:N45" si="37">IF(J32&gt;0,J32/E32,0)</f>
        <v>0</v>
      </c>
      <c r="O32" s="216"/>
      <c r="P32" s="216">
        <f t="shared" ref="P32:P48" si="38">+(D32-C32)*P$10</f>
        <v>-600445</v>
      </c>
      <c r="Q32" s="216">
        <f t="shared" ref="Q32:Q48" si="39">+(E32-D32)*Q$10</f>
        <v>13258000</v>
      </c>
      <c r="R32" s="216">
        <f t="shared" ref="R32:R48" si="40">+(F32-E32)*R$10</f>
        <v>0</v>
      </c>
      <c r="S32" s="216">
        <f t="shared" si="16"/>
        <v>12657555</v>
      </c>
      <c r="T32" s="281">
        <f t="shared" si="25"/>
        <v>0.67985578472446018</v>
      </c>
      <c r="U32" s="120"/>
      <c r="V32" s="195">
        <f t="shared" si="26"/>
        <v>0</v>
      </c>
    </row>
    <row r="33" spans="1:22" ht="12.75" customHeight="1" x14ac:dyDescent="0.25">
      <c r="A33" s="38" t="s">
        <v>31</v>
      </c>
      <c r="B33" s="39" t="s">
        <v>32</v>
      </c>
      <c r="C33" s="278">
        <f>SUM(C34:C40)</f>
        <v>2588000</v>
      </c>
      <c r="D33" s="278">
        <f t="shared" ref="D33:J33" si="41">SUM(D34:D40)</f>
        <v>2588000</v>
      </c>
      <c r="E33" s="278">
        <f t="shared" si="41"/>
        <v>6241340</v>
      </c>
      <c r="F33" s="278">
        <f t="shared" si="41"/>
        <v>0</v>
      </c>
      <c r="G33" s="278"/>
      <c r="H33" s="278">
        <f t="shared" si="41"/>
        <v>1241223</v>
      </c>
      <c r="I33" s="278">
        <f t="shared" si="41"/>
        <v>2652560</v>
      </c>
      <c r="J33" s="278">
        <f t="shared" si="41"/>
        <v>0</v>
      </c>
      <c r="K33" s="221"/>
      <c r="L33" s="152">
        <f t="shared" si="35"/>
        <v>0.47960703245749614</v>
      </c>
      <c r="M33" s="152">
        <f t="shared" si="36"/>
        <v>1.0249459041731066</v>
      </c>
      <c r="N33" s="152">
        <f t="shared" si="37"/>
        <v>0</v>
      </c>
      <c r="O33" s="221"/>
      <c r="P33" s="221">
        <f t="shared" si="38"/>
        <v>0</v>
      </c>
      <c r="Q33" s="221">
        <f t="shared" si="39"/>
        <v>3653340</v>
      </c>
      <c r="R33" s="221">
        <f t="shared" si="40"/>
        <v>0</v>
      </c>
      <c r="S33" s="221">
        <f t="shared" si="16"/>
        <v>3653340</v>
      </c>
      <c r="T33" s="281">
        <f t="shared" si="25"/>
        <v>1.4116460587326121</v>
      </c>
      <c r="U33" s="120"/>
      <c r="V33" s="195">
        <f t="shared" si="26"/>
        <v>0</v>
      </c>
    </row>
    <row r="34" spans="1:22" ht="12.75" customHeight="1" x14ac:dyDescent="0.25">
      <c r="A34" s="14" t="s">
        <v>33</v>
      </c>
      <c r="B34" s="20" t="s">
        <v>35</v>
      </c>
      <c r="C34" s="221">
        <v>1000000</v>
      </c>
      <c r="D34" s="221">
        <v>1000000</v>
      </c>
      <c r="E34" s="221">
        <v>975540</v>
      </c>
      <c r="F34" s="221"/>
      <c r="G34" s="221"/>
      <c r="H34" s="221">
        <v>185289</v>
      </c>
      <c r="I34" s="221">
        <v>571505</v>
      </c>
      <c r="J34" s="221"/>
      <c r="K34" s="221"/>
      <c r="L34" s="137">
        <f t="shared" si="35"/>
        <v>0.18528900000000001</v>
      </c>
      <c r="M34" s="137">
        <f t="shared" si="36"/>
        <v>0.57150500000000004</v>
      </c>
      <c r="N34" s="137">
        <f t="shared" si="37"/>
        <v>0</v>
      </c>
      <c r="O34" s="221"/>
      <c r="P34" s="302">
        <f t="shared" si="38"/>
        <v>0</v>
      </c>
      <c r="Q34" s="302">
        <f t="shared" si="39"/>
        <v>-24460</v>
      </c>
      <c r="R34" s="302">
        <f t="shared" si="40"/>
        <v>0</v>
      </c>
      <c r="S34" s="302">
        <f t="shared" si="16"/>
        <v>-24460</v>
      </c>
      <c r="T34" s="281">
        <f t="shared" si="25"/>
        <v>-2.4459999999999999E-2</v>
      </c>
      <c r="U34" s="120"/>
      <c r="V34" s="195">
        <f t="shared" si="26"/>
        <v>0</v>
      </c>
    </row>
    <row r="35" spans="1:22" ht="15.75" customHeight="1" x14ac:dyDescent="0.25">
      <c r="A35" s="14"/>
      <c r="B35" s="20" t="s">
        <v>89</v>
      </c>
      <c r="C35" s="221"/>
      <c r="D35" s="221"/>
      <c r="E35" s="221"/>
      <c r="F35" s="221"/>
      <c r="G35" s="221"/>
      <c r="H35" s="221"/>
      <c r="I35" s="221"/>
      <c r="J35" s="221"/>
      <c r="K35" s="221"/>
      <c r="L35" s="137">
        <f t="shared" si="35"/>
        <v>0</v>
      </c>
      <c r="M35" s="137">
        <f t="shared" si="36"/>
        <v>0</v>
      </c>
      <c r="N35" s="137">
        <f t="shared" si="37"/>
        <v>0</v>
      </c>
      <c r="O35" s="221"/>
      <c r="P35" s="221">
        <f t="shared" si="38"/>
        <v>0</v>
      </c>
      <c r="Q35" s="221">
        <f t="shared" si="39"/>
        <v>0</v>
      </c>
      <c r="R35" s="221">
        <f t="shared" si="40"/>
        <v>0</v>
      </c>
      <c r="S35" s="221">
        <f t="shared" si="16"/>
        <v>0</v>
      </c>
      <c r="T35" s="281">
        <f t="shared" si="25"/>
        <v>0</v>
      </c>
      <c r="U35" s="120"/>
      <c r="V35" s="195">
        <f t="shared" si="26"/>
        <v>0</v>
      </c>
    </row>
    <row r="36" spans="1:22" ht="12.75" customHeight="1" x14ac:dyDescent="0.25">
      <c r="A36" s="14" t="s">
        <v>34</v>
      </c>
      <c r="B36" s="20" t="s">
        <v>36</v>
      </c>
      <c r="C36" s="576">
        <v>1588000</v>
      </c>
      <c r="D36" s="221">
        <f>1588000</f>
        <v>1588000</v>
      </c>
      <c r="E36" s="221">
        <f>5132800+133000</f>
        <v>5265800</v>
      </c>
      <c r="F36" s="221"/>
      <c r="G36" s="221"/>
      <c r="H36" s="221">
        <v>1055934</v>
      </c>
      <c r="I36" s="221">
        <f>1948055+133000</f>
        <v>2081055</v>
      </c>
      <c r="J36" s="221"/>
      <c r="K36" s="221"/>
      <c r="L36" s="137">
        <f t="shared" si="35"/>
        <v>0.66494584382871535</v>
      </c>
      <c r="M36" s="137">
        <f t="shared" si="36"/>
        <v>1.3104880352644837</v>
      </c>
      <c r="N36" s="137">
        <f t="shared" si="37"/>
        <v>0</v>
      </c>
      <c r="O36" s="221"/>
      <c r="P36" s="302">
        <f t="shared" si="38"/>
        <v>0</v>
      </c>
      <c r="Q36" s="302">
        <f t="shared" si="39"/>
        <v>3677800</v>
      </c>
      <c r="R36" s="302">
        <f t="shared" si="40"/>
        <v>0</v>
      </c>
      <c r="S36" s="302">
        <f t="shared" si="16"/>
        <v>3677800</v>
      </c>
      <c r="T36" s="281">
        <f t="shared" si="25"/>
        <v>2.3159949622166245</v>
      </c>
      <c r="U36" s="120"/>
      <c r="V36" s="195">
        <f t="shared" si="26"/>
        <v>0</v>
      </c>
    </row>
    <row r="37" spans="1:22" ht="12.75" customHeight="1" x14ac:dyDescent="0.25">
      <c r="A37" s="14"/>
      <c r="B37" s="20" t="s">
        <v>105</v>
      </c>
      <c r="C37" s="221"/>
      <c r="D37" s="221"/>
      <c r="E37" s="221"/>
      <c r="F37" s="221"/>
      <c r="G37" s="221"/>
      <c r="H37" s="221"/>
      <c r="I37" s="221"/>
      <c r="J37" s="221"/>
      <c r="K37" s="221"/>
      <c r="L37" s="137">
        <f t="shared" si="35"/>
        <v>0</v>
      </c>
      <c r="M37" s="137">
        <f t="shared" si="36"/>
        <v>0</v>
      </c>
      <c r="N37" s="137">
        <f t="shared" si="37"/>
        <v>0</v>
      </c>
      <c r="O37" s="221"/>
      <c r="P37" s="221">
        <f t="shared" si="38"/>
        <v>0</v>
      </c>
      <c r="Q37" s="221">
        <f t="shared" si="39"/>
        <v>0</v>
      </c>
      <c r="R37" s="221">
        <f t="shared" si="40"/>
        <v>0</v>
      </c>
      <c r="S37" s="221">
        <f t="shared" si="16"/>
        <v>0</v>
      </c>
      <c r="T37" s="281">
        <f t="shared" si="25"/>
        <v>0</v>
      </c>
      <c r="U37" s="120"/>
      <c r="V37" s="195">
        <f t="shared" si="26"/>
        <v>0</v>
      </c>
    </row>
    <row r="38" spans="1:22" ht="12.75" customHeight="1" x14ac:dyDescent="0.25">
      <c r="A38" s="14"/>
      <c r="B38" s="20" t="s">
        <v>95</v>
      </c>
      <c r="C38" s="221"/>
      <c r="D38" s="221"/>
      <c r="E38" s="221"/>
      <c r="F38" s="221"/>
      <c r="G38" s="221"/>
      <c r="H38" s="221"/>
      <c r="I38" s="221"/>
      <c r="J38" s="221"/>
      <c r="K38" s="221"/>
      <c r="L38" s="137">
        <f t="shared" si="35"/>
        <v>0</v>
      </c>
      <c r="M38" s="137">
        <f t="shared" si="36"/>
        <v>0</v>
      </c>
      <c r="N38" s="137">
        <f t="shared" si="37"/>
        <v>0</v>
      </c>
      <c r="O38" s="221"/>
      <c r="P38" s="221">
        <f t="shared" si="38"/>
        <v>0</v>
      </c>
      <c r="Q38" s="221">
        <f t="shared" si="39"/>
        <v>0</v>
      </c>
      <c r="R38" s="221">
        <f t="shared" si="40"/>
        <v>0</v>
      </c>
      <c r="S38" s="221">
        <f t="shared" si="16"/>
        <v>0</v>
      </c>
      <c r="T38" s="281">
        <f t="shared" si="25"/>
        <v>0</v>
      </c>
      <c r="U38" s="120"/>
      <c r="V38" s="195">
        <f t="shared" si="26"/>
        <v>0</v>
      </c>
    </row>
    <row r="39" spans="1:22" ht="12.75" customHeight="1" x14ac:dyDescent="0.25">
      <c r="A39" s="14"/>
      <c r="B39" s="20" t="s">
        <v>94</v>
      </c>
      <c r="C39" s="221"/>
      <c r="D39" s="221"/>
      <c r="E39" s="221"/>
      <c r="F39" s="221"/>
      <c r="G39" s="221"/>
      <c r="H39" s="221"/>
      <c r="I39" s="221"/>
      <c r="J39" s="221"/>
      <c r="K39" s="221"/>
      <c r="L39" s="137">
        <f t="shared" si="35"/>
        <v>0</v>
      </c>
      <c r="M39" s="137">
        <f t="shared" si="36"/>
        <v>0</v>
      </c>
      <c r="N39" s="137">
        <f t="shared" si="37"/>
        <v>0</v>
      </c>
      <c r="O39" s="221"/>
      <c r="P39" s="221">
        <f t="shared" si="38"/>
        <v>0</v>
      </c>
      <c r="Q39" s="221">
        <f t="shared" si="39"/>
        <v>0</v>
      </c>
      <c r="R39" s="221">
        <f t="shared" si="40"/>
        <v>0</v>
      </c>
      <c r="S39" s="221">
        <f t="shared" si="16"/>
        <v>0</v>
      </c>
      <c r="T39" s="281">
        <f t="shared" si="25"/>
        <v>0</v>
      </c>
      <c r="U39" s="120"/>
      <c r="V39" s="195">
        <f t="shared" si="26"/>
        <v>0</v>
      </c>
    </row>
    <row r="40" spans="1:22" ht="12.75" customHeight="1" x14ac:dyDescent="0.25">
      <c r="A40" s="14"/>
      <c r="B40" s="20" t="s">
        <v>93</v>
      </c>
      <c r="C40" s="221"/>
      <c r="D40" s="221"/>
      <c r="E40" s="221"/>
      <c r="F40" s="221"/>
      <c r="G40" s="221"/>
      <c r="H40" s="221"/>
      <c r="I40" s="221"/>
      <c r="J40" s="221"/>
      <c r="K40" s="221"/>
      <c r="L40" s="137">
        <f t="shared" si="35"/>
        <v>0</v>
      </c>
      <c r="M40" s="137">
        <f t="shared" si="36"/>
        <v>0</v>
      </c>
      <c r="N40" s="137">
        <f t="shared" si="37"/>
        <v>0</v>
      </c>
      <c r="O40" s="221"/>
      <c r="P40" s="221">
        <f t="shared" si="38"/>
        <v>0</v>
      </c>
      <c r="Q40" s="221">
        <f t="shared" si="39"/>
        <v>0</v>
      </c>
      <c r="R40" s="221">
        <f t="shared" si="40"/>
        <v>0</v>
      </c>
      <c r="S40" s="221">
        <f t="shared" si="16"/>
        <v>0</v>
      </c>
      <c r="T40" s="281">
        <f t="shared" si="25"/>
        <v>0</v>
      </c>
      <c r="U40" s="120"/>
      <c r="V40" s="195">
        <f t="shared" si="26"/>
        <v>0</v>
      </c>
    </row>
    <row r="41" spans="1:22" ht="12.75" customHeight="1" x14ac:dyDescent="0.25">
      <c r="A41" s="38" t="s">
        <v>37</v>
      </c>
      <c r="B41" s="39" t="s">
        <v>38</v>
      </c>
      <c r="C41" s="278">
        <f>SUM(C42:C47)</f>
        <v>150000</v>
      </c>
      <c r="D41" s="278">
        <f t="shared" ref="D41:J41" si="42">SUM(D42:D47)</f>
        <v>150000</v>
      </c>
      <c r="E41" s="278">
        <f t="shared" si="42"/>
        <v>124460</v>
      </c>
      <c r="F41" s="278">
        <f t="shared" si="42"/>
        <v>0</v>
      </c>
      <c r="G41" s="278"/>
      <c r="H41" s="278">
        <f t="shared" si="42"/>
        <v>0</v>
      </c>
      <c r="I41" s="278">
        <f t="shared" si="42"/>
        <v>124460</v>
      </c>
      <c r="J41" s="278">
        <f t="shared" si="42"/>
        <v>0</v>
      </c>
      <c r="K41" s="221"/>
      <c r="L41" s="137">
        <f t="shared" si="35"/>
        <v>0</v>
      </c>
      <c r="M41" s="137">
        <f t="shared" si="36"/>
        <v>0.82973333333333332</v>
      </c>
      <c r="N41" s="137">
        <f t="shared" si="37"/>
        <v>0</v>
      </c>
      <c r="O41" s="221"/>
      <c r="P41" s="221">
        <f t="shared" si="38"/>
        <v>0</v>
      </c>
      <c r="Q41" s="221">
        <f t="shared" si="39"/>
        <v>-25540</v>
      </c>
      <c r="R41" s="221">
        <f t="shared" si="40"/>
        <v>0</v>
      </c>
      <c r="S41" s="221">
        <f t="shared" si="16"/>
        <v>-25540</v>
      </c>
      <c r="T41" s="281">
        <f t="shared" si="25"/>
        <v>-0.17026666666666668</v>
      </c>
      <c r="U41" s="120"/>
      <c r="V41" s="195">
        <f t="shared" si="26"/>
        <v>0</v>
      </c>
    </row>
    <row r="42" spans="1:22" ht="12.75" customHeight="1" x14ac:dyDescent="0.25">
      <c r="A42" s="14" t="s">
        <v>39</v>
      </c>
      <c r="B42" s="20" t="s">
        <v>40</v>
      </c>
      <c r="C42" s="221">
        <v>150000</v>
      </c>
      <c r="D42" s="221">
        <v>150000</v>
      </c>
      <c r="E42" s="221">
        <v>124460</v>
      </c>
      <c r="F42" s="221"/>
      <c r="G42" s="221"/>
      <c r="H42" s="221">
        <v>0</v>
      </c>
      <c r="I42" s="221">
        <v>124460</v>
      </c>
      <c r="J42" s="221"/>
      <c r="K42" s="221"/>
      <c r="L42" s="137">
        <f t="shared" si="35"/>
        <v>0</v>
      </c>
      <c r="M42" s="137">
        <f t="shared" si="36"/>
        <v>0.82973333333333332</v>
      </c>
      <c r="N42" s="137">
        <f t="shared" si="37"/>
        <v>0</v>
      </c>
      <c r="O42" s="221"/>
      <c r="P42" s="221">
        <f t="shared" si="38"/>
        <v>0</v>
      </c>
      <c r="Q42" s="221">
        <f t="shared" si="39"/>
        <v>-25540</v>
      </c>
      <c r="R42" s="221">
        <f t="shared" si="40"/>
        <v>0</v>
      </c>
      <c r="S42" s="221">
        <f t="shared" si="16"/>
        <v>-25540</v>
      </c>
      <c r="T42" s="281">
        <f t="shared" si="25"/>
        <v>-0.17026666666666668</v>
      </c>
      <c r="U42" s="120"/>
      <c r="V42" s="195">
        <f t="shared" si="26"/>
        <v>0</v>
      </c>
    </row>
    <row r="43" spans="1:22" ht="12.75" customHeight="1" x14ac:dyDescent="0.25">
      <c r="A43" s="14"/>
      <c r="B43" s="20" t="s">
        <v>41</v>
      </c>
      <c r="C43" s="221"/>
      <c r="D43" s="221"/>
      <c r="E43" s="221"/>
      <c r="F43" s="221"/>
      <c r="G43" s="221"/>
      <c r="H43" s="221"/>
      <c r="I43" s="221"/>
      <c r="J43" s="221"/>
      <c r="K43" s="221"/>
      <c r="L43" s="137">
        <f t="shared" si="35"/>
        <v>0</v>
      </c>
      <c r="M43" s="137">
        <f t="shared" si="36"/>
        <v>0</v>
      </c>
      <c r="N43" s="137">
        <f t="shared" si="37"/>
        <v>0</v>
      </c>
      <c r="O43" s="221"/>
      <c r="P43" s="221">
        <f t="shared" si="38"/>
        <v>0</v>
      </c>
      <c r="Q43" s="221">
        <f t="shared" si="39"/>
        <v>0</v>
      </c>
      <c r="R43" s="221">
        <f t="shared" si="40"/>
        <v>0</v>
      </c>
      <c r="S43" s="221">
        <f t="shared" si="16"/>
        <v>0</v>
      </c>
      <c r="T43" s="281">
        <f t="shared" si="25"/>
        <v>0</v>
      </c>
      <c r="U43" s="120"/>
      <c r="V43" s="195">
        <f t="shared" si="26"/>
        <v>0</v>
      </c>
    </row>
    <row r="44" spans="1:22" ht="12.75" customHeight="1" x14ac:dyDescent="0.25">
      <c r="A44" s="14"/>
      <c r="B44" s="20" t="s">
        <v>42</v>
      </c>
      <c r="C44" s="221"/>
      <c r="D44" s="221"/>
      <c r="E44" s="221"/>
      <c r="F44" s="221"/>
      <c r="G44" s="221"/>
      <c r="H44" s="221"/>
      <c r="I44" s="221"/>
      <c r="J44" s="221"/>
      <c r="K44" s="221"/>
      <c r="L44" s="137">
        <f t="shared" si="35"/>
        <v>0</v>
      </c>
      <c r="M44" s="137">
        <f t="shared" si="36"/>
        <v>0</v>
      </c>
      <c r="N44" s="137">
        <f t="shared" si="37"/>
        <v>0</v>
      </c>
      <c r="O44" s="221"/>
      <c r="P44" s="221">
        <f t="shared" si="38"/>
        <v>0</v>
      </c>
      <c r="Q44" s="221">
        <f t="shared" si="39"/>
        <v>0</v>
      </c>
      <c r="R44" s="221">
        <f t="shared" si="40"/>
        <v>0</v>
      </c>
      <c r="S44" s="221">
        <f t="shared" si="16"/>
        <v>0</v>
      </c>
      <c r="T44" s="281">
        <f t="shared" si="25"/>
        <v>0</v>
      </c>
      <c r="U44" s="120"/>
      <c r="V44" s="195">
        <f t="shared" si="26"/>
        <v>0</v>
      </c>
    </row>
    <row r="45" spans="1:22" ht="12.75" customHeight="1" x14ac:dyDescent="0.25">
      <c r="A45" s="14"/>
      <c r="B45" s="20" t="s">
        <v>43</v>
      </c>
      <c r="C45" s="221"/>
      <c r="D45" s="221"/>
      <c r="E45" s="221"/>
      <c r="F45" s="221"/>
      <c r="G45" s="221"/>
      <c r="H45" s="221"/>
      <c r="I45" s="221"/>
      <c r="J45" s="221"/>
      <c r="K45" s="221"/>
      <c r="L45" s="137">
        <f t="shared" si="35"/>
        <v>0</v>
      </c>
      <c r="M45" s="137">
        <f t="shared" si="36"/>
        <v>0</v>
      </c>
      <c r="N45" s="137">
        <f t="shared" si="37"/>
        <v>0</v>
      </c>
      <c r="O45" s="221"/>
      <c r="P45" s="221">
        <f t="shared" si="38"/>
        <v>0</v>
      </c>
      <c r="Q45" s="221">
        <f t="shared" si="39"/>
        <v>0</v>
      </c>
      <c r="R45" s="221">
        <f t="shared" si="40"/>
        <v>0</v>
      </c>
      <c r="S45" s="221">
        <f t="shared" si="16"/>
        <v>0</v>
      </c>
      <c r="T45" s="281">
        <f t="shared" si="25"/>
        <v>0</v>
      </c>
      <c r="U45" s="120"/>
      <c r="V45" s="195">
        <f t="shared" si="26"/>
        <v>0</v>
      </c>
    </row>
    <row r="46" spans="1:22" ht="12.75" customHeight="1" x14ac:dyDescent="0.25">
      <c r="A46" s="14" t="s">
        <v>44</v>
      </c>
      <c r="B46" s="20" t="s">
        <v>45</v>
      </c>
      <c r="C46" s="221">
        <v>0</v>
      </c>
      <c r="D46" s="221">
        <v>0</v>
      </c>
      <c r="E46" s="221">
        <v>0</v>
      </c>
      <c r="F46" s="221"/>
      <c r="G46" s="221"/>
      <c r="H46" s="221">
        <v>0</v>
      </c>
      <c r="I46" s="221">
        <v>0</v>
      </c>
      <c r="J46" s="221"/>
      <c r="K46" s="221"/>
      <c r="L46" s="137">
        <f t="shared" ref="L46:L80" si="43">IF(H46&gt;0,H46/C46,0)</f>
        <v>0</v>
      </c>
      <c r="M46" s="137">
        <f t="shared" ref="M46:M80" si="44">IF(I46&gt;0,I46/D46,0)</f>
        <v>0</v>
      </c>
      <c r="N46" s="137">
        <f t="shared" ref="N46:N80" si="45">IF(J46&gt;0,J46/E46,0)</f>
        <v>0</v>
      </c>
      <c r="O46" s="221"/>
      <c r="P46" s="221">
        <f t="shared" si="38"/>
        <v>0</v>
      </c>
      <c r="Q46" s="221">
        <f t="shared" si="39"/>
        <v>0</v>
      </c>
      <c r="R46" s="221">
        <f t="shared" si="40"/>
        <v>0</v>
      </c>
      <c r="S46" s="221">
        <f t="shared" si="16"/>
        <v>0</v>
      </c>
      <c r="T46" s="281">
        <f t="shared" si="25"/>
        <v>0</v>
      </c>
      <c r="U46" s="120"/>
      <c r="V46" s="195">
        <f t="shared" si="26"/>
        <v>0</v>
      </c>
    </row>
    <row r="47" spans="1:22" ht="12.75" customHeight="1" x14ac:dyDescent="0.25">
      <c r="A47" s="14"/>
      <c r="B47" s="20" t="s">
        <v>46</v>
      </c>
      <c r="C47" s="221"/>
      <c r="D47" s="221"/>
      <c r="E47" s="221"/>
      <c r="F47" s="221"/>
      <c r="G47" s="221"/>
      <c r="H47" s="221"/>
      <c r="I47" s="221"/>
      <c r="J47" s="221"/>
      <c r="K47" s="221"/>
      <c r="L47" s="137">
        <f t="shared" si="43"/>
        <v>0</v>
      </c>
      <c r="M47" s="137">
        <f t="shared" si="44"/>
        <v>0</v>
      </c>
      <c r="N47" s="137">
        <f t="shared" si="45"/>
        <v>0</v>
      </c>
      <c r="O47" s="221"/>
      <c r="P47" s="221">
        <f t="shared" si="38"/>
        <v>0</v>
      </c>
      <c r="Q47" s="221">
        <f t="shared" si="39"/>
        <v>0</v>
      </c>
      <c r="R47" s="221">
        <f t="shared" si="40"/>
        <v>0</v>
      </c>
      <c r="S47" s="221">
        <f t="shared" si="16"/>
        <v>0</v>
      </c>
      <c r="T47" s="281">
        <f t="shared" si="25"/>
        <v>0</v>
      </c>
      <c r="U47" s="120"/>
      <c r="V47" s="195">
        <f t="shared" si="26"/>
        <v>0</v>
      </c>
    </row>
    <row r="48" spans="1:22" ht="12.75" customHeight="1" x14ac:dyDescent="0.25">
      <c r="A48" s="38" t="s">
        <v>47</v>
      </c>
      <c r="B48" s="39" t="s">
        <v>48</v>
      </c>
      <c r="C48" s="278">
        <f>SUM(C49:C65)</f>
        <v>14615000</v>
      </c>
      <c r="D48" s="278">
        <f t="shared" ref="D48:J48" si="46">SUM(D49:D65)</f>
        <v>13353555</v>
      </c>
      <c r="E48" s="278">
        <f t="shared" si="46"/>
        <v>20021555</v>
      </c>
      <c r="F48" s="278">
        <f t="shared" si="46"/>
        <v>0</v>
      </c>
      <c r="G48" s="278"/>
      <c r="H48" s="278">
        <f t="shared" si="46"/>
        <v>4195796</v>
      </c>
      <c r="I48" s="278">
        <f t="shared" si="46"/>
        <v>15329295</v>
      </c>
      <c r="J48" s="278">
        <f t="shared" si="46"/>
        <v>0</v>
      </c>
      <c r="K48" s="221"/>
      <c r="L48" s="137">
        <f t="shared" si="43"/>
        <v>0.28708833390352378</v>
      </c>
      <c r="M48" s="137">
        <f t="shared" si="44"/>
        <v>1.1479561060706307</v>
      </c>
      <c r="N48" s="137">
        <f t="shared" si="45"/>
        <v>0</v>
      </c>
      <c r="O48" s="221"/>
      <c r="P48" s="221">
        <f t="shared" si="38"/>
        <v>-1261445</v>
      </c>
      <c r="Q48" s="221">
        <f t="shared" si="39"/>
        <v>6668000</v>
      </c>
      <c r="R48" s="221">
        <f t="shared" si="40"/>
        <v>0</v>
      </c>
      <c r="S48" s="221">
        <f t="shared" si="16"/>
        <v>5406555</v>
      </c>
      <c r="T48" s="281">
        <f t="shared" ref="T48:T64" si="47">IF(C48=0,0,+S48/C48)</f>
        <v>0.36993191926103319</v>
      </c>
      <c r="U48" s="120"/>
      <c r="V48" s="195">
        <f t="shared" ref="V48:V64" si="48">+S48-E48+C48</f>
        <v>0</v>
      </c>
    </row>
    <row r="49" spans="1:22" ht="12.75" customHeight="1" x14ac:dyDescent="0.25">
      <c r="A49" s="14" t="s">
        <v>49</v>
      </c>
      <c r="B49" s="20" t="s">
        <v>50</v>
      </c>
      <c r="C49" s="221">
        <f>2300000</f>
        <v>2300000</v>
      </c>
      <c r="D49" s="221">
        <v>3700000</v>
      </c>
      <c r="E49" s="221">
        <v>3585900</v>
      </c>
      <c r="F49" s="221"/>
      <c r="G49" s="221"/>
      <c r="H49" s="221">
        <v>2491058</v>
      </c>
      <c r="I49" s="221">
        <v>3401234</v>
      </c>
      <c r="J49" s="221"/>
      <c r="K49" s="221"/>
      <c r="L49" s="137">
        <f t="shared" si="43"/>
        <v>1.083068695652174</v>
      </c>
      <c r="M49" s="137">
        <f t="shared" si="44"/>
        <v>0.91925243243243249</v>
      </c>
      <c r="N49" s="137">
        <f t="shared" si="45"/>
        <v>0</v>
      </c>
      <c r="O49" s="221"/>
      <c r="P49" s="302">
        <f t="shared" si="22"/>
        <v>1400000</v>
      </c>
      <c r="Q49" s="302">
        <f t="shared" si="23"/>
        <v>-114100</v>
      </c>
      <c r="R49" s="302">
        <f t="shared" si="24"/>
        <v>0</v>
      </c>
      <c r="S49" s="302">
        <f t="shared" si="16"/>
        <v>1285900</v>
      </c>
      <c r="T49" s="281">
        <f t="shared" si="47"/>
        <v>0.55908695652173912</v>
      </c>
      <c r="U49" s="120"/>
      <c r="V49" s="195">
        <f t="shared" si="48"/>
        <v>0</v>
      </c>
    </row>
    <row r="50" spans="1:22" ht="12.75" customHeight="1" x14ac:dyDescent="0.25">
      <c r="A50" s="14" t="s">
        <v>103</v>
      </c>
      <c r="B50" s="20" t="s">
        <v>97</v>
      </c>
      <c r="C50" s="221"/>
      <c r="D50" s="221"/>
      <c r="E50" s="221"/>
      <c r="F50" s="221"/>
      <c r="G50" s="221"/>
      <c r="H50" s="221"/>
      <c r="I50" s="221"/>
      <c r="J50" s="221"/>
      <c r="K50" s="221"/>
      <c r="L50" s="137">
        <f t="shared" si="43"/>
        <v>0</v>
      </c>
      <c r="M50" s="137">
        <f t="shared" si="44"/>
        <v>0</v>
      </c>
      <c r="N50" s="137">
        <f t="shared" si="45"/>
        <v>0</v>
      </c>
      <c r="O50" s="221"/>
      <c r="P50" s="221">
        <f t="shared" si="22"/>
        <v>0</v>
      </c>
      <c r="Q50" s="221">
        <f t="shared" si="23"/>
        <v>0</v>
      </c>
      <c r="R50" s="221">
        <f t="shared" si="24"/>
        <v>0</v>
      </c>
      <c r="S50" s="221">
        <f t="shared" si="16"/>
        <v>0</v>
      </c>
      <c r="T50" s="281">
        <f t="shared" si="47"/>
        <v>0</v>
      </c>
      <c r="U50" s="120"/>
      <c r="V50" s="195">
        <f t="shared" si="48"/>
        <v>0</v>
      </c>
    </row>
    <row r="51" spans="1:22" ht="12.75" customHeight="1" x14ac:dyDescent="0.25">
      <c r="A51" s="14"/>
      <c r="B51" s="20" t="s">
        <v>98</v>
      </c>
      <c r="C51" s="221"/>
      <c r="D51" s="221"/>
      <c r="E51" s="221"/>
      <c r="F51" s="221"/>
      <c r="G51" s="221"/>
      <c r="H51" s="221"/>
      <c r="I51" s="221"/>
      <c r="J51" s="221"/>
      <c r="K51" s="221"/>
      <c r="L51" s="137">
        <f t="shared" si="43"/>
        <v>0</v>
      </c>
      <c r="M51" s="137">
        <f t="shared" si="44"/>
        <v>0</v>
      </c>
      <c r="N51" s="137">
        <f t="shared" si="45"/>
        <v>0</v>
      </c>
      <c r="O51" s="221"/>
      <c r="P51" s="221">
        <f t="shared" si="22"/>
        <v>0</v>
      </c>
      <c r="Q51" s="221">
        <f t="shared" si="23"/>
        <v>0</v>
      </c>
      <c r="R51" s="221">
        <f t="shared" si="24"/>
        <v>0</v>
      </c>
      <c r="S51" s="221">
        <f t="shared" si="16"/>
        <v>0</v>
      </c>
      <c r="T51" s="281">
        <f t="shared" si="47"/>
        <v>0</v>
      </c>
      <c r="U51" s="120"/>
      <c r="V51" s="195">
        <f t="shared" si="48"/>
        <v>0</v>
      </c>
    </row>
    <row r="52" spans="1:22" ht="12.75" customHeight="1" x14ac:dyDescent="0.25">
      <c r="A52" s="14"/>
      <c r="B52" s="20" t="s">
        <v>99</v>
      </c>
      <c r="C52" s="221"/>
      <c r="D52" s="221"/>
      <c r="E52" s="221"/>
      <c r="F52" s="221"/>
      <c r="G52" s="221"/>
      <c r="H52" s="221"/>
      <c r="I52" s="221"/>
      <c r="J52" s="221"/>
      <c r="K52" s="221"/>
      <c r="L52" s="137">
        <f t="shared" si="43"/>
        <v>0</v>
      </c>
      <c r="M52" s="137">
        <f t="shared" si="44"/>
        <v>0</v>
      </c>
      <c r="N52" s="137">
        <f t="shared" si="45"/>
        <v>0</v>
      </c>
      <c r="O52" s="221"/>
      <c r="P52" s="221">
        <f t="shared" si="22"/>
        <v>0</v>
      </c>
      <c r="Q52" s="221">
        <f t="shared" si="23"/>
        <v>0</v>
      </c>
      <c r="R52" s="221">
        <f t="shared" si="24"/>
        <v>0</v>
      </c>
      <c r="S52" s="221">
        <f t="shared" si="16"/>
        <v>0</v>
      </c>
      <c r="T52" s="281">
        <f t="shared" si="47"/>
        <v>0</v>
      </c>
      <c r="U52" s="120"/>
      <c r="V52" s="195">
        <f t="shared" si="48"/>
        <v>0</v>
      </c>
    </row>
    <row r="53" spans="1:22" ht="12.75" customHeight="1" x14ac:dyDescent="0.25">
      <c r="A53" s="529" t="s">
        <v>51</v>
      </c>
      <c r="B53" s="20" t="s">
        <v>52</v>
      </c>
      <c r="C53" s="221">
        <v>0</v>
      </c>
      <c r="D53" s="221">
        <v>0</v>
      </c>
      <c r="E53" s="221">
        <v>0</v>
      </c>
      <c r="F53" s="221"/>
      <c r="G53" s="221"/>
      <c r="H53" s="221">
        <v>0</v>
      </c>
      <c r="I53" s="221">
        <v>0</v>
      </c>
      <c r="J53" s="221"/>
      <c r="K53" s="221"/>
      <c r="L53" s="137">
        <f t="shared" si="43"/>
        <v>0</v>
      </c>
      <c r="M53" s="137">
        <f t="shared" si="44"/>
        <v>0</v>
      </c>
      <c r="N53" s="137">
        <f t="shared" si="45"/>
        <v>0</v>
      </c>
      <c r="O53" s="221"/>
      <c r="P53" s="221">
        <f t="shared" si="22"/>
        <v>0</v>
      </c>
      <c r="Q53" s="221">
        <f t="shared" si="23"/>
        <v>0</v>
      </c>
      <c r="R53" s="221">
        <f t="shared" si="24"/>
        <v>0</v>
      </c>
      <c r="S53" s="221">
        <f t="shared" si="16"/>
        <v>0</v>
      </c>
      <c r="T53" s="281">
        <f t="shared" si="47"/>
        <v>0</v>
      </c>
      <c r="U53" s="120"/>
      <c r="V53" s="195">
        <f t="shared" si="48"/>
        <v>0</v>
      </c>
    </row>
    <row r="54" spans="1:22" ht="12.75" customHeight="1" x14ac:dyDescent="0.25">
      <c r="A54" s="14"/>
      <c r="B54" s="20" t="s">
        <v>90</v>
      </c>
      <c r="C54" s="221"/>
      <c r="D54" s="221"/>
      <c r="E54" s="221"/>
      <c r="F54" s="221"/>
      <c r="G54" s="221"/>
      <c r="H54" s="221"/>
      <c r="I54" s="221"/>
      <c r="J54" s="221"/>
      <c r="K54" s="221"/>
      <c r="L54" s="137">
        <f t="shared" si="43"/>
        <v>0</v>
      </c>
      <c r="M54" s="137">
        <f t="shared" si="44"/>
        <v>0</v>
      </c>
      <c r="N54" s="137">
        <f t="shared" si="45"/>
        <v>0</v>
      </c>
      <c r="O54" s="221"/>
      <c r="P54" s="221">
        <f t="shared" si="22"/>
        <v>0</v>
      </c>
      <c r="Q54" s="221">
        <f t="shared" si="23"/>
        <v>0</v>
      </c>
      <c r="R54" s="221">
        <f t="shared" si="24"/>
        <v>0</v>
      </c>
      <c r="S54" s="221">
        <f t="shared" si="16"/>
        <v>0</v>
      </c>
      <c r="T54" s="281">
        <f t="shared" si="47"/>
        <v>0</v>
      </c>
      <c r="U54" s="120"/>
      <c r="V54" s="195">
        <f t="shared" si="48"/>
        <v>0</v>
      </c>
    </row>
    <row r="55" spans="1:22" ht="12.75" customHeight="1" x14ac:dyDescent="0.25">
      <c r="A55" s="14"/>
      <c r="B55" s="20" t="s">
        <v>53</v>
      </c>
      <c r="C55" s="221"/>
      <c r="D55" s="221"/>
      <c r="E55" s="221"/>
      <c r="F55" s="221"/>
      <c r="G55" s="221"/>
      <c r="H55" s="221"/>
      <c r="I55" s="221"/>
      <c r="J55" s="221"/>
      <c r="K55" s="221"/>
      <c r="L55" s="137">
        <f t="shared" si="43"/>
        <v>0</v>
      </c>
      <c r="M55" s="137">
        <f t="shared" si="44"/>
        <v>0</v>
      </c>
      <c r="N55" s="137">
        <f t="shared" si="45"/>
        <v>0</v>
      </c>
      <c r="O55" s="221"/>
      <c r="P55" s="221">
        <f t="shared" si="22"/>
        <v>0</v>
      </c>
      <c r="Q55" s="221">
        <f t="shared" si="23"/>
        <v>0</v>
      </c>
      <c r="R55" s="221">
        <f t="shared" si="24"/>
        <v>0</v>
      </c>
      <c r="S55" s="221">
        <f t="shared" si="16"/>
        <v>0</v>
      </c>
      <c r="T55" s="281">
        <f t="shared" si="47"/>
        <v>0</v>
      </c>
      <c r="U55" s="120"/>
      <c r="V55" s="195">
        <f t="shared" si="48"/>
        <v>0</v>
      </c>
    </row>
    <row r="56" spans="1:22" ht="12.75" customHeight="1" x14ac:dyDescent="0.25">
      <c r="A56" s="14" t="s">
        <v>54</v>
      </c>
      <c r="B56" s="20" t="s">
        <v>55</v>
      </c>
      <c r="C56" s="576">
        <v>0</v>
      </c>
      <c r="D56" s="221">
        <v>330000</v>
      </c>
      <c r="E56" s="221">
        <v>3400000</v>
      </c>
      <c r="F56" s="221"/>
      <c r="G56" s="221"/>
      <c r="H56" s="221">
        <v>290000</v>
      </c>
      <c r="I56" s="221">
        <v>1898350</v>
      </c>
      <c r="J56" s="221"/>
      <c r="K56" s="221"/>
      <c r="L56" s="137" t="e">
        <f t="shared" si="43"/>
        <v>#DIV/0!</v>
      </c>
      <c r="M56" s="137">
        <f t="shared" si="44"/>
        <v>5.7525757575757579</v>
      </c>
      <c r="N56" s="137">
        <f t="shared" si="45"/>
        <v>0</v>
      </c>
      <c r="O56" s="221"/>
      <c r="P56" s="302">
        <f t="shared" si="22"/>
        <v>330000</v>
      </c>
      <c r="Q56" s="302">
        <f t="shared" si="23"/>
        <v>3070000</v>
      </c>
      <c r="R56" s="302">
        <f t="shared" si="24"/>
        <v>0</v>
      </c>
      <c r="S56" s="302">
        <f t="shared" si="16"/>
        <v>3400000</v>
      </c>
      <c r="T56" s="281">
        <f t="shared" si="47"/>
        <v>0</v>
      </c>
      <c r="U56" s="120"/>
      <c r="V56" s="195">
        <f t="shared" si="48"/>
        <v>0</v>
      </c>
    </row>
    <row r="57" spans="1:22" ht="12.75" customHeight="1" x14ac:dyDescent="0.25">
      <c r="A57" s="14"/>
      <c r="B57" s="20" t="s">
        <v>56</v>
      </c>
      <c r="C57" s="221"/>
      <c r="D57" s="221"/>
      <c r="E57" s="221"/>
      <c r="F57" s="221"/>
      <c r="G57" s="221"/>
      <c r="H57" s="221"/>
      <c r="I57" s="221"/>
      <c r="J57" s="221"/>
      <c r="K57" s="221"/>
      <c r="L57" s="137">
        <f t="shared" si="43"/>
        <v>0</v>
      </c>
      <c r="M57" s="137">
        <f t="shared" si="44"/>
        <v>0</v>
      </c>
      <c r="N57" s="137">
        <f t="shared" si="45"/>
        <v>0</v>
      </c>
      <c r="O57" s="221"/>
      <c r="P57" s="221">
        <f t="shared" si="22"/>
        <v>0</v>
      </c>
      <c r="Q57" s="221">
        <f t="shared" si="23"/>
        <v>0</v>
      </c>
      <c r="R57" s="221">
        <f t="shared" si="24"/>
        <v>0</v>
      </c>
      <c r="S57" s="221">
        <f t="shared" si="16"/>
        <v>0</v>
      </c>
      <c r="T57" s="281">
        <f t="shared" si="47"/>
        <v>0</v>
      </c>
      <c r="U57" s="120"/>
      <c r="V57" s="195">
        <f t="shared" si="48"/>
        <v>0</v>
      </c>
    </row>
    <row r="58" spans="1:22" ht="12.75" customHeight="1" x14ac:dyDescent="0.25">
      <c r="A58" s="14" t="s">
        <v>57</v>
      </c>
      <c r="B58" s="20" t="s">
        <v>91</v>
      </c>
      <c r="C58" s="221">
        <v>300000</v>
      </c>
      <c r="D58" s="221">
        <v>300000</v>
      </c>
      <c r="E58" s="221">
        <v>233000</v>
      </c>
      <c r="F58" s="221"/>
      <c r="G58" s="221"/>
      <c r="H58" s="221">
        <v>133000</v>
      </c>
      <c r="I58" s="221">
        <v>133000</v>
      </c>
      <c r="J58" s="221"/>
      <c r="K58" s="221"/>
      <c r="L58" s="137">
        <f t="shared" si="43"/>
        <v>0.44333333333333336</v>
      </c>
      <c r="M58" s="137">
        <f t="shared" si="44"/>
        <v>0.44333333333333336</v>
      </c>
      <c r="N58" s="137">
        <f t="shared" si="45"/>
        <v>0</v>
      </c>
      <c r="O58" s="221"/>
      <c r="P58" s="302">
        <f t="shared" si="22"/>
        <v>0</v>
      </c>
      <c r="Q58" s="302">
        <f t="shared" si="23"/>
        <v>-67000</v>
      </c>
      <c r="R58" s="302">
        <f t="shared" si="24"/>
        <v>0</v>
      </c>
      <c r="S58" s="302">
        <f t="shared" si="16"/>
        <v>-67000</v>
      </c>
      <c r="T58" s="281">
        <f t="shared" si="47"/>
        <v>-0.22333333333333333</v>
      </c>
      <c r="U58" s="120"/>
      <c r="V58" s="195">
        <f t="shared" si="48"/>
        <v>0</v>
      </c>
    </row>
    <row r="59" spans="1:22" ht="12.75" customHeight="1" x14ac:dyDescent="0.25">
      <c r="A59" s="14"/>
      <c r="B59" s="20" t="s">
        <v>58</v>
      </c>
      <c r="C59" s="221"/>
      <c r="D59" s="221"/>
      <c r="E59" s="221"/>
      <c r="F59" s="221"/>
      <c r="G59" s="221"/>
      <c r="H59" s="221"/>
      <c r="I59" s="221"/>
      <c r="J59" s="221"/>
      <c r="K59" s="221"/>
      <c r="L59" s="137">
        <f t="shared" si="43"/>
        <v>0</v>
      </c>
      <c r="M59" s="137">
        <f t="shared" si="44"/>
        <v>0</v>
      </c>
      <c r="N59" s="137">
        <f t="shared" si="45"/>
        <v>0</v>
      </c>
      <c r="O59" s="221"/>
      <c r="P59" s="221">
        <f t="shared" si="22"/>
        <v>0</v>
      </c>
      <c r="Q59" s="221">
        <f t="shared" si="23"/>
        <v>0</v>
      </c>
      <c r="R59" s="221">
        <f t="shared" si="24"/>
        <v>0</v>
      </c>
      <c r="S59" s="221">
        <f t="shared" si="16"/>
        <v>0</v>
      </c>
      <c r="T59" s="281">
        <f t="shared" si="47"/>
        <v>0</v>
      </c>
      <c r="U59" s="120"/>
      <c r="V59" s="195">
        <f t="shared" si="48"/>
        <v>0</v>
      </c>
    </row>
    <row r="60" spans="1:22" ht="12.75" customHeight="1" x14ac:dyDescent="0.25">
      <c r="A60" s="14" t="s">
        <v>59</v>
      </c>
      <c r="B60" s="20" t="s">
        <v>60</v>
      </c>
      <c r="C60" s="221"/>
      <c r="D60" s="221"/>
      <c r="E60" s="221"/>
      <c r="F60" s="221"/>
      <c r="G60" s="221"/>
      <c r="H60" s="221"/>
      <c r="I60" s="221"/>
      <c r="J60" s="221"/>
      <c r="K60" s="221"/>
      <c r="L60" s="137">
        <f t="shared" si="43"/>
        <v>0</v>
      </c>
      <c r="M60" s="137">
        <f t="shared" si="44"/>
        <v>0</v>
      </c>
      <c r="N60" s="137">
        <f t="shared" si="45"/>
        <v>0</v>
      </c>
      <c r="O60" s="221"/>
      <c r="P60" s="221">
        <f t="shared" si="22"/>
        <v>0</v>
      </c>
      <c r="Q60" s="221">
        <f t="shared" si="23"/>
        <v>0</v>
      </c>
      <c r="R60" s="221">
        <f t="shared" si="24"/>
        <v>0</v>
      </c>
      <c r="S60" s="221">
        <f t="shared" si="16"/>
        <v>0</v>
      </c>
      <c r="T60" s="281">
        <f t="shared" si="47"/>
        <v>0</v>
      </c>
      <c r="U60" s="120"/>
      <c r="V60" s="195">
        <f t="shared" si="48"/>
        <v>0</v>
      </c>
    </row>
    <row r="61" spans="1:22" ht="12.75" customHeight="1" x14ac:dyDescent="0.25">
      <c r="A61" s="20"/>
      <c r="B61" s="20" t="s">
        <v>61</v>
      </c>
      <c r="C61" s="221"/>
      <c r="D61" s="221"/>
      <c r="E61" s="221"/>
      <c r="F61" s="221"/>
      <c r="G61" s="221"/>
      <c r="H61" s="221"/>
      <c r="I61" s="221"/>
      <c r="J61" s="221"/>
      <c r="K61" s="221"/>
      <c r="L61" s="137">
        <f t="shared" si="43"/>
        <v>0</v>
      </c>
      <c r="M61" s="137">
        <f t="shared" si="44"/>
        <v>0</v>
      </c>
      <c r="N61" s="137">
        <f t="shared" si="45"/>
        <v>0</v>
      </c>
      <c r="O61" s="221"/>
      <c r="P61" s="221">
        <f t="shared" si="22"/>
        <v>0</v>
      </c>
      <c r="Q61" s="221">
        <f t="shared" si="23"/>
        <v>0</v>
      </c>
      <c r="R61" s="221">
        <f t="shared" si="24"/>
        <v>0</v>
      </c>
      <c r="S61" s="221">
        <f t="shared" si="16"/>
        <v>0</v>
      </c>
      <c r="T61" s="281">
        <f t="shared" si="47"/>
        <v>0</v>
      </c>
      <c r="U61" s="120"/>
      <c r="V61" s="195">
        <f t="shared" si="48"/>
        <v>0</v>
      </c>
    </row>
    <row r="62" spans="1:22" ht="12.75" customHeight="1" x14ac:dyDescent="0.25">
      <c r="A62" s="14" t="s">
        <v>62</v>
      </c>
      <c r="B62" s="20" t="s">
        <v>63</v>
      </c>
      <c r="C62" s="221">
        <v>50000</v>
      </c>
      <c r="D62" s="221">
        <v>50000</v>
      </c>
      <c r="E62" s="221">
        <v>50000</v>
      </c>
      <c r="F62" s="221"/>
      <c r="G62" s="221"/>
      <c r="H62" s="221">
        <v>15600</v>
      </c>
      <c r="I62" s="221">
        <v>15600</v>
      </c>
      <c r="J62" s="221"/>
      <c r="K62" s="221"/>
      <c r="L62" s="137">
        <f t="shared" si="43"/>
        <v>0.312</v>
      </c>
      <c r="M62" s="137">
        <f t="shared" si="44"/>
        <v>0.312</v>
      </c>
      <c r="N62" s="137">
        <f t="shared" si="45"/>
        <v>0</v>
      </c>
      <c r="O62" s="221"/>
      <c r="P62" s="302">
        <f t="shared" si="22"/>
        <v>0</v>
      </c>
      <c r="Q62" s="302">
        <f t="shared" si="23"/>
        <v>0</v>
      </c>
      <c r="R62" s="302">
        <f t="shared" si="24"/>
        <v>0</v>
      </c>
      <c r="S62" s="302">
        <f t="shared" si="16"/>
        <v>0</v>
      </c>
      <c r="T62" s="281">
        <f t="shared" si="47"/>
        <v>0</v>
      </c>
      <c r="U62" s="120"/>
      <c r="V62" s="195">
        <f t="shared" si="48"/>
        <v>0</v>
      </c>
    </row>
    <row r="63" spans="1:22" ht="25.5" customHeight="1" x14ac:dyDescent="0.25">
      <c r="A63" s="14"/>
      <c r="B63" s="20" t="s">
        <v>102</v>
      </c>
      <c r="C63" s="221"/>
      <c r="D63" s="221"/>
      <c r="E63" s="221"/>
      <c r="F63" s="221"/>
      <c r="G63" s="221"/>
      <c r="H63" s="221"/>
      <c r="I63" s="221"/>
      <c r="J63" s="221"/>
      <c r="K63" s="221"/>
      <c r="L63" s="137">
        <f t="shared" si="43"/>
        <v>0</v>
      </c>
      <c r="M63" s="137">
        <f t="shared" si="44"/>
        <v>0</v>
      </c>
      <c r="N63" s="137">
        <f t="shared" si="45"/>
        <v>0</v>
      </c>
      <c r="O63" s="221"/>
      <c r="P63" s="221">
        <f t="shared" si="22"/>
        <v>0</v>
      </c>
      <c r="Q63" s="221">
        <f t="shared" si="23"/>
        <v>0</v>
      </c>
      <c r="R63" s="221">
        <f t="shared" si="24"/>
        <v>0</v>
      </c>
      <c r="S63" s="221">
        <f t="shared" si="16"/>
        <v>0</v>
      </c>
      <c r="T63" s="281">
        <f t="shared" si="47"/>
        <v>0</v>
      </c>
      <c r="U63" s="120"/>
      <c r="V63" s="195">
        <f t="shared" si="48"/>
        <v>0</v>
      </c>
    </row>
    <row r="64" spans="1:22" ht="12.75" customHeight="1" x14ac:dyDescent="0.25">
      <c r="A64" s="14" t="s">
        <v>64</v>
      </c>
      <c r="B64" s="20" t="s">
        <v>65</v>
      </c>
      <c r="C64" s="576">
        <f>400000+11565000</f>
        <v>11965000</v>
      </c>
      <c r="D64" s="221">
        <v>8973555</v>
      </c>
      <c r="E64" s="221">
        <v>12752655</v>
      </c>
      <c r="F64" s="221"/>
      <c r="G64" s="221"/>
      <c r="H64" s="221">
        <v>1266138</v>
      </c>
      <c r="I64" s="221">
        <v>9881111</v>
      </c>
      <c r="J64" s="221"/>
      <c r="K64" s="221"/>
      <c r="L64" s="137">
        <f t="shared" si="43"/>
        <v>0.10582014208106978</v>
      </c>
      <c r="M64" s="137">
        <f t="shared" si="44"/>
        <v>1.1011367289775345</v>
      </c>
      <c r="N64" s="137">
        <f t="shared" si="45"/>
        <v>0</v>
      </c>
      <c r="O64" s="221"/>
      <c r="P64" s="302">
        <f t="shared" si="22"/>
        <v>-2991445</v>
      </c>
      <c r="Q64" s="302">
        <f t="shared" si="23"/>
        <v>3779100</v>
      </c>
      <c r="R64" s="302">
        <f t="shared" si="24"/>
        <v>0</v>
      </c>
      <c r="S64" s="302">
        <f t="shared" si="16"/>
        <v>787655</v>
      </c>
      <c r="T64" s="281">
        <f t="shared" si="47"/>
        <v>6.5829920601755118E-2</v>
      </c>
      <c r="U64" s="120"/>
      <c r="V64" s="195">
        <f t="shared" si="48"/>
        <v>0</v>
      </c>
    </row>
    <row r="65" spans="1:22" ht="40.200000000000003" customHeight="1" x14ac:dyDescent="0.25">
      <c r="A65" s="14"/>
      <c r="B65" s="20" t="s">
        <v>66</v>
      </c>
      <c r="C65" s="221"/>
      <c r="D65" s="221"/>
      <c r="E65" s="221"/>
      <c r="F65" s="221"/>
      <c r="G65" s="221"/>
      <c r="H65" s="221"/>
      <c r="I65" s="221"/>
      <c r="J65" s="221"/>
      <c r="K65" s="221"/>
      <c r="L65" s="137">
        <f t="shared" si="43"/>
        <v>0</v>
      </c>
      <c r="M65" s="137">
        <f t="shared" si="44"/>
        <v>0</v>
      </c>
      <c r="N65" s="137">
        <f t="shared" si="45"/>
        <v>0</v>
      </c>
      <c r="O65" s="221"/>
      <c r="P65" s="221">
        <f t="shared" si="22"/>
        <v>0</v>
      </c>
      <c r="Q65" s="221">
        <f t="shared" si="23"/>
        <v>0</v>
      </c>
      <c r="R65" s="221">
        <f t="shared" si="24"/>
        <v>0</v>
      </c>
      <c r="S65" s="221">
        <f t="shared" si="16"/>
        <v>0</v>
      </c>
      <c r="T65" s="281">
        <f t="shared" ref="T65:T102" si="49">IF(C65=0,0,+S65/C65)</f>
        <v>0</v>
      </c>
      <c r="U65" s="120"/>
      <c r="V65" s="195">
        <f t="shared" ref="V65:V102" si="50">+S65-E65+C65</f>
        <v>0</v>
      </c>
    </row>
    <row r="66" spans="1:22" ht="12.75" customHeight="1" x14ac:dyDescent="0.25">
      <c r="A66" s="38" t="s">
        <v>67</v>
      </c>
      <c r="B66" s="39" t="s">
        <v>68</v>
      </c>
      <c r="C66" s="278">
        <f>SUM(C67:C70)</f>
        <v>130000</v>
      </c>
      <c r="D66" s="278">
        <f t="shared" ref="D66:J66" si="51">SUM(D67:D70)</f>
        <v>130000</v>
      </c>
      <c r="E66" s="278">
        <f t="shared" si="51"/>
        <v>15000</v>
      </c>
      <c r="F66" s="278">
        <f t="shared" si="51"/>
        <v>0</v>
      </c>
      <c r="G66" s="278"/>
      <c r="H66" s="278">
        <f t="shared" si="51"/>
        <v>0</v>
      </c>
      <c r="I66" s="278">
        <f t="shared" si="51"/>
        <v>13209</v>
      </c>
      <c r="J66" s="278">
        <f t="shared" si="51"/>
        <v>0</v>
      </c>
      <c r="K66" s="221"/>
      <c r="L66" s="137">
        <f t="shared" si="43"/>
        <v>0</v>
      </c>
      <c r="M66" s="137">
        <f t="shared" si="44"/>
        <v>0.1016076923076923</v>
      </c>
      <c r="N66" s="137">
        <f t="shared" si="45"/>
        <v>0</v>
      </c>
      <c r="O66" s="221"/>
      <c r="P66" s="221">
        <f t="shared" si="22"/>
        <v>0</v>
      </c>
      <c r="Q66" s="221">
        <f t="shared" si="23"/>
        <v>-115000</v>
      </c>
      <c r="R66" s="221">
        <f t="shared" si="24"/>
        <v>0</v>
      </c>
      <c r="S66" s="221">
        <f t="shared" si="16"/>
        <v>-115000</v>
      </c>
      <c r="T66" s="281">
        <f t="shared" si="49"/>
        <v>-0.88461538461538458</v>
      </c>
      <c r="U66" s="120"/>
      <c r="V66" s="195">
        <f t="shared" si="50"/>
        <v>0</v>
      </c>
    </row>
    <row r="67" spans="1:22" ht="12.75" customHeight="1" x14ac:dyDescent="0.25">
      <c r="A67" s="14" t="s">
        <v>69</v>
      </c>
      <c r="B67" s="20" t="s">
        <v>70</v>
      </c>
      <c r="C67" s="221">
        <v>75000</v>
      </c>
      <c r="D67" s="221">
        <v>75000</v>
      </c>
      <c r="E67" s="221">
        <v>0</v>
      </c>
      <c r="F67" s="221"/>
      <c r="G67" s="221"/>
      <c r="H67" s="221">
        <v>0</v>
      </c>
      <c r="I67" s="221">
        <v>0</v>
      </c>
      <c r="J67" s="221"/>
      <c r="K67" s="221"/>
      <c r="L67" s="137">
        <f t="shared" si="43"/>
        <v>0</v>
      </c>
      <c r="M67" s="137">
        <f t="shared" si="44"/>
        <v>0</v>
      </c>
      <c r="N67" s="137">
        <f t="shared" si="45"/>
        <v>0</v>
      </c>
      <c r="O67" s="221"/>
      <c r="P67" s="302">
        <f t="shared" si="22"/>
        <v>0</v>
      </c>
      <c r="Q67" s="302">
        <f t="shared" si="23"/>
        <v>-75000</v>
      </c>
      <c r="R67" s="302">
        <f t="shared" si="24"/>
        <v>0</v>
      </c>
      <c r="S67" s="302">
        <f t="shared" si="16"/>
        <v>-75000</v>
      </c>
      <c r="T67" s="281">
        <f t="shared" si="49"/>
        <v>-1</v>
      </c>
      <c r="U67" s="120"/>
      <c r="V67" s="195">
        <f t="shared" si="50"/>
        <v>0</v>
      </c>
    </row>
    <row r="68" spans="1:22" ht="39.6" customHeight="1" x14ac:dyDescent="0.25">
      <c r="A68" s="14"/>
      <c r="B68" s="20" t="s">
        <v>71</v>
      </c>
      <c r="C68" s="221"/>
      <c r="D68" s="221"/>
      <c r="E68" s="221"/>
      <c r="F68" s="221"/>
      <c r="G68" s="221"/>
      <c r="H68" s="221"/>
      <c r="I68" s="221"/>
      <c r="J68" s="221"/>
      <c r="K68" s="221"/>
      <c r="L68" s="137">
        <f t="shared" si="43"/>
        <v>0</v>
      </c>
      <c r="M68" s="137">
        <f t="shared" si="44"/>
        <v>0</v>
      </c>
      <c r="N68" s="137">
        <f t="shared" si="45"/>
        <v>0</v>
      </c>
      <c r="O68" s="221"/>
      <c r="P68" s="221"/>
      <c r="Q68" s="221"/>
      <c r="R68" s="221"/>
      <c r="S68" s="221">
        <f t="shared" si="16"/>
        <v>0</v>
      </c>
      <c r="T68" s="281">
        <f t="shared" si="49"/>
        <v>0</v>
      </c>
      <c r="U68" s="120"/>
      <c r="V68" s="195">
        <f t="shared" si="50"/>
        <v>0</v>
      </c>
    </row>
    <row r="69" spans="1:22" ht="12.75" customHeight="1" x14ac:dyDescent="0.25">
      <c r="A69" s="14" t="s">
        <v>72</v>
      </c>
      <c r="B69" s="20" t="s">
        <v>100</v>
      </c>
      <c r="C69" s="221">
        <v>55000</v>
      </c>
      <c r="D69" s="221">
        <v>55000</v>
      </c>
      <c r="E69" s="221">
        <v>15000</v>
      </c>
      <c r="F69" s="221"/>
      <c r="G69" s="221"/>
      <c r="H69" s="221">
        <v>0</v>
      </c>
      <c r="I69" s="221">
        <v>13209</v>
      </c>
      <c r="J69" s="221"/>
      <c r="K69" s="221"/>
      <c r="L69" s="137">
        <f t="shared" si="43"/>
        <v>0</v>
      </c>
      <c r="M69" s="137">
        <f t="shared" si="44"/>
        <v>0.24016363636363636</v>
      </c>
      <c r="N69" s="137">
        <f t="shared" si="45"/>
        <v>0</v>
      </c>
      <c r="O69" s="221"/>
      <c r="P69" s="302">
        <f t="shared" ref="P69:P95" si="52">+(D69-C69)*P$10</f>
        <v>0</v>
      </c>
      <c r="Q69" s="302">
        <f t="shared" ref="Q69:Q95" si="53">+(E69-D69)*Q$10</f>
        <v>-40000</v>
      </c>
      <c r="R69" s="302">
        <f t="shared" ref="R69:R95" si="54">+(F69-E69)*R$10</f>
        <v>0</v>
      </c>
      <c r="S69" s="302">
        <f t="shared" si="16"/>
        <v>-40000</v>
      </c>
      <c r="T69" s="281">
        <f t="shared" si="49"/>
        <v>-0.72727272727272729</v>
      </c>
      <c r="U69" s="120"/>
      <c r="V69" s="195">
        <f t="shared" si="50"/>
        <v>0</v>
      </c>
    </row>
    <row r="70" spans="1:22" ht="12.75" customHeight="1" x14ac:dyDescent="0.25">
      <c r="A70" s="14"/>
      <c r="B70" s="20" t="s">
        <v>73</v>
      </c>
      <c r="C70" s="221"/>
      <c r="D70" s="221"/>
      <c r="E70" s="221"/>
      <c r="F70" s="221"/>
      <c r="G70" s="221"/>
      <c r="H70" s="221"/>
      <c r="I70" s="221"/>
      <c r="J70" s="221"/>
      <c r="K70" s="221"/>
      <c r="L70" s="137">
        <f t="shared" si="43"/>
        <v>0</v>
      </c>
      <c r="M70" s="137">
        <f t="shared" si="44"/>
        <v>0</v>
      </c>
      <c r="N70" s="137">
        <f t="shared" si="45"/>
        <v>0</v>
      </c>
      <c r="O70" s="221"/>
      <c r="P70" s="221">
        <f t="shared" si="52"/>
        <v>0</v>
      </c>
      <c r="Q70" s="221">
        <f t="shared" si="53"/>
        <v>0</v>
      </c>
      <c r="R70" s="221">
        <f t="shared" si="54"/>
        <v>0</v>
      </c>
      <c r="S70" s="221">
        <f t="shared" si="16"/>
        <v>0</v>
      </c>
      <c r="T70" s="281">
        <f t="shared" si="49"/>
        <v>0</v>
      </c>
      <c r="U70" s="120"/>
      <c r="V70" s="195">
        <f t="shared" si="50"/>
        <v>0</v>
      </c>
    </row>
    <row r="71" spans="1:22" ht="12.75" customHeight="1" x14ac:dyDescent="0.25">
      <c r="A71" s="38" t="s">
        <v>74</v>
      </c>
      <c r="B71" s="39" t="s">
        <v>75</v>
      </c>
      <c r="C71" s="278">
        <f>SUM(C72:C81)</f>
        <v>1135000</v>
      </c>
      <c r="D71" s="278">
        <f t="shared" ref="D71:J71" si="55">SUM(D72:D81)</f>
        <v>1796000</v>
      </c>
      <c r="E71" s="278">
        <f t="shared" si="55"/>
        <v>4873200</v>
      </c>
      <c r="F71" s="278">
        <f t="shared" si="55"/>
        <v>0</v>
      </c>
      <c r="G71" s="278"/>
      <c r="H71" s="278">
        <f t="shared" si="55"/>
        <v>1078336</v>
      </c>
      <c r="I71" s="278">
        <f t="shared" si="55"/>
        <v>2944936</v>
      </c>
      <c r="J71" s="278">
        <f t="shared" si="55"/>
        <v>0</v>
      </c>
      <c r="K71" s="221"/>
      <c r="L71" s="137">
        <f t="shared" si="43"/>
        <v>0.95007577092511009</v>
      </c>
      <c r="M71" s="137">
        <f t="shared" si="44"/>
        <v>1.6397193763919822</v>
      </c>
      <c r="N71" s="137">
        <f t="shared" si="45"/>
        <v>0</v>
      </c>
      <c r="O71" s="221"/>
      <c r="P71" s="221">
        <f t="shared" si="52"/>
        <v>661000</v>
      </c>
      <c r="Q71" s="221">
        <f t="shared" si="53"/>
        <v>3077200</v>
      </c>
      <c r="R71" s="221">
        <f t="shared" si="54"/>
        <v>0</v>
      </c>
      <c r="S71" s="221">
        <f t="shared" si="16"/>
        <v>3738200</v>
      </c>
      <c r="T71" s="281">
        <f t="shared" si="49"/>
        <v>3.2935682819383261</v>
      </c>
      <c r="U71" s="120"/>
      <c r="V71" s="195">
        <f t="shared" si="50"/>
        <v>0</v>
      </c>
    </row>
    <row r="72" spans="1:22" ht="12.75" customHeight="1" x14ac:dyDescent="0.25">
      <c r="A72" s="14" t="s">
        <v>76</v>
      </c>
      <c r="B72" s="20" t="s">
        <v>77</v>
      </c>
      <c r="C72" s="221">
        <v>1100000</v>
      </c>
      <c r="D72" s="221">
        <v>1700000</v>
      </c>
      <c r="E72" s="221">
        <v>4777200</v>
      </c>
      <c r="F72" s="221"/>
      <c r="G72" s="221"/>
      <c r="H72" s="221">
        <v>988635</v>
      </c>
      <c r="I72" s="221">
        <v>2855136</v>
      </c>
      <c r="J72" s="221"/>
      <c r="K72" s="221"/>
      <c r="L72" s="137">
        <f t="shared" si="43"/>
        <v>0.8987590909090909</v>
      </c>
      <c r="M72" s="137">
        <f t="shared" si="44"/>
        <v>1.6794917647058825</v>
      </c>
      <c r="N72" s="137">
        <f t="shared" si="45"/>
        <v>0</v>
      </c>
      <c r="O72" s="221"/>
      <c r="P72" s="302">
        <f t="shared" si="52"/>
        <v>600000</v>
      </c>
      <c r="Q72" s="302">
        <f t="shared" si="53"/>
        <v>3077200</v>
      </c>
      <c r="R72" s="302">
        <f t="shared" si="54"/>
        <v>0</v>
      </c>
      <c r="S72" s="302">
        <f t="shared" si="16"/>
        <v>3677200</v>
      </c>
      <c r="T72" s="281">
        <f t="shared" si="49"/>
        <v>3.3429090909090911</v>
      </c>
      <c r="U72" s="120"/>
      <c r="V72" s="195">
        <f t="shared" si="50"/>
        <v>0</v>
      </c>
    </row>
    <row r="73" spans="1:22" ht="12.75" customHeight="1" x14ac:dyDescent="0.25">
      <c r="A73" s="14"/>
      <c r="B73" s="20" t="s">
        <v>78</v>
      </c>
      <c r="C73" s="221"/>
      <c r="D73" s="221"/>
      <c r="E73" s="221"/>
      <c r="F73" s="221"/>
      <c r="G73" s="221"/>
      <c r="H73" s="221"/>
      <c r="I73" s="221"/>
      <c r="J73" s="221"/>
      <c r="K73" s="221"/>
      <c r="L73" s="137">
        <f t="shared" si="43"/>
        <v>0</v>
      </c>
      <c r="M73" s="137">
        <f t="shared" si="44"/>
        <v>0</v>
      </c>
      <c r="N73" s="137">
        <f t="shared" si="45"/>
        <v>0</v>
      </c>
      <c r="O73" s="221"/>
      <c r="P73" s="221">
        <f t="shared" si="52"/>
        <v>0</v>
      </c>
      <c r="Q73" s="221">
        <f t="shared" si="53"/>
        <v>0</v>
      </c>
      <c r="R73" s="221">
        <f t="shared" si="54"/>
        <v>0</v>
      </c>
      <c r="S73" s="221">
        <f t="shared" si="16"/>
        <v>0</v>
      </c>
      <c r="T73" s="281">
        <f t="shared" si="49"/>
        <v>0</v>
      </c>
      <c r="U73" s="120"/>
      <c r="V73" s="195">
        <f t="shared" si="50"/>
        <v>0</v>
      </c>
    </row>
    <row r="74" spans="1:22" ht="12.75" customHeight="1" x14ac:dyDescent="0.25">
      <c r="A74" s="14" t="s">
        <v>79</v>
      </c>
      <c r="B74" s="20" t="s">
        <v>80</v>
      </c>
      <c r="C74" s="221">
        <v>30000</v>
      </c>
      <c r="D74" s="221">
        <v>61000</v>
      </c>
      <c r="E74" s="221">
        <v>61000</v>
      </c>
      <c r="F74" s="221"/>
      <c r="G74" s="221"/>
      <c r="H74" s="221">
        <v>61000</v>
      </c>
      <c r="I74" s="221">
        <v>61000</v>
      </c>
      <c r="J74" s="221"/>
      <c r="K74" s="221"/>
      <c r="L74" s="137">
        <f t="shared" si="43"/>
        <v>2.0333333333333332</v>
      </c>
      <c r="M74" s="137">
        <f t="shared" si="44"/>
        <v>1</v>
      </c>
      <c r="N74" s="137">
        <f t="shared" si="45"/>
        <v>0</v>
      </c>
      <c r="O74" s="221"/>
      <c r="P74" s="302">
        <f t="shared" si="52"/>
        <v>31000</v>
      </c>
      <c r="Q74" s="302">
        <f t="shared" si="53"/>
        <v>0</v>
      </c>
      <c r="R74" s="302">
        <f t="shared" si="54"/>
        <v>0</v>
      </c>
      <c r="S74" s="302">
        <f t="shared" si="16"/>
        <v>31000</v>
      </c>
      <c r="T74" s="281">
        <f t="shared" si="49"/>
        <v>1.0333333333333334</v>
      </c>
      <c r="U74" s="120"/>
      <c r="V74" s="195">
        <f t="shared" si="50"/>
        <v>0</v>
      </c>
    </row>
    <row r="75" spans="1:22" ht="12.75" customHeight="1" x14ac:dyDescent="0.25">
      <c r="A75" s="14"/>
      <c r="B75" s="20" t="s">
        <v>101</v>
      </c>
      <c r="C75" s="221"/>
      <c r="D75" s="221"/>
      <c r="E75" s="221"/>
      <c r="F75" s="221"/>
      <c r="G75" s="221"/>
      <c r="H75" s="221"/>
      <c r="I75" s="221"/>
      <c r="J75" s="221"/>
      <c r="K75" s="221"/>
      <c r="L75" s="137">
        <f t="shared" si="43"/>
        <v>0</v>
      </c>
      <c r="M75" s="137">
        <f t="shared" si="44"/>
        <v>0</v>
      </c>
      <c r="N75" s="137">
        <f t="shared" si="45"/>
        <v>0</v>
      </c>
      <c r="O75" s="221"/>
      <c r="P75" s="221">
        <f t="shared" si="52"/>
        <v>0</v>
      </c>
      <c r="Q75" s="221">
        <f t="shared" si="53"/>
        <v>0</v>
      </c>
      <c r="R75" s="221">
        <f t="shared" si="54"/>
        <v>0</v>
      </c>
      <c r="S75" s="221">
        <f t="shared" si="16"/>
        <v>0</v>
      </c>
      <c r="T75" s="281">
        <f t="shared" si="49"/>
        <v>0</v>
      </c>
      <c r="U75" s="120"/>
      <c r="V75" s="195">
        <f t="shared" si="50"/>
        <v>0</v>
      </c>
    </row>
    <row r="76" spans="1:22" ht="12.75" customHeight="1" x14ac:dyDescent="0.25">
      <c r="A76" s="14" t="s">
        <v>81</v>
      </c>
      <c r="B76" s="20" t="s">
        <v>82</v>
      </c>
      <c r="C76" s="221">
        <v>0</v>
      </c>
      <c r="D76" s="221">
        <v>0</v>
      </c>
      <c r="E76" s="221">
        <v>0</v>
      </c>
      <c r="F76" s="221"/>
      <c r="G76" s="221"/>
      <c r="H76" s="221">
        <v>0</v>
      </c>
      <c r="I76" s="221">
        <v>0</v>
      </c>
      <c r="J76" s="221"/>
      <c r="K76" s="221"/>
      <c r="L76" s="137">
        <f t="shared" si="43"/>
        <v>0</v>
      </c>
      <c r="M76" s="137">
        <f t="shared" si="44"/>
        <v>0</v>
      </c>
      <c r="N76" s="137">
        <f t="shared" si="45"/>
        <v>0</v>
      </c>
      <c r="O76" s="221"/>
      <c r="P76" s="221">
        <f t="shared" si="52"/>
        <v>0</v>
      </c>
      <c r="Q76" s="221">
        <f t="shared" si="53"/>
        <v>0</v>
      </c>
      <c r="R76" s="221">
        <f t="shared" si="54"/>
        <v>0</v>
      </c>
      <c r="S76" s="221">
        <f t="shared" si="16"/>
        <v>0</v>
      </c>
      <c r="T76" s="281">
        <f t="shared" si="49"/>
        <v>0</v>
      </c>
      <c r="U76" s="120"/>
      <c r="V76" s="195">
        <f t="shared" si="50"/>
        <v>0</v>
      </c>
    </row>
    <row r="77" spans="1:22" ht="12.75" customHeight="1" x14ac:dyDescent="0.25">
      <c r="A77" s="14"/>
      <c r="B77" s="20" t="s">
        <v>106</v>
      </c>
      <c r="C77" s="221"/>
      <c r="D77" s="221"/>
      <c r="E77" s="221"/>
      <c r="F77" s="221"/>
      <c r="G77" s="221"/>
      <c r="H77" s="221"/>
      <c r="I77" s="221"/>
      <c r="J77" s="221"/>
      <c r="K77" s="221"/>
      <c r="L77" s="137">
        <f t="shared" si="43"/>
        <v>0</v>
      </c>
      <c r="M77" s="137">
        <f t="shared" si="44"/>
        <v>0</v>
      </c>
      <c r="N77" s="137">
        <f t="shared" si="45"/>
        <v>0</v>
      </c>
      <c r="O77" s="221"/>
      <c r="P77" s="221">
        <f t="shared" si="52"/>
        <v>0</v>
      </c>
      <c r="Q77" s="221">
        <f t="shared" si="53"/>
        <v>0</v>
      </c>
      <c r="R77" s="221">
        <f t="shared" si="54"/>
        <v>0</v>
      </c>
      <c r="S77" s="221">
        <f t="shared" si="16"/>
        <v>0</v>
      </c>
      <c r="T77" s="281">
        <f t="shared" si="49"/>
        <v>0</v>
      </c>
      <c r="U77" s="120"/>
      <c r="V77" s="195">
        <f t="shared" si="50"/>
        <v>0</v>
      </c>
    </row>
    <row r="78" spans="1:22" ht="12.75" customHeight="1" x14ac:dyDescent="0.25">
      <c r="A78" s="14" t="s">
        <v>84</v>
      </c>
      <c r="B78" s="20" t="s">
        <v>85</v>
      </c>
      <c r="C78" s="221">
        <v>0</v>
      </c>
      <c r="D78" s="221">
        <v>0</v>
      </c>
      <c r="E78" s="221">
        <v>0</v>
      </c>
      <c r="F78" s="221"/>
      <c r="G78" s="221"/>
      <c r="H78" s="221">
        <v>0</v>
      </c>
      <c r="I78" s="221">
        <v>0</v>
      </c>
      <c r="J78" s="221"/>
      <c r="K78" s="221"/>
      <c r="L78" s="137">
        <f t="shared" si="43"/>
        <v>0</v>
      </c>
      <c r="M78" s="137">
        <f t="shared" si="44"/>
        <v>0</v>
      </c>
      <c r="N78" s="137">
        <f t="shared" si="45"/>
        <v>0</v>
      </c>
      <c r="O78" s="221"/>
      <c r="P78" s="221">
        <f t="shared" si="52"/>
        <v>0</v>
      </c>
      <c r="Q78" s="221">
        <f t="shared" si="53"/>
        <v>0</v>
      </c>
      <c r="R78" s="221">
        <f t="shared" si="54"/>
        <v>0</v>
      </c>
      <c r="S78" s="221">
        <f t="shared" ref="S78:S89" si="56">+P78*P$10+Q78*Q$10+R78*R$10</f>
        <v>0</v>
      </c>
      <c r="T78" s="281">
        <f t="shared" si="49"/>
        <v>0</v>
      </c>
      <c r="U78" s="120"/>
      <c r="V78" s="195">
        <f t="shared" si="50"/>
        <v>0</v>
      </c>
    </row>
    <row r="79" spans="1:22" ht="12.75" customHeight="1" x14ac:dyDescent="0.25">
      <c r="A79" s="14"/>
      <c r="B79" s="20" t="s">
        <v>86</v>
      </c>
      <c r="C79" s="221"/>
      <c r="D79" s="221"/>
      <c r="E79" s="221"/>
      <c r="F79" s="221"/>
      <c r="G79" s="221"/>
      <c r="H79" s="221"/>
      <c r="I79" s="221"/>
      <c r="J79" s="221"/>
      <c r="K79" s="221"/>
      <c r="L79" s="137">
        <f t="shared" si="43"/>
        <v>0</v>
      </c>
      <c r="M79" s="137">
        <f t="shared" si="44"/>
        <v>0</v>
      </c>
      <c r="N79" s="137">
        <f t="shared" si="45"/>
        <v>0</v>
      </c>
      <c r="O79" s="221"/>
      <c r="P79" s="221">
        <f t="shared" si="52"/>
        <v>0</v>
      </c>
      <c r="Q79" s="221">
        <f t="shared" si="53"/>
        <v>0</v>
      </c>
      <c r="R79" s="221">
        <f t="shared" si="54"/>
        <v>0</v>
      </c>
      <c r="S79" s="221">
        <f t="shared" si="56"/>
        <v>0</v>
      </c>
      <c r="T79" s="281">
        <f t="shared" si="49"/>
        <v>0</v>
      </c>
      <c r="U79" s="120"/>
      <c r="V79" s="195">
        <f t="shared" si="50"/>
        <v>0</v>
      </c>
    </row>
    <row r="80" spans="1:22" ht="12.75" customHeight="1" x14ac:dyDescent="0.25">
      <c r="A80" s="14" t="s">
        <v>87</v>
      </c>
      <c r="B80" s="20" t="s">
        <v>88</v>
      </c>
      <c r="C80" s="221">
        <v>5000</v>
      </c>
      <c r="D80" s="221">
        <v>35000</v>
      </c>
      <c r="E80" s="221">
        <v>35000</v>
      </c>
      <c r="F80" s="221"/>
      <c r="G80" s="221"/>
      <c r="H80" s="221">
        <v>28701</v>
      </c>
      <c r="I80" s="221">
        <v>28800</v>
      </c>
      <c r="J80" s="221"/>
      <c r="K80" s="221"/>
      <c r="L80" s="137">
        <f t="shared" si="43"/>
        <v>5.7401999999999997</v>
      </c>
      <c r="M80" s="137">
        <f t="shared" si="44"/>
        <v>0.82285714285714284</v>
      </c>
      <c r="N80" s="137">
        <f t="shared" si="45"/>
        <v>0</v>
      </c>
      <c r="O80" s="221"/>
      <c r="P80" s="302">
        <f t="shared" si="52"/>
        <v>30000</v>
      </c>
      <c r="Q80" s="302">
        <f t="shared" si="53"/>
        <v>0</v>
      </c>
      <c r="R80" s="302">
        <f t="shared" si="54"/>
        <v>0</v>
      </c>
      <c r="S80" s="302">
        <f t="shared" si="56"/>
        <v>30000</v>
      </c>
      <c r="T80" s="281">
        <f t="shared" si="49"/>
        <v>6</v>
      </c>
      <c r="U80" s="120"/>
      <c r="V80" s="195">
        <f t="shared" si="50"/>
        <v>0</v>
      </c>
    </row>
    <row r="81" spans="1:24" ht="38.1" customHeight="1" x14ac:dyDescent="0.25">
      <c r="A81" s="14"/>
      <c r="B81" s="20" t="s">
        <v>92</v>
      </c>
      <c r="C81" s="221"/>
      <c r="D81" s="221"/>
      <c r="E81" s="221"/>
      <c r="F81" s="221"/>
      <c r="G81" s="221"/>
      <c r="H81" s="221"/>
      <c r="I81" s="221"/>
      <c r="J81" s="221"/>
      <c r="K81" s="221"/>
      <c r="L81" s="137"/>
      <c r="M81" s="137"/>
      <c r="N81" s="137"/>
      <c r="O81" s="221"/>
      <c r="P81" s="221">
        <f t="shared" si="52"/>
        <v>0</v>
      </c>
      <c r="Q81" s="221">
        <f t="shared" si="53"/>
        <v>0</v>
      </c>
      <c r="R81" s="221">
        <f t="shared" si="54"/>
        <v>0</v>
      </c>
      <c r="S81" s="221">
        <f t="shared" si="56"/>
        <v>0</v>
      </c>
      <c r="T81" s="281">
        <f t="shared" si="49"/>
        <v>0</v>
      </c>
      <c r="U81" s="120"/>
      <c r="V81" s="195">
        <f t="shared" si="50"/>
        <v>0</v>
      </c>
    </row>
    <row r="82" spans="1:24" ht="12.75" customHeight="1" x14ac:dyDescent="0.25">
      <c r="A82" s="29"/>
      <c r="B82" s="21"/>
      <c r="C82" s="221"/>
      <c r="D82" s="221"/>
      <c r="E82" s="221"/>
      <c r="F82" s="221"/>
      <c r="G82" s="221"/>
      <c r="H82" s="221"/>
      <c r="I82" s="221"/>
      <c r="J82" s="221"/>
      <c r="K82" s="221"/>
      <c r="L82" s="152"/>
      <c r="M82" s="152"/>
      <c r="N82" s="152"/>
      <c r="O82" s="221"/>
      <c r="P82" s="221">
        <f t="shared" si="52"/>
        <v>0</v>
      </c>
      <c r="Q82" s="221">
        <f t="shared" si="53"/>
        <v>0</v>
      </c>
      <c r="R82" s="221">
        <f t="shared" si="54"/>
        <v>0</v>
      </c>
      <c r="S82" s="221">
        <f t="shared" si="56"/>
        <v>0</v>
      </c>
      <c r="T82" s="281">
        <f t="shared" si="49"/>
        <v>0</v>
      </c>
      <c r="U82" s="120"/>
      <c r="V82" s="195">
        <f t="shared" si="50"/>
        <v>0</v>
      </c>
    </row>
    <row r="83" spans="1:24" s="42" customFormat="1" x14ac:dyDescent="0.25">
      <c r="A83" s="4" t="s">
        <v>158</v>
      </c>
      <c r="B83" s="3" t="s">
        <v>159</v>
      </c>
      <c r="C83" s="308">
        <f>+C84</f>
        <v>10600000</v>
      </c>
      <c r="D83" s="308">
        <f t="shared" ref="D83:F83" si="57">SUM(D84:D85)</f>
        <v>11200445</v>
      </c>
      <c r="E83" s="308">
        <f t="shared" si="57"/>
        <v>1942445</v>
      </c>
      <c r="F83" s="308">
        <f t="shared" si="57"/>
        <v>0</v>
      </c>
      <c r="G83" s="308"/>
      <c r="H83" s="308">
        <f t="shared" ref="H83:J83" si="58">SUM(H84:H85)</f>
        <v>724177</v>
      </c>
      <c r="I83" s="308">
        <f t="shared" si="58"/>
        <v>1699567</v>
      </c>
      <c r="J83" s="308">
        <f t="shared" si="58"/>
        <v>0</v>
      </c>
      <c r="K83" s="308"/>
      <c r="L83" s="85">
        <f t="shared" ref="L83:L89" si="59">IF(H83&gt;0,H83/C83,0)</f>
        <v>6.8318584905660382E-2</v>
      </c>
      <c r="M83" s="85">
        <f t="shared" ref="M83:M89" si="60">IF(I83&gt;0,I83/D83,0)</f>
        <v>0.15174102457536284</v>
      </c>
      <c r="N83" s="85">
        <f t="shared" ref="N83:N89" si="61">IF(J83&gt;0,J83/E83,0)</f>
        <v>0</v>
      </c>
      <c r="O83" s="308"/>
      <c r="P83" s="308">
        <f t="shared" si="52"/>
        <v>600445</v>
      </c>
      <c r="Q83" s="308">
        <f t="shared" si="53"/>
        <v>-9258000</v>
      </c>
      <c r="R83" s="308">
        <f t="shared" si="54"/>
        <v>0</v>
      </c>
      <c r="S83" s="308">
        <f t="shared" si="56"/>
        <v>-8657555</v>
      </c>
      <c r="T83" s="281">
        <f t="shared" ref="T83:T88" si="62">IF(C83=0,0,+S83/C83)</f>
        <v>-0.81675047169811321</v>
      </c>
      <c r="U83" s="120"/>
      <c r="V83" s="195">
        <f t="shared" ref="V83:V88" si="63">+S83-E83+C83</f>
        <v>0</v>
      </c>
    </row>
    <row r="84" spans="1:24" x14ac:dyDescent="0.25">
      <c r="A84" s="43"/>
      <c r="B84" s="44"/>
      <c r="C84" s="220">
        <v>10600000</v>
      </c>
      <c r="D84" s="221">
        <v>11200445</v>
      </c>
      <c r="E84" s="221">
        <v>1942445</v>
      </c>
      <c r="F84" s="221"/>
      <c r="G84" s="221"/>
      <c r="H84" s="221">
        <v>724177</v>
      </c>
      <c r="I84" s="221">
        <v>1699567</v>
      </c>
      <c r="J84" s="221"/>
      <c r="K84" s="221"/>
      <c r="L84" s="176">
        <f t="shared" si="59"/>
        <v>6.8318584905660382E-2</v>
      </c>
      <c r="M84" s="176">
        <f t="shared" si="60"/>
        <v>0.15174102457536284</v>
      </c>
      <c r="N84" s="176">
        <f t="shared" si="61"/>
        <v>0</v>
      </c>
      <c r="O84" s="221"/>
      <c r="P84" s="302">
        <f t="shared" si="52"/>
        <v>600445</v>
      </c>
      <c r="Q84" s="302">
        <f t="shared" si="53"/>
        <v>-9258000</v>
      </c>
      <c r="R84" s="302">
        <f t="shared" si="54"/>
        <v>0</v>
      </c>
      <c r="S84" s="302">
        <f t="shared" si="56"/>
        <v>-8657555</v>
      </c>
      <c r="T84" s="281">
        <f t="shared" si="62"/>
        <v>-0.81675047169811321</v>
      </c>
      <c r="U84" s="120"/>
      <c r="V84" s="195">
        <f t="shared" si="63"/>
        <v>0</v>
      </c>
    </row>
    <row r="85" spans="1:24" hidden="1" x14ac:dyDescent="0.25">
      <c r="A85" s="14"/>
      <c r="B85" s="20"/>
      <c r="C85" s="220"/>
      <c r="D85" s="221"/>
      <c r="E85" s="221"/>
      <c r="F85" s="221"/>
      <c r="G85" s="221"/>
      <c r="H85" s="221"/>
      <c r="I85" s="221"/>
      <c r="J85" s="221"/>
      <c r="K85" s="221"/>
      <c r="L85" s="176">
        <f t="shared" si="59"/>
        <v>0</v>
      </c>
      <c r="M85" s="176">
        <f t="shared" si="60"/>
        <v>0</v>
      </c>
      <c r="N85" s="176">
        <f t="shared" si="61"/>
        <v>0</v>
      </c>
      <c r="O85" s="221"/>
      <c r="P85" s="302">
        <f t="shared" si="52"/>
        <v>0</v>
      </c>
      <c r="Q85" s="302">
        <f t="shared" si="53"/>
        <v>0</v>
      </c>
      <c r="R85" s="302">
        <f t="shared" si="54"/>
        <v>0</v>
      </c>
      <c r="S85" s="302">
        <f t="shared" si="56"/>
        <v>0</v>
      </c>
      <c r="T85" s="281">
        <f t="shared" si="62"/>
        <v>0</v>
      </c>
      <c r="U85" s="120"/>
      <c r="V85" s="195">
        <f t="shared" si="63"/>
        <v>0</v>
      </c>
    </row>
    <row r="86" spans="1:24" s="42" customFormat="1" x14ac:dyDescent="0.25">
      <c r="A86" s="4" t="s">
        <v>173</v>
      </c>
      <c r="B86" s="3" t="s">
        <v>174</v>
      </c>
      <c r="C86" s="308">
        <f>SUM(C87:C88)</f>
        <v>0</v>
      </c>
      <c r="D86" s="308">
        <f t="shared" ref="D86:F86" si="64">SUM(D87:D88)</f>
        <v>0</v>
      </c>
      <c r="E86" s="308">
        <f t="shared" si="64"/>
        <v>0</v>
      </c>
      <c r="F86" s="308">
        <f t="shared" si="64"/>
        <v>0</v>
      </c>
      <c r="G86" s="308"/>
      <c r="H86" s="308">
        <f t="shared" ref="H86:J86" si="65">SUM(H87:H88)</f>
        <v>0</v>
      </c>
      <c r="I86" s="308">
        <f t="shared" si="65"/>
        <v>0</v>
      </c>
      <c r="J86" s="308">
        <f t="shared" si="65"/>
        <v>0</v>
      </c>
      <c r="K86" s="308"/>
      <c r="L86" s="85">
        <f t="shared" si="59"/>
        <v>0</v>
      </c>
      <c r="M86" s="85">
        <f t="shared" si="60"/>
        <v>0</v>
      </c>
      <c r="N86" s="85">
        <f t="shared" si="61"/>
        <v>0</v>
      </c>
      <c r="O86" s="308"/>
      <c r="P86" s="308">
        <f t="shared" si="52"/>
        <v>0</v>
      </c>
      <c r="Q86" s="308">
        <f t="shared" si="53"/>
        <v>0</v>
      </c>
      <c r="R86" s="308">
        <f t="shared" si="54"/>
        <v>0</v>
      </c>
      <c r="S86" s="308">
        <f t="shared" si="56"/>
        <v>0</v>
      </c>
      <c r="T86" s="281">
        <f t="shared" si="62"/>
        <v>0</v>
      </c>
      <c r="U86" s="120"/>
      <c r="V86" s="195">
        <f t="shared" si="63"/>
        <v>0</v>
      </c>
    </row>
    <row r="87" spans="1:24" x14ac:dyDescent="0.25">
      <c r="A87" s="43"/>
      <c r="B87" s="44"/>
      <c r="C87" s="220"/>
      <c r="D87" s="221"/>
      <c r="E87" s="221"/>
      <c r="F87" s="221"/>
      <c r="G87" s="221"/>
      <c r="H87" s="221"/>
      <c r="I87" s="221"/>
      <c r="J87" s="221"/>
      <c r="K87" s="221"/>
      <c r="L87" s="176">
        <f t="shared" si="59"/>
        <v>0</v>
      </c>
      <c r="M87" s="176">
        <f t="shared" si="60"/>
        <v>0</v>
      </c>
      <c r="N87" s="176">
        <f t="shared" si="61"/>
        <v>0</v>
      </c>
      <c r="O87" s="221"/>
      <c r="P87" s="302">
        <f t="shared" si="52"/>
        <v>0</v>
      </c>
      <c r="Q87" s="302">
        <f t="shared" si="53"/>
        <v>0</v>
      </c>
      <c r="R87" s="302">
        <f t="shared" si="54"/>
        <v>0</v>
      </c>
      <c r="S87" s="302">
        <f t="shared" si="56"/>
        <v>0</v>
      </c>
      <c r="T87" s="281">
        <f t="shared" si="62"/>
        <v>0</v>
      </c>
      <c r="U87" s="120"/>
      <c r="V87" s="195">
        <f t="shared" si="63"/>
        <v>0</v>
      </c>
    </row>
    <row r="88" spans="1:24" hidden="1" x14ac:dyDescent="0.25">
      <c r="A88" s="14"/>
      <c r="B88" s="20"/>
      <c r="C88" s="220"/>
      <c r="D88" s="221"/>
      <c r="E88" s="221"/>
      <c r="F88" s="221"/>
      <c r="G88" s="221"/>
      <c r="H88" s="221"/>
      <c r="I88" s="221"/>
      <c r="J88" s="221"/>
      <c r="K88" s="221"/>
      <c r="L88" s="176">
        <f t="shared" si="59"/>
        <v>0</v>
      </c>
      <c r="M88" s="176">
        <f t="shared" si="60"/>
        <v>0</v>
      </c>
      <c r="N88" s="176">
        <f t="shared" si="61"/>
        <v>0</v>
      </c>
      <c r="O88" s="221"/>
      <c r="P88" s="302">
        <f t="shared" si="52"/>
        <v>0</v>
      </c>
      <c r="Q88" s="302">
        <f t="shared" si="53"/>
        <v>0</v>
      </c>
      <c r="R88" s="302">
        <f t="shared" si="54"/>
        <v>0</v>
      </c>
      <c r="S88" s="302">
        <f t="shared" si="56"/>
        <v>0</v>
      </c>
      <c r="T88" s="281">
        <f t="shared" si="62"/>
        <v>0</v>
      </c>
      <c r="U88" s="120"/>
      <c r="V88" s="195">
        <f t="shared" si="63"/>
        <v>0</v>
      </c>
    </row>
    <row r="89" spans="1:24" ht="18" customHeight="1" x14ac:dyDescent="0.25">
      <c r="A89" s="7"/>
      <c r="B89" s="471" t="s">
        <v>372</v>
      </c>
      <c r="C89" s="478">
        <f>C13+C29+C32+C83+C86</f>
        <v>53000000</v>
      </c>
      <c r="D89" s="478">
        <f t="shared" ref="D89:J89" si="66">D13+D29+D32+D83+D86</f>
        <v>53000000</v>
      </c>
      <c r="E89" s="478">
        <f t="shared" si="66"/>
        <v>57000000</v>
      </c>
      <c r="F89" s="478">
        <f t="shared" si="66"/>
        <v>0</v>
      </c>
      <c r="G89" s="478"/>
      <c r="H89" s="478">
        <f t="shared" si="66"/>
        <v>16779304</v>
      </c>
      <c r="I89" s="478">
        <f t="shared" si="66"/>
        <v>37075792</v>
      </c>
      <c r="J89" s="478">
        <f t="shared" si="66"/>
        <v>0</v>
      </c>
      <c r="K89" s="216"/>
      <c r="L89" s="85">
        <f t="shared" si="59"/>
        <v>0.31659064150943395</v>
      </c>
      <c r="M89" s="85">
        <f t="shared" si="60"/>
        <v>0.69954324528301892</v>
      </c>
      <c r="N89" s="85">
        <f t="shared" si="61"/>
        <v>0</v>
      </c>
      <c r="O89" s="216"/>
      <c r="P89" s="216">
        <f t="shared" si="52"/>
        <v>0</v>
      </c>
      <c r="Q89" s="216">
        <f t="shared" si="53"/>
        <v>4000000</v>
      </c>
      <c r="R89" s="216">
        <f t="shared" si="54"/>
        <v>0</v>
      </c>
      <c r="S89" s="216">
        <f t="shared" si="56"/>
        <v>4000000</v>
      </c>
      <c r="T89" s="281">
        <f t="shared" si="49"/>
        <v>7.5471698113207544E-2</v>
      </c>
      <c r="U89" s="120"/>
      <c r="V89" s="195">
        <f t="shared" si="50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22"/>
      <c r="V90" s="195">
        <f t="shared" si="50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468"/>
      <c r="M91" s="468"/>
      <c r="N91" s="46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ht="12.75" customHeight="1" x14ac:dyDescent="0.25">
      <c r="A93" s="4" t="s">
        <v>240</v>
      </c>
      <c r="B93" s="3" t="s">
        <v>392</v>
      </c>
      <c r="C93" s="219">
        <v>0</v>
      </c>
      <c r="D93" s="305">
        <f>+D94</f>
        <v>0</v>
      </c>
      <c r="E93" s="305">
        <f>+E94</f>
        <v>0</v>
      </c>
      <c r="F93" s="305">
        <f>+F94</f>
        <v>0</v>
      </c>
      <c r="G93" s="305"/>
      <c r="H93" s="305">
        <f>+H94</f>
        <v>3054770</v>
      </c>
      <c r="I93" s="305">
        <f>+I94</f>
        <v>3054770</v>
      </c>
      <c r="J93" s="305">
        <f>+J94</f>
        <v>0</v>
      </c>
      <c r="K93" s="305"/>
      <c r="L93" s="85" t="e">
        <f t="shared" ref="L93:L102" si="67">IF(H93&gt;0,H93/C93,0)</f>
        <v>#DIV/0!</v>
      </c>
      <c r="M93" s="85" t="e">
        <f t="shared" ref="M93:M102" si="68">IF(I93&gt;0,I93/D93,0)</f>
        <v>#DIV/0!</v>
      </c>
      <c r="N93" s="85">
        <f t="shared" ref="N93:N102" si="69">IF(J93&gt;0,J93/E93,0)</f>
        <v>0</v>
      </c>
      <c r="O93" s="305"/>
      <c r="P93" s="305">
        <f t="shared" si="52"/>
        <v>0</v>
      </c>
      <c r="Q93" s="305">
        <f t="shared" si="53"/>
        <v>0</v>
      </c>
      <c r="R93" s="305">
        <f t="shared" si="54"/>
        <v>0</v>
      </c>
      <c r="S93" s="305">
        <f t="shared" ref="S93:S102" si="70">+P93*P$10+Q93*Q$10+R93*R$10</f>
        <v>0</v>
      </c>
      <c r="T93" s="281">
        <f t="shared" si="49"/>
        <v>0</v>
      </c>
      <c r="U93" s="120"/>
      <c r="V93" s="195">
        <f t="shared" si="50"/>
        <v>0</v>
      </c>
    </row>
    <row r="94" spans="1:24" ht="12.75" customHeight="1" x14ac:dyDescent="0.25">
      <c r="A94" s="43" t="s">
        <v>260</v>
      </c>
      <c r="B94" s="44" t="s">
        <v>391</v>
      </c>
      <c r="C94" s="306">
        <v>0</v>
      </c>
      <c r="D94" s="307">
        <v>0</v>
      </c>
      <c r="E94" s="307">
        <v>0</v>
      </c>
      <c r="F94" s="307"/>
      <c r="G94" s="307"/>
      <c r="H94" s="307">
        <v>3054770</v>
      </c>
      <c r="I94" s="307">
        <v>3054770</v>
      </c>
      <c r="J94" s="307"/>
      <c r="K94" s="307"/>
      <c r="L94" s="176" t="e">
        <f t="shared" si="67"/>
        <v>#DIV/0!</v>
      </c>
      <c r="M94" s="176" t="e">
        <f t="shared" si="68"/>
        <v>#DIV/0!</v>
      </c>
      <c r="N94" s="176">
        <f t="shared" si="69"/>
        <v>0</v>
      </c>
      <c r="O94" s="307"/>
      <c r="P94" s="302">
        <f t="shared" si="52"/>
        <v>0</v>
      </c>
      <c r="Q94" s="302">
        <f t="shared" si="53"/>
        <v>0</v>
      </c>
      <c r="R94" s="302">
        <f t="shared" si="54"/>
        <v>0</v>
      </c>
      <c r="S94" s="302">
        <f t="shared" si="70"/>
        <v>0</v>
      </c>
      <c r="T94" s="281">
        <f t="shared" si="49"/>
        <v>0</v>
      </c>
      <c r="U94" s="120"/>
      <c r="V94" s="195">
        <f t="shared" si="50"/>
        <v>0</v>
      </c>
    </row>
    <row r="95" spans="1:24" s="42" customFormat="1" ht="15" customHeight="1" x14ac:dyDescent="0.25">
      <c r="A95" s="4" t="s">
        <v>282</v>
      </c>
      <c r="B95" s="3" t="s">
        <v>283</v>
      </c>
      <c r="C95" s="219">
        <f>SUM(C96:C98)</f>
        <v>821000</v>
      </c>
      <c r="D95" s="305">
        <f>+D96+D97+D98</f>
        <v>821000</v>
      </c>
      <c r="E95" s="305">
        <f>+E96+E97+E98</f>
        <v>821000</v>
      </c>
      <c r="F95" s="305">
        <f>+F96+F97+F98</f>
        <v>0</v>
      </c>
      <c r="G95" s="305"/>
      <c r="H95" s="305">
        <f>+H96+H97+H98</f>
        <v>673005</v>
      </c>
      <c r="I95" s="305">
        <f>+I96+I97+I98</f>
        <v>906976</v>
      </c>
      <c r="J95" s="305">
        <f>+J96+J97+J98</f>
        <v>0</v>
      </c>
      <c r="K95" s="305"/>
      <c r="L95" s="85">
        <f t="shared" si="67"/>
        <v>0.81973812423873327</v>
      </c>
      <c r="M95" s="85">
        <f t="shared" si="68"/>
        <v>1.1047210718635809</v>
      </c>
      <c r="N95" s="85">
        <f t="shared" si="69"/>
        <v>0</v>
      </c>
      <c r="O95" s="305"/>
      <c r="P95" s="305">
        <f t="shared" si="52"/>
        <v>0</v>
      </c>
      <c r="Q95" s="305">
        <f t="shared" si="53"/>
        <v>0</v>
      </c>
      <c r="R95" s="305">
        <f t="shared" si="54"/>
        <v>0</v>
      </c>
      <c r="S95" s="305">
        <f t="shared" si="70"/>
        <v>0</v>
      </c>
      <c r="T95" s="281">
        <f t="shared" si="49"/>
        <v>0</v>
      </c>
      <c r="U95" s="120"/>
      <c r="V95" s="195">
        <f t="shared" si="50"/>
        <v>0</v>
      </c>
    </row>
    <row r="96" spans="1:24" s="8" customFormat="1" x14ac:dyDescent="0.25">
      <c r="A96" s="14" t="s">
        <v>285</v>
      </c>
      <c r="B96" s="20" t="s">
        <v>286</v>
      </c>
      <c r="C96" s="306">
        <v>800000</v>
      </c>
      <c r="D96" s="306">
        <v>800000</v>
      </c>
      <c r="E96" s="307">
        <v>800000</v>
      </c>
      <c r="F96" s="307"/>
      <c r="G96" s="307"/>
      <c r="H96" s="307">
        <f>18662+633387</f>
        <v>652049</v>
      </c>
      <c r="I96" s="307">
        <f>18662+845666</f>
        <v>864328</v>
      </c>
      <c r="J96" s="307"/>
      <c r="K96" s="307"/>
      <c r="L96" s="176">
        <f t="shared" si="67"/>
        <v>0.81506124999999996</v>
      </c>
      <c r="M96" s="176">
        <f t="shared" si="68"/>
        <v>1.0804100000000001</v>
      </c>
      <c r="N96" s="176">
        <f t="shared" si="69"/>
        <v>0</v>
      </c>
      <c r="O96" s="307"/>
      <c r="P96" s="302">
        <f t="shared" ref="P96:P102" si="71">+(D96-C96)*P$10</f>
        <v>0</v>
      </c>
      <c r="Q96" s="302">
        <f t="shared" ref="Q96:Q102" si="72">+(E96-D96)*Q$10</f>
        <v>0</v>
      </c>
      <c r="R96" s="302">
        <f t="shared" ref="R96:R102" si="73">+(F96-E96)*R$10</f>
        <v>0</v>
      </c>
      <c r="S96" s="302">
        <f t="shared" si="70"/>
        <v>0</v>
      </c>
      <c r="T96" s="281">
        <f t="shared" si="49"/>
        <v>0</v>
      </c>
      <c r="U96" s="120"/>
      <c r="V96" s="195">
        <f t="shared" si="50"/>
        <v>0</v>
      </c>
    </row>
    <row r="97" spans="1:22" x14ac:dyDescent="0.25">
      <c r="A97" s="14" t="s">
        <v>296</v>
      </c>
      <c r="B97" s="20" t="s">
        <v>297</v>
      </c>
      <c r="C97" s="220">
        <v>11000</v>
      </c>
      <c r="D97" s="220">
        <v>11000</v>
      </c>
      <c r="E97" s="221">
        <v>11000</v>
      </c>
      <c r="F97" s="221"/>
      <c r="G97" s="221"/>
      <c r="H97" s="221">
        <v>19291</v>
      </c>
      <c r="I97" s="221">
        <v>40062</v>
      </c>
      <c r="J97" s="221"/>
      <c r="K97" s="221"/>
      <c r="L97" s="176">
        <f t="shared" si="67"/>
        <v>1.7537272727272728</v>
      </c>
      <c r="M97" s="176">
        <f t="shared" si="68"/>
        <v>3.6419999999999999</v>
      </c>
      <c r="N97" s="176">
        <f t="shared" si="69"/>
        <v>0</v>
      </c>
      <c r="O97" s="221"/>
      <c r="P97" s="302">
        <f t="shared" si="71"/>
        <v>0</v>
      </c>
      <c r="Q97" s="302">
        <f t="shared" si="72"/>
        <v>0</v>
      </c>
      <c r="R97" s="302">
        <f t="shared" si="73"/>
        <v>0</v>
      </c>
      <c r="S97" s="302">
        <f t="shared" si="70"/>
        <v>0</v>
      </c>
      <c r="T97" s="281">
        <f t="shared" si="49"/>
        <v>0</v>
      </c>
      <c r="U97" s="120"/>
      <c r="V97" s="195">
        <f t="shared" si="50"/>
        <v>0</v>
      </c>
    </row>
    <row r="98" spans="1:22" ht="27" customHeight="1" x14ac:dyDescent="0.25">
      <c r="A98" s="482" t="s">
        <v>480</v>
      </c>
      <c r="B98" s="482" t="s">
        <v>481</v>
      </c>
      <c r="C98" s="220">
        <v>10000</v>
      </c>
      <c r="D98" s="220">
        <v>10000</v>
      </c>
      <c r="E98" s="221">
        <v>10000</v>
      </c>
      <c r="F98" s="221"/>
      <c r="G98" s="221"/>
      <c r="H98" s="221">
        <f>336+1329</f>
        <v>1665</v>
      </c>
      <c r="I98" s="221">
        <f>398+2188</f>
        <v>2586</v>
      </c>
      <c r="J98" s="221"/>
      <c r="K98" s="221"/>
      <c r="L98" s="176">
        <f t="shared" si="67"/>
        <v>0.16650000000000001</v>
      </c>
      <c r="M98" s="176">
        <f t="shared" si="68"/>
        <v>0.2586</v>
      </c>
      <c r="N98" s="176">
        <f t="shared" si="69"/>
        <v>0</v>
      </c>
      <c r="O98" s="221"/>
      <c r="P98" s="302">
        <f t="shared" si="71"/>
        <v>0</v>
      </c>
      <c r="Q98" s="302">
        <f t="shared" si="72"/>
        <v>0</v>
      </c>
      <c r="R98" s="302">
        <f t="shared" si="73"/>
        <v>0</v>
      </c>
      <c r="S98" s="302">
        <f t="shared" si="70"/>
        <v>0</v>
      </c>
      <c r="T98" s="281">
        <f t="shared" si="49"/>
        <v>0</v>
      </c>
      <c r="U98" s="120"/>
      <c r="V98" s="195">
        <f t="shared" si="50"/>
        <v>0</v>
      </c>
    </row>
    <row r="99" spans="1:22" s="42" customFormat="1" x14ac:dyDescent="0.25">
      <c r="A99" s="4" t="s">
        <v>328</v>
      </c>
      <c r="B99" s="3" t="s">
        <v>329</v>
      </c>
      <c r="C99" s="308">
        <f>SUM(C100:C101)</f>
        <v>52179000</v>
      </c>
      <c r="D99" s="308">
        <f t="shared" ref="D99:J99" si="74">SUM(D100:D101)</f>
        <v>52179000</v>
      </c>
      <c r="E99" s="308">
        <f t="shared" si="74"/>
        <v>56179000</v>
      </c>
      <c r="F99" s="308">
        <f t="shared" si="74"/>
        <v>0</v>
      </c>
      <c r="G99" s="308"/>
      <c r="H99" s="308">
        <f t="shared" si="74"/>
        <v>17216457</v>
      </c>
      <c r="I99" s="308">
        <f t="shared" si="74"/>
        <v>35221475</v>
      </c>
      <c r="J99" s="308">
        <f t="shared" si="74"/>
        <v>0</v>
      </c>
      <c r="K99" s="308"/>
      <c r="L99" s="85">
        <f t="shared" si="67"/>
        <v>0.32994992238256771</v>
      </c>
      <c r="M99" s="85">
        <f t="shared" si="68"/>
        <v>0.67501245711876423</v>
      </c>
      <c r="N99" s="85">
        <f t="shared" si="69"/>
        <v>0</v>
      </c>
      <c r="O99" s="308"/>
      <c r="P99" s="308">
        <f t="shared" si="71"/>
        <v>0</v>
      </c>
      <c r="Q99" s="308">
        <f t="shared" si="72"/>
        <v>4000000</v>
      </c>
      <c r="R99" s="308">
        <f t="shared" si="73"/>
        <v>0</v>
      </c>
      <c r="S99" s="308">
        <f t="shared" si="70"/>
        <v>4000000</v>
      </c>
      <c r="T99" s="281">
        <f t="shared" si="49"/>
        <v>7.665919239540811E-2</v>
      </c>
      <c r="U99" s="120"/>
      <c r="V99" s="195">
        <f t="shared" si="50"/>
        <v>0</v>
      </c>
    </row>
    <row r="100" spans="1:22" x14ac:dyDescent="0.25">
      <c r="A100" s="43" t="s">
        <v>354</v>
      </c>
      <c r="B100" s="44" t="s">
        <v>383</v>
      </c>
      <c r="C100" s="220">
        <f>C105</f>
        <v>45073370</v>
      </c>
      <c r="D100" s="221">
        <v>45073370</v>
      </c>
      <c r="E100" s="221">
        <v>49073370</v>
      </c>
      <c r="F100" s="221"/>
      <c r="G100" s="221"/>
      <c r="H100" s="221">
        <v>10110827</v>
      </c>
      <c r="I100" s="221">
        <v>28115845</v>
      </c>
      <c r="J100" s="221"/>
      <c r="K100" s="221"/>
      <c r="L100" s="176">
        <f t="shared" si="67"/>
        <v>0.22431930428099786</v>
      </c>
      <c r="M100" s="176">
        <f t="shared" si="68"/>
        <v>0.62377951770635298</v>
      </c>
      <c r="N100" s="176">
        <f t="shared" si="69"/>
        <v>0</v>
      </c>
      <c r="O100" s="221"/>
      <c r="P100" s="302">
        <f t="shared" si="71"/>
        <v>0</v>
      </c>
      <c r="Q100" s="302">
        <f t="shared" si="72"/>
        <v>4000000</v>
      </c>
      <c r="R100" s="302">
        <f t="shared" si="73"/>
        <v>0</v>
      </c>
      <c r="S100" s="302">
        <f t="shared" si="70"/>
        <v>4000000</v>
      </c>
      <c r="T100" s="281">
        <f t="shared" si="49"/>
        <v>8.874419640688061E-2</v>
      </c>
      <c r="U100" s="120"/>
      <c r="V100" s="195">
        <f t="shared" si="50"/>
        <v>0</v>
      </c>
    </row>
    <row r="101" spans="1:22" x14ac:dyDescent="0.25">
      <c r="A101" s="14" t="s">
        <v>342</v>
      </c>
      <c r="B101" s="20" t="s">
        <v>343</v>
      </c>
      <c r="C101" s="569">
        <v>7105630</v>
      </c>
      <c r="D101" s="569">
        <v>7105630</v>
      </c>
      <c r="E101" s="221">
        <v>7105630</v>
      </c>
      <c r="F101" s="221"/>
      <c r="G101" s="221"/>
      <c r="H101" s="569">
        <v>7105630</v>
      </c>
      <c r="I101" s="221">
        <v>7105630</v>
      </c>
      <c r="J101" s="221"/>
      <c r="K101" s="221"/>
      <c r="L101" s="176">
        <f t="shared" si="67"/>
        <v>1</v>
      </c>
      <c r="M101" s="176">
        <f t="shared" si="68"/>
        <v>1</v>
      </c>
      <c r="N101" s="176">
        <f t="shared" si="69"/>
        <v>0</v>
      </c>
      <c r="O101" s="221"/>
      <c r="P101" s="302">
        <f t="shared" si="71"/>
        <v>0</v>
      </c>
      <c r="Q101" s="302">
        <f t="shared" si="72"/>
        <v>0</v>
      </c>
      <c r="R101" s="302">
        <f t="shared" si="73"/>
        <v>0</v>
      </c>
      <c r="S101" s="302">
        <f t="shared" si="70"/>
        <v>0</v>
      </c>
      <c r="T101" s="281">
        <f t="shared" si="49"/>
        <v>0</v>
      </c>
      <c r="U101" s="120"/>
      <c r="V101" s="195">
        <f t="shared" si="50"/>
        <v>0</v>
      </c>
    </row>
    <row r="102" spans="1:22" ht="23.25" customHeight="1" x14ac:dyDescent="0.25">
      <c r="A102" s="5"/>
      <c r="B102" s="5" t="s">
        <v>371</v>
      </c>
      <c r="C102" s="216">
        <f>+C93+C95+C99</f>
        <v>53000000</v>
      </c>
      <c r="D102" s="216">
        <f>+D93+D95+D99</f>
        <v>53000000</v>
      </c>
      <c r="E102" s="216">
        <f>+E93+E95+E99</f>
        <v>57000000</v>
      </c>
      <c r="F102" s="216">
        <f>+F93+F95+F99</f>
        <v>0</v>
      </c>
      <c r="G102" s="216"/>
      <c r="H102" s="216">
        <f>+H93+H95+H99</f>
        <v>20944232</v>
      </c>
      <c r="I102" s="216">
        <f>+I93+I95+I99</f>
        <v>39183221</v>
      </c>
      <c r="J102" s="216">
        <f>+J93+J95+J99</f>
        <v>0</v>
      </c>
      <c r="K102" s="216"/>
      <c r="L102" s="85">
        <f t="shared" si="67"/>
        <v>0.39517418867924531</v>
      </c>
      <c r="M102" s="85">
        <f t="shared" si="68"/>
        <v>0.73930605660377358</v>
      </c>
      <c r="N102" s="85">
        <f t="shared" si="69"/>
        <v>0</v>
      </c>
      <c r="O102" s="216"/>
      <c r="P102" s="216">
        <f t="shared" si="71"/>
        <v>0</v>
      </c>
      <c r="Q102" s="216">
        <f t="shared" si="72"/>
        <v>4000000</v>
      </c>
      <c r="R102" s="216">
        <f t="shared" si="73"/>
        <v>0</v>
      </c>
      <c r="S102" s="216">
        <f t="shared" si="70"/>
        <v>4000000</v>
      </c>
      <c r="T102" s="281">
        <f t="shared" si="49"/>
        <v>7.5471698113207544E-2</v>
      </c>
      <c r="U102" s="120"/>
      <c r="V102" s="195">
        <f t="shared" si="50"/>
        <v>0</v>
      </c>
    </row>
    <row r="103" spans="1:22" x14ac:dyDescent="0.25">
      <c r="C103" s="280"/>
      <c r="D103" s="279"/>
      <c r="E103" s="279"/>
      <c r="F103" s="279"/>
      <c r="G103" s="279"/>
      <c r="H103" s="279"/>
      <c r="I103" s="279"/>
      <c r="J103" s="279"/>
      <c r="K103" s="279"/>
      <c r="O103" s="279"/>
      <c r="P103" s="279"/>
      <c r="Q103" s="279"/>
      <c r="R103" s="279"/>
      <c r="S103" s="279"/>
    </row>
    <row r="104" spans="1:22" x14ac:dyDescent="0.25">
      <c r="C104" s="280"/>
      <c r="D104" s="280"/>
      <c r="E104" s="280"/>
      <c r="F104" s="280"/>
      <c r="G104" s="280"/>
      <c r="H104" s="280"/>
      <c r="I104" s="280"/>
      <c r="J104" s="280"/>
      <c r="K104" s="280"/>
      <c r="O104" s="280"/>
      <c r="P104" s="280"/>
      <c r="Q104" s="280"/>
      <c r="R104" s="280"/>
      <c r="S104" s="280"/>
    </row>
    <row r="105" spans="1:22" x14ac:dyDescent="0.25">
      <c r="C105" s="280">
        <f>+C89-C95-C101</f>
        <v>45073370</v>
      </c>
      <c r="D105" s="280"/>
      <c r="E105" s="280"/>
      <c r="F105" s="280"/>
      <c r="G105" s="280"/>
      <c r="H105" s="280"/>
      <c r="I105" s="280"/>
      <c r="J105" s="280"/>
      <c r="K105" s="280"/>
      <c r="O105" s="280"/>
      <c r="P105" s="280"/>
      <c r="Q105" s="280"/>
      <c r="R105" s="280"/>
      <c r="S105" s="280"/>
    </row>
    <row r="106" spans="1:22" x14ac:dyDescent="0.25">
      <c r="C106" s="280"/>
      <c r="D106" s="280"/>
      <c r="E106" s="280"/>
      <c r="F106" s="280"/>
      <c r="G106" s="280"/>
      <c r="H106" s="280"/>
      <c r="I106" s="280"/>
      <c r="J106" s="280"/>
      <c r="K106" s="280"/>
      <c r="O106" s="280"/>
      <c r="P106" s="280"/>
      <c r="Q106" s="280"/>
      <c r="R106" s="280"/>
      <c r="S106" s="280"/>
    </row>
    <row r="107" spans="1:22" x14ac:dyDescent="0.25">
      <c r="A107" s="59"/>
      <c r="B107" s="59"/>
      <c r="C107" s="280"/>
      <c r="D107" s="280"/>
      <c r="E107" s="280"/>
      <c r="F107" s="280"/>
      <c r="G107" s="280"/>
      <c r="H107" s="280"/>
      <c r="I107" s="280"/>
      <c r="J107" s="280"/>
      <c r="K107" s="280"/>
      <c r="O107" s="280"/>
      <c r="P107" s="280"/>
      <c r="Q107" s="280"/>
      <c r="R107" s="280"/>
      <c r="S107" s="280"/>
    </row>
    <row r="108" spans="1:22" x14ac:dyDescent="0.25">
      <c r="B108" s="59"/>
      <c r="C108" s="280"/>
      <c r="D108" s="280"/>
      <c r="E108" s="280"/>
      <c r="F108" s="280"/>
      <c r="G108" s="280"/>
      <c r="H108" s="280"/>
      <c r="I108" s="280"/>
      <c r="J108" s="280"/>
      <c r="K108" s="280"/>
      <c r="O108" s="280"/>
      <c r="P108" s="280"/>
      <c r="Q108" s="280"/>
      <c r="R108" s="280"/>
      <c r="S108" s="280"/>
    </row>
    <row r="109" spans="1:22" x14ac:dyDescent="0.25">
      <c r="C109" s="280"/>
      <c r="D109" s="280"/>
      <c r="E109" s="280"/>
      <c r="F109" s="280"/>
      <c r="G109" s="280"/>
      <c r="H109" s="280"/>
      <c r="I109" s="280"/>
      <c r="J109" s="280"/>
      <c r="K109" s="280"/>
      <c r="O109" s="280"/>
      <c r="P109" s="280"/>
      <c r="Q109" s="280"/>
      <c r="R109" s="280"/>
      <c r="S109" s="280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9" scale="54" fitToHeight="0" orientation="landscape" r:id="rId1"/>
  <headerFooter alignWithMargins="0">
    <oddHeader>&amp;R&amp;"Arial,Félkövér dőlt"&amp;A  /&amp;"Arial,Normál"
&amp;"Arial,Dőlt"&amp;8&amp;F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view="pageBreakPreview" zoomScaleNormal="75" zoomScaleSheetLayoutView="100" workbookViewId="0">
      <selection activeCell="B3" sqref="B3"/>
    </sheetView>
  </sheetViews>
  <sheetFormatPr defaultRowHeight="13.2" x14ac:dyDescent="0.25"/>
  <cols>
    <col min="1" max="1" width="6.88671875" style="25" customWidth="1"/>
    <col min="2" max="2" width="56.44140625" style="13" customWidth="1"/>
    <col min="3" max="3" width="15.5546875" style="17" customWidth="1"/>
    <col min="4" max="4" width="15.5546875" style="13" customWidth="1"/>
    <col min="5" max="5" width="15.109375" style="13" customWidth="1"/>
    <col min="6" max="6" width="13.21875" style="13" customWidth="1"/>
    <col min="7" max="7" width="0.6640625" style="13" customWidth="1"/>
    <col min="8" max="9" width="15.5546875" style="13" customWidth="1"/>
    <col min="10" max="10" width="15.21875" style="13" customWidth="1"/>
    <col min="11" max="11" width="0.6640625" style="13" customWidth="1"/>
    <col min="12" max="12" width="13.5546875" style="13" bestFit="1" customWidth="1"/>
    <col min="13" max="13" width="11.33203125" style="13" bestFit="1" customWidth="1"/>
    <col min="14" max="14" width="10.88671875" style="13" customWidth="1"/>
    <col min="15" max="15" width="0.77734375" style="13" customWidth="1"/>
    <col min="16" max="17" width="14.5546875" style="13" customWidth="1"/>
    <col min="18" max="19" width="15.5546875" style="13" customWidth="1"/>
    <col min="20" max="20" width="10.5546875" style="13" customWidth="1"/>
    <col min="21" max="21" width="0.664062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578" t="s">
        <v>455</v>
      </c>
      <c r="B1" s="227"/>
      <c r="C1" s="227"/>
      <c r="D1" s="227"/>
      <c r="E1" s="769"/>
      <c r="F1" s="227"/>
      <c r="G1" s="226"/>
      <c r="H1" s="225"/>
      <c r="I1" s="225"/>
      <c r="J1" s="224" t="str">
        <f>+'1. Sülysáp összesen'!J1</f>
        <v>2022. III. Negyedéves költségvetési beszámoló</v>
      </c>
      <c r="K1" s="229"/>
      <c r="L1" s="229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46"/>
      <c r="X1" s="46"/>
      <c r="Y1" s="46"/>
    </row>
    <row r="2" spans="1:26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</row>
    <row r="3" spans="1:26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</row>
    <row r="4" spans="1:26" x14ac:dyDescent="0.25">
      <c r="A4" s="64"/>
      <c r="B4" s="65"/>
      <c r="C4" s="88"/>
      <c r="D4" s="88"/>
      <c r="E4" s="88"/>
      <c r="F4" s="88"/>
      <c r="G4" s="88"/>
      <c r="H4" s="88"/>
      <c r="I4" s="88"/>
      <c r="J4" s="88"/>
      <c r="K4" s="88"/>
      <c r="L4" s="65"/>
      <c r="M4" s="65"/>
      <c r="N4" s="65"/>
      <c r="O4" s="65"/>
      <c r="P4" s="88"/>
      <c r="Q4" s="88"/>
      <c r="R4" s="88"/>
      <c r="S4" s="88"/>
      <c r="T4" s="88"/>
      <c r="U4" s="65"/>
      <c r="V4" s="65"/>
      <c r="W4" s="122"/>
      <c r="X4" s="122"/>
    </row>
    <row r="5" spans="1:26" ht="20.100000000000001" customHeight="1" x14ac:dyDescent="0.3">
      <c r="A5" s="249"/>
      <c r="B5" s="249" t="s">
        <v>372</v>
      </c>
      <c r="C5" s="250">
        <f>+C89</f>
        <v>50435000</v>
      </c>
      <c r="D5" s="250">
        <f t="shared" ref="D5:H5" si="0">+D89</f>
        <v>50435000</v>
      </c>
      <c r="E5" s="250">
        <f t="shared" si="0"/>
        <v>50435000</v>
      </c>
      <c r="F5" s="250">
        <f t="shared" ref="F5" si="1">+F89</f>
        <v>0</v>
      </c>
      <c r="G5" s="250"/>
      <c r="H5" s="250">
        <f t="shared" si="0"/>
        <v>21951926</v>
      </c>
      <c r="I5" s="250">
        <f>+I89</f>
        <v>37228873</v>
      </c>
      <c r="J5" s="250">
        <f t="shared" ref="J5" si="2">+J89</f>
        <v>0</v>
      </c>
      <c r="K5" s="89"/>
      <c r="L5" s="651">
        <f t="shared" ref="L5:N6" si="3">IF(H5&gt;0,H5/C5,0)</f>
        <v>0.4352518290869436</v>
      </c>
      <c r="M5" s="651">
        <f t="shared" si="3"/>
        <v>0.73815550708833155</v>
      </c>
      <c r="N5" s="651">
        <f t="shared" si="3"/>
        <v>0</v>
      </c>
      <c r="O5" s="651"/>
      <c r="P5" s="250">
        <f t="shared" ref="P5:S5" si="4">+P89</f>
        <v>0</v>
      </c>
      <c r="Q5" s="250">
        <f t="shared" si="4"/>
        <v>0</v>
      </c>
      <c r="R5" s="250">
        <f t="shared" si="4"/>
        <v>0</v>
      </c>
      <c r="S5" s="250">
        <f t="shared" si="4"/>
        <v>0</v>
      </c>
      <c r="T5" s="133">
        <f>IF(C5=0,0,+S5/C5)</f>
        <v>0</v>
      </c>
      <c r="U5" s="118"/>
      <c r="V5" s="198">
        <f t="shared" ref="V5:V7" si="5">+S5-E5+C5</f>
        <v>0</v>
      </c>
      <c r="W5" s="122"/>
      <c r="X5" s="122"/>
    </row>
    <row r="6" spans="1:26" ht="20.100000000000001" customHeight="1" x14ac:dyDescent="0.3">
      <c r="A6" s="251"/>
      <c r="B6" s="251" t="s">
        <v>371</v>
      </c>
      <c r="C6" s="252">
        <f>+C102</f>
        <v>50435000</v>
      </c>
      <c r="D6" s="252">
        <f t="shared" ref="D6:H6" si="6">+D102</f>
        <v>50435000</v>
      </c>
      <c r="E6" s="252">
        <f t="shared" si="6"/>
        <v>50435000</v>
      </c>
      <c r="F6" s="252">
        <f t="shared" ref="F6" si="7">+F102</f>
        <v>0</v>
      </c>
      <c r="G6" s="252"/>
      <c r="H6" s="252">
        <f t="shared" si="6"/>
        <v>23714439</v>
      </c>
      <c r="I6" s="252">
        <f>+I102</f>
        <v>41662387</v>
      </c>
      <c r="J6" s="252">
        <f t="shared" ref="J6" si="8">+J102</f>
        <v>0</v>
      </c>
      <c r="K6" s="67"/>
      <c r="L6" s="651">
        <f t="shared" si="3"/>
        <v>0.47019805690492711</v>
      </c>
      <c r="M6" s="651">
        <f t="shared" si="3"/>
        <v>0.82606100921978787</v>
      </c>
      <c r="N6" s="651">
        <f t="shared" si="3"/>
        <v>0</v>
      </c>
      <c r="O6" s="651"/>
      <c r="P6" s="252">
        <f t="shared" ref="P6:S6" si="9">+P102</f>
        <v>0</v>
      </c>
      <c r="Q6" s="252">
        <f t="shared" si="9"/>
        <v>0</v>
      </c>
      <c r="R6" s="252">
        <f t="shared" si="9"/>
        <v>0</v>
      </c>
      <c r="S6" s="252">
        <f t="shared" si="9"/>
        <v>0</v>
      </c>
      <c r="T6" s="31">
        <f>IF(C6=0,0,+S6/C6)</f>
        <v>0</v>
      </c>
      <c r="U6" s="118"/>
      <c r="V6" s="198">
        <f t="shared" si="5"/>
        <v>0</v>
      </c>
      <c r="W6" s="122"/>
      <c r="X6" s="122"/>
    </row>
    <row r="7" spans="1:26" ht="20.100000000000001" customHeight="1" x14ac:dyDescent="0.3">
      <c r="A7" s="251"/>
      <c r="B7" s="251" t="s">
        <v>405</v>
      </c>
      <c r="C7" s="252">
        <f>+C6-C5</f>
        <v>0</v>
      </c>
      <c r="D7" s="252">
        <f t="shared" ref="D7:H7" si="10">+D6-D5</f>
        <v>0</v>
      </c>
      <c r="E7" s="252">
        <f t="shared" si="10"/>
        <v>0</v>
      </c>
      <c r="F7" s="252">
        <f t="shared" si="10"/>
        <v>0</v>
      </c>
      <c r="G7" s="252"/>
      <c r="H7" s="252">
        <f t="shared" si="10"/>
        <v>1762513</v>
      </c>
      <c r="I7" s="252">
        <f>+I6-I5</f>
        <v>4433514</v>
      </c>
      <c r="J7" s="252">
        <f t="shared" ref="J7" si="11">+J6-J5</f>
        <v>0</v>
      </c>
      <c r="K7" s="67"/>
      <c r="L7" s="651"/>
      <c r="M7" s="651"/>
      <c r="N7" s="651"/>
      <c r="O7" s="651"/>
      <c r="P7" s="252">
        <f t="shared" ref="P7" si="12">+P6-P5</f>
        <v>0</v>
      </c>
      <c r="Q7" s="252">
        <f t="shared" ref="Q7" si="13">+Q6-Q5</f>
        <v>0</v>
      </c>
      <c r="R7" s="252">
        <f t="shared" ref="R7" si="14">+R6-R5</f>
        <v>0</v>
      </c>
      <c r="S7" s="252">
        <f t="shared" ref="S7" si="15">+S6-S5</f>
        <v>0</v>
      </c>
      <c r="T7" s="31">
        <f>IF(C7=0,0,+S7/C7)</f>
        <v>0</v>
      </c>
      <c r="U7" s="118"/>
      <c r="V7" s="198">
        <f t="shared" si="5"/>
        <v>0</v>
      </c>
      <c r="W7" s="122"/>
      <c r="X7" s="122"/>
    </row>
    <row r="8" spans="1:26" x14ac:dyDescent="0.25">
      <c r="A8" s="235"/>
      <c r="B8" s="236"/>
      <c r="C8" s="621"/>
      <c r="D8" s="622"/>
      <c r="E8" s="622"/>
      <c r="F8" s="622"/>
      <c r="G8" s="623"/>
      <c r="H8" s="623"/>
      <c r="I8" s="623"/>
      <c r="J8" s="623"/>
      <c r="K8" s="623"/>
      <c r="L8" s="603"/>
      <c r="M8" s="603"/>
      <c r="N8" s="137"/>
      <c r="O8" s="120"/>
      <c r="P8" s="81"/>
      <c r="Q8" s="81"/>
      <c r="R8" s="81"/>
      <c r="S8" s="81"/>
      <c r="T8" s="152"/>
      <c r="U8" s="120"/>
      <c r="V8" s="195"/>
      <c r="W8" s="122"/>
      <c r="X8" s="122"/>
    </row>
    <row r="9" spans="1:26" ht="15.6" x14ac:dyDescent="0.3">
      <c r="A9" s="62"/>
      <c r="B9" s="237"/>
      <c r="C9" s="917" t="s">
        <v>404</v>
      </c>
      <c r="D9" s="925"/>
      <c r="E9" s="925"/>
      <c r="F9" s="926"/>
      <c r="G9" s="154"/>
      <c r="H9" s="917" t="s">
        <v>403</v>
      </c>
      <c r="I9" s="925"/>
      <c r="J9" s="925"/>
      <c r="K9" s="925"/>
      <c r="L9" s="925"/>
      <c r="M9" s="925"/>
      <c r="N9" s="926"/>
      <c r="O9" s="154"/>
      <c r="P9" s="917" t="s">
        <v>400</v>
      </c>
      <c r="Q9" s="925"/>
      <c r="R9" s="925"/>
      <c r="S9" s="925"/>
      <c r="T9" s="926"/>
      <c r="U9" s="199"/>
      <c r="V9" s="195"/>
      <c r="W9" s="122"/>
      <c r="X9" s="122"/>
    </row>
    <row r="10" spans="1:26" x14ac:dyDescent="0.25">
      <c r="A10" s="60"/>
      <c r="B10" s="61"/>
      <c r="C10" s="233"/>
      <c r="D10" s="88"/>
      <c r="E10" s="88"/>
      <c r="F10" s="234"/>
      <c r="G10" s="134"/>
      <c r="H10" s="914" t="s">
        <v>413</v>
      </c>
      <c r="I10" s="915"/>
      <c r="J10" s="916"/>
      <c r="K10" s="134"/>
      <c r="L10" s="914" t="s">
        <v>412</v>
      </c>
      <c r="M10" s="915"/>
      <c r="N10" s="916"/>
      <c r="O10" s="135"/>
      <c r="P10" s="128">
        <f>+'3. Önk. Kiadások'!P8</f>
        <v>1</v>
      </c>
      <c r="Q10" s="128">
        <f>+'3. Önk. Kiadások'!Q8</f>
        <v>1</v>
      </c>
      <c r="R10" s="128">
        <f>+'3. Önk. Kiadások'!R8</f>
        <v>0</v>
      </c>
      <c r="S10" s="127"/>
      <c r="T10" s="127"/>
      <c r="U10" s="153"/>
      <c r="V10" s="200"/>
      <c r="W10" s="131"/>
      <c r="X10" s="131"/>
      <c r="Y10" s="131"/>
      <c r="Z10" s="131"/>
    </row>
    <row r="11" spans="1:26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6" x14ac:dyDescent="0.25">
      <c r="A12" s="15"/>
      <c r="B12" s="15"/>
      <c r="C12" s="69"/>
      <c r="D12" s="93"/>
      <c r="E12" s="93"/>
      <c r="F12" s="93"/>
      <c r="G12" s="94"/>
      <c r="H12" s="94"/>
      <c r="I12" s="94"/>
      <c r="J12" s="94"/>
      <c r="K12" s="94"/>
      <c r="L12" s="603"/>
      <c r="M12" s="603"/>
      <c r="N12" s="603"/>
      <c r="O12" s="120"/>
      <c r="P12" s="81"/>
      <c r="Q12" s="81"/>
      <c r="R12" s="81"/>
      <c r="S12" s="81"/>
      <c r="T12" s="152"/>
      <c r="U12" s="120"/>
      <c r="V12" s="195"/>
      <c r="W12" s="122"/>
      <c r="X12" s="122"/>
    </row>
    <row r="13" spans="1:26" x14ac:dyDescent="0.25">
      <c r="A13" s="24" t="s">
        <v>0</v>
      </c>
      <c r="B13" s="24" t="s">
        <v>3</v>
      </c>
      <c r="C13" s="89">
        <f>SUM(C14:C28)</f>
        <v>29825000</v>
      </c>
      <c r="D13" s="89">
        <f t="shared" ref="D13:J13" si="16">SUM(D14:D28)</f>
        <v>29825000</v>
      </c>
      <c r="E13" s="89">
        <f t="shared" si="16"/>
        <v>29825000</v>
      </c>
      <c r="F13" s="89">
        <f t="shared" si="16"/>
        <v>0</v>
      </c>
      <c r="G13" s="89"/>
      <c r="H13" s="89">
        <f t="shared" si="16"/>
        <v>14014974</v>
      </c>
      <c r="I13" s="89">
        <f t="shared" si="16"/>
        <v>22459864</v>
      </c>
      <c r="J13" s="89">
        <f t="shared" si="16"/>
        <v>0</v>
      </c>
      <c r="K13" s="90"/>
      <c r="L13" s="600">
        <f>IF(H13&gt;0,H13/C13,0)</f>
        <v>0.46990692372171</v>
      </c>
      <c r="M13" s="600">
        <f>IF(I13&gt;0,I13/D13,0)</f>
        <v>0.7530549538977368</v>
      </c>
      <c r="N13" s="600">
        <f>IF(J13&gt;0,J13/F13,0)</f>
        <v>0</v>
      </c>
      <c r="O13" s="118"/>
      <c r="P13" s="90">
        <f t="shared" ref="P13" si="17">+(D13-C13)*P$10</f>
        <v>0</v>
      </c>
      <c r="Q13" s="90">
        <f t="shared" ref="Q13" si="18">+(E13-D13)*Q$10</f>
        <v>0</v>
      </c>
      <c r="R13" s="90">
        <f t="shared" ref="R13" si="19">+(F13-E13)*R$10</f>
        <v>0</v>
      </c>
      <c r="S13" s="90">
        <f t="shared" ref="S13:S14" si="20">+P$10*P13+Q$10*Q13+R$10*R13</f>
        <v>0</v>
      </c>
      <c r="T13" s="201">
        <f t="shared" ref="T13" si="21">IF(C13=0,0,+S13/C13)</f>
        <v>0</v>
      </c>
      <c r="U13" s="118"/>
      <c r="V13" s="195">
        <f t="shared" ref="V13" si="22">+S13-E13+C13</f>
        <v>0</v>
      </c>
      <c r="W13" s="122"/>
      <c r="X13" s="122"/>
    </row>
    <row r="14" spans="1:26" x14ac:dyDescent="0.25">
      <c r="A14" s="15" t="s">
        <v>1</v>
      </c>
      <c r="B14" s="15"/>
      <c r="C14" s="302"/>
      <c r="D14" s="220"/>
      <c r="E14" s="220"/>
      <c r="F14" s="220"/>
      <c r="G14" s="92"/>
      <c r="H14" s="303"/>
      <c r="I14" s="303"/>
      <c r="J14" s="303"/>
      <c r="K14" s="92"/>
      <c r="L14" s="599"/>
      <c r="M14" s="599"/>
      <c r="N14" s="599"/>
      <c r="O14" s="119"/>
      <c r="P14" s="92"/>
      <c r="Q14" s="92"/>
      <c r="R14" s="92"/>
      <c r="S14" s="92">
        <f t="shared" si="20"/>
        <v>0</v>
      </c>
      <c r="T14" s="85"/>
      <c r="U14" s="119"/>
      <c r="V14" s="195">
        <f t="shared" ref="V14:V76" si="23">+S14-E14+C14</f>
        <v>0</v>
      </c>
      <c r="W14" s="122"/>
      <c r="X14" s="122"/>
    </row>
    <row r="15" spans="1:26" x14ac:dyDescent="0.25">
      <c r="A15" s="15" t="s">
        <v>2</v>
      </c>
      <c r="B15" s="15" t="s">
        <v>357</v>
      </c>
      <c r="C15" s="302">
        <v>29000000</v>
      </c>
      <c r="D15" s="221">
        <v>28749000</v>
      </c>
      <c r="E15" s="221">
        <v>28558510</v>
      </c>
      <c r="F15" s="221"/>
      <c r="G15" s="94"/>
      <c r="H15" s="304">
        <v>13237055</v>
      </c>
      <c r="I15" s="304">
        <v>21245804</v>
      </c>
      <c r="J15" s="304"/>
      <c r="K15" s="94"/>
      <c r="L15" s="603">
        <f t="shared" ref="L15:L23" si="24">IF(H15&gt;0,H15/C15,0)</f>
        <v>0.4564501724137931</v>
      </c>
      <c r="M15" s="603">
        <f t="shared" ref="M15:M23" si="25">IF(I15&gt;0,I15/D15,0)</f>
        <v>0.7390101916588403</v>
      </c>
      <c r="N15" s="603">
        <f t="shared" ref="N15:N23" si="26">IF(J15&gt;0,J15/E15,0)</f>
        <v>0</v>
      </c>
      <c r="O15" s="120"/>
      <c r="P15" s="81">
        <f t="shared" ref="P15:P23" si="27">+(D15-C15)*P$10</f>
        <v>-251000</v>
      </c>
      <c r="Q15" s="81">
        <f t="shared" ref="Q15:Q23" si="28">+(E15-D15)*Q$10</f>
        <v>-190490</v>
      </c>
      <c r="R15" s="81">
        <f t="shared" ref="R15:R23" si="29">+(F15-E15)*R$10</f>
        <v>0</v>
      </c>
      <c r="S15" s="81">
        <f>+P$10*P15+Q$10*Q15+R$10*R15</f>
        <v>-441490</v>
      </c>
      <c r="T15" s="85">
        <f t="shared" ref="T15:T23" si="30">IF(C15=0,0,+S15/C15)</f>
        <v>-1.5223793103448275E-2</v>
      </c>
      <c r="U15" s="120"/>
      <c r="V15" s="195">
        <f t="shared" si="23"/>
        <v>0</v>
      </c>
      <c r="W15" s="122"/>
      <c r="X15" s="123"/>
      <c r="Y15" s="37"/>
    </row>
    <row r="16" spans="1:26" ht="27" customHeight="1" x14ac:dyDescent="0.25">
      <c r="A16" s="482" t="s">
        <v>578</v>
      </c>
      <c r="B16" s="15" t="s">
        <v>4</v>
      </c>
      <c r="C16" s="302" t="s">
        <v>485</v>
      </c>
      <c r="D16" s="221">
        <v>251000</v>
      </c>
      <c r="E16" s="221">
        <v>251000</v>
      </c>
      <c r="F16" s="221"/>
      <c r="G16" s="94"/>
      <c r="H16" s="304">
        <v>250550</v>
      </c>
      <c r="I16" s="304">
        <v>250550</v>
      </c>
      <c r="J16" s="304"/>
      <c r="K16" s="94"/>
      <c r="L16" s="603" t="e">
        <f t="shared" si="24"/>
        <v>#VALUE!</v>
      </c>
      <c r="M16" s="603">
        <f t="shared" si="25"/>
        <v>0.99820717131474102</v>
      </c>
      <c r="N16" s="603">
        <f t="shared" si="26"/>
        <v>0</v>
      </c>
      <c r="O16" s="120"/>
      <c r="P16" s="81" t="e">
        <f t="shared" si="27"/>
        <v>#VALUE!</v>
      </c>
      <c r="Q16" s="81">
        <f t="shared" si="28"/>
        <v>0</v>
      </c>
      <c r="R16" s="81">
        <f t="shared" si="29"/>
        <v>0</v>
      </c>
      <c r="S16" s="81" t="e">
        <f t="shared" ref="S16:S27" si="31">+P$10*P16+Q$10*Q16+R$10*R16</f>
        <v>#VALUE!</v>
      </c>
      <c r="T16" s="85" t="e">
        <f t="shared" si="30"/>
        <v>#VALUE!</v>
      </c>
      <c r="U16" s="120"/>
      <c r="V16" s="195" t="e">
        <f t="shared" si="23"/>
        <v>#VALUE!</v>
      </c>
      <c r="W16" s="122"/>
      <c r="X16" s="122"/>
    </row>
    <row r="17" spans="1:26" x14ac:dyDescent="0.25">
      <c r="A17" s="15" t="s">
        <v>13</v>
      </c>
      <c r="B17" s="15" t="s">
        <v>376</v>
      </c>
      <c r="C17" s="221"/>
      <c r="D17" s="221"/>
      <c r="E17" s="221"/>
      <c r="F17" s="221"/>
      <c r="G17" s="94"/>
      <c r="H17" s="304"/>
      <c r="I17" s="304"/>
      <c r="J17" s="304"/>
      <c r="K17" s="94"/>
      <c r="L17" s="603">
        <f t="shared" si="24"/>
        <v>0</v>
      </c>
      <c r="M17" s="603">
        <f t="shared" si="25"/>
        <v>0</v>
      </c>
      <c r="N17" s="603">
        <f t="shared" si="26"/>
        <v>0</v>
      </c>
      <c r="O17" s="120"/>
      <c r="P17" s="81">
        <f t="shared" si="27"/>
        <v>0</v>
      </c>
      <c r="Q17" s="81">
        <f t="shared" si="28"/>
        <v>0</v>
      </c>
      <c r="R17" s="81">
        <f t="shared" si="29"/>
        <v>0</v>
      </c>
      <c r="S17" s="81">
        <f t="shared" si="31"/>
        <v>0</v>
      </c>
      <c r="T17" s="85">
        <f t="shared" si="30"/>
        <v>0</v>
      </c>
      <c r="U17" s="120"/>
      <c r="V17" s="195">
        <f t="shared" si="23"/>
        <v>0</v>
      </c>
      <c r="W17" s="122"/>
      <c r="X17" s="122"/>
    </row>
    <row r="18" spans="1:26" x14ac:dyDescent="0.25">
      <c r="A18" s="15" t="s">
        <v>380</v>
      </c>
      <c r="B18" s="15" t="s">
        <v>6</v>
      </c>
      <c r="C18" s="302">
        <v>0</v>
      </c>
      <c r="D18" s="302">
        <v>0</v>
      </c>
      <c r="E18" s="221">
        <v>0</v>
      </c>
      <c r="F18" s="221"/>
      <c r="G18" s="94"/>
      <c r="H18" s="304"/>
      <c r="I18" s="304">
        <v>0</v>
      </c>
      <c r="J18" s="304"/>
      <c r="K18" s="94"/>
      <c r="L18" s="603">
        <f t="shared" si="24"/>
        <v>0</v>
      </c>
      <c r="M18" s="603">
        <f t="shared" si="25"/>
        <v>0</v>
      </c>
      <c r="N18" s="603">
        <f t="shared" si="26"/>
        <v>0</v>
      </c>
      <c r="O18" s="120"/>
      <c r="P18" s="81">
        <f t="shared" si="27"/>
        <v>0</v>
      </c>
      <c r="Q18" s="81">
        <f t="shared" si="28"/>
        <v>0</v>
      </c>
      <c r="R18" s="81">
        <f t="shared" si="29"/>
        <v>0</v>
      </c>
      <c r="S18" s="81">
        <f t="shared" si="31"/>
        <v>0</v>
      </c>
      <c r="T18" s="85">
        <f t="shared" si="30"/>
        <v>0</v>
      </c>
      <c r="U18" s="120"/>
      <c r="V18" s="195">
        <f t="shared" si="23"/>
        <v>0</v>
      </c>
      <c r="W18" s="122"/>
      <c r="X18" s="122"/>
    </row>
    <row r="19" spans="1:26" x14ac:dyDescent="0.25">
      <c r="A19" s="15" t="s">
        <v>14</v>
      </c>
      <c r="B19" s="15" t="s">
        <v>7</v>
      </c>
      <c r="C19" s="530">
        <v>0</v>
      </c>
      <c r="D19" s="530">
        <v>0</v>
      </c>
      <c r="E19" s="530">
        <v>70490</v>
      </c>
      <c r="F19" s="221"/>
      <c r="G19" s="94"/>
      <c r="H19" s="304"/>
      <c r="I19" s="304">
        <v>70490</v>
      </c>
      <c r="J19" s="304"/>
      <c r="K19" s="94"/>
      <c r="L19" s="603">
        <f t="shared" si="24"/>
        <v>0</v>
      </c>
      <c r="M19" s="603" t="e">
        <f t="shared" si="25"/>
        <v>#DIV/0!</v>
      </c>
      <c r="N19" s="603">
        <f t="shared" si="26"/>
        <v>0</v>
      </c>
      <c r="O19" s="120"/>
      <c r="P19" s="81">
        <f t="shared" si="27"/>
        <v>0</v>
      </c>
      <c r="Q19" s="81">
        <f t="shared" si="28"/>
        <v>70490</v>
      </c>
      <c r="R19" s="81">
        <f t="shared" si="29"/>
        <v>0</v>
      </c>
      <c r="S19" s="81">
        <f t="shared" si="31"/>
        <v>70490</v>
      </c>
      <c r="T19" s="85">
        <f t="shared" si="30"/>
        <v>0</v>
      </c>
      <c r="U19" s="120"/>
      <c r="V19" s="195">
        <f t="shared" si="23"/>
        <v>0</v>
      </c>
      <c r="W19" s="122"/>
      <c r="X19" s="122"/>
    </row>
    <row r="20" spans="1:26" x14ac:dyDescent="0.25">
      <c r="A20" s="15" t="s">
        <v>15</v>
      </c>
      <c r="B20" s="15" t="s">
        <v>8</v>
      </c>
      <c r="C20" s="530">
        <v>0</v>
      </c>
      <c r="D20" s="530">
        <v>0</v>
      </c>
      <c r="E20" s="530">
        <v>0</v>
      </c>
      <c r="F20" s="221"/>
      <c r="G20" s="94"/>
      <c r="H20" s="304"/>
      <c r="I20" s="304">
        <v>0</v>
      </c>
      <c r="J20" s="304"/>
      <c r="K20" s="94"/>
      <c r="L20" s="603">
        <f t="shared" si="24"/>
        <v>0</v>
      </c>
      <c r="M20" s="603">
        <f t="shared" si="25"/>
        <v>0</v>
      </c>
      <c r="N20" s="603">
        <f t="shared" si="26"/>
        <v>0</v>
      </c>
      <c r="O20" s="120"/>
      <c r="P20" s="81">
        <f t="shared" si="27"/>
        <v>0</v>
      </c>
      <c r="Q20" s="81">
        <f t="shared" si="28"/>
        <v>0</v>
      </c>
      <c r="R20" s="81">
        <f t="shared" si="29"/>
        <v>0</v>
      </c>
      <c r="S20" s="81">
        <f t="shared" si="31"/>
        <v>0</v>
      </c>
      <c r="T20" s="85">
        <f t="shared" si="30"/>
        <v>0</v>
      </c>
      <c r="U20" s="120"/>
      <c r="V20" s="195">
        <f t="shared" si="23"/>
        <v>0</v>
      </c>
      <c r="W20" s="122"/>
      <c r="X20" s="122"/>
    </row>
    <row r="21" spans="1:26" x14ac:dyDescent="0.25">
      <c r="A21" s="15" t="s">
        <v>16</v>
      </c>
      <c r="B21" s="15" t="s">
        <v>9</v>
      </c>
      <c r="C21" s="530">
        <v>100000</v>
      </c>
      <c r="D21" s="530">
        <v>100000</v>
      </c>
      <c r="E21" s="530">
        <v>100000</v>
      </c>
      <c r="F21" s="221"/>
      <c r="G21" s="94"/>
      <c r="H21" s="304">
        <v>26680</v>
      </c>
      <c r="I21" s="304">
        <v>52366</v>
      </c>
      <c r="J21" s="304"/>
      <c r="K21" s="94"/>
      <c r="L21" s="603">
        <f t="shared" si="24"/>
        <v>0.26679999999999998</v>
      </c>
      <c r="M21" s="603">
        <f t="shared" si="25"/>
        <v>0.52366000000000001</v>
      </c>
      <c r="N21" s="603">
        <f t="shared" si="26"/>
        <v>0</v>
      </c>
      <c r="O21" s="120"/>
      <c r="P21" s="81">
        <f t="shared" si="27"/>
        <v>0</v>
      </c>
      <c r="Q21" s="81">
        <f t="shared" si="28"/>
        <v>0</v>
      </c>
      <c r="R21" s="81">
        <f t="shared" si="29"/>
        <v>0</v>
      </c>
      <c r="S21" s="81">
        <f t="shared" si="31"/>
        <v>0</v>
      </c>
      <c r="T21" s="85">
        <f t="shared" si="30"/>
        <v>0</v>
      </c>
      <c r="U21" s="120"/>
      <c r="V21" s="195">
        <f t="shared" si="23"/>
        <v>0</v>
      </c>
      <c r="W21" s="122"/>
      <c r="X21" s="122"/>
    </row>
    <row r="22" spans="1:26" x14ac:dyDescent="0.25">
      <c r="A22" s="15" t="s">
        <v>17</v>
      </c>
      <c r="B22" s="15" t="s">
        <v>10</v>
      </c>
      <c r="C22" s="530">
        <v>0</v>
      </c>
      <c r="D22" s="530">
        <v>0</v>
      </c>
      <c r="E22" s="530">
        <v>0</v>
      </c>
      <c r="F22" s="221"/>
      <c r="G22" s="94"/>
      <c r="H22" s="304">
        <v>0</v>
      </c>
      <c r="I22" s="304">
        <v>0</v>
      </c>
      <c r="J22" s="304"/>
      <c r="K22" s="94"/>
      <c r="L22" s="603">
        <f t="shared" si="24"/>
        <v>0</v>
      </c>
      <c r="M22" s="603">
        <f t="shared" si="25"/>
        <v>0</v>
      </c>
      <c r="N22" s="603">
        <f t="shared" si="26"/>
        <v>0</v>
      </c>
      <c r="O22" s="120"/>
      <c r="P22" s="81">
        <f t="shared" si="27"/>
        <v>0</v>
      </c>
      <c r="Q22" s="81">
        <f t="shared" si="28"/>
        <v>0</v>
      </c>
      <c r="R22" s="81">
        <f t="shared" si="29"/>
        <v>0</v>
      </c>
      <c r="S22" s="81">
        <f t="shared" si="31"/>
        <v>0</v>
      </c>
      <c r="T22" s="85">
        <f t="shared" si="30"/>
        <v>0</v>
      </c>
      <c r="U22" s="120"/>
      <c r="V22" s="195">
        <f t="shared" si="23"/>
        <v>0</v>
      </c>
      <c r="W22" s="122"/>
      <c r="X22" s="122"/>
    </row>
    <row r="23" spans="1:26" x14ac:dyDescent="0.25">
      <c r="A23" s="15" t="s">
        <v>18</v>
      </c>
      <c r="B23" s="15" t="s">
        <v>11</v>
      </c>
      <c r="C23" s="530">
        <v>725000</v>
      </c>
      <c r="D23" s="530">
        <v>725000</v>
      </c>
      <c r="E23" s="530">
        <v>845000</v>
      </c>
      <c r="F23" s="221"/>
      <c r="G23" s="94"/>
      <c r="H23" s="304">
        <v>500689</v>
      </c>
      <c r="I23" s="304">
        <v>840654</v>
      </c>
      <c r="J23" s="304"/>
      <c r="K23" s="94"/>
      <c r="L23" s="603">
        <f t="shared" si="24"/>
        <v>0.69060551724137931</v>
      </c>
      <c r="M23" s="603">
        <f t="shared" si="25"/>
        <v>1.1595227586206898</v>
      </c>
      <c r="N23" s="603">
        <f t="shared" si="26"/>
        <v>0</v>
      </c>
      <c r="O23" s="120"/>
      <c r="P23" s="81">
        <f t="shared" si="27"/>
        <v>0</v>
      </c>
      <c r="Q23" s="81">
        <f t="shared" si="28"/>
        <v>120000</v>
      </c>
      <c r="R23" s="81">
        <f t="shared" si="29"/>
        <v>0</v>
      </c>
      <c r="S23" s="81">
        <f t="shared" si="31"/>
        <v>120000</v>
      </c>
      <c r="T23" s="85">
        <f t="shared" si="30"/>
        <v>0.16551724137931034</v>
      </c>
      <c r="U23" s="120"/>
      <c r="V23" s="195">
        <f t="shared" si="23"/>
        <v>0</v>
      </c>
      <c r="W23" s="122"/>
      <c r="X23" s="122"/>
    </row>
    <row r="24" spans="1:26" x14ac:dyDescent="0.25">
      <c r="A24" s="15" t="s">
        <v>19</v>
      </c>
      <c r="B24" s="15"/>
      <c r="C24" s="530"/>
      <c r="D24" s="530"/>
      <c r="E24" s="530"/>
      <c r="F24" s="221"/>
      <c r="G24" s="94"/>
      <c r="H24" s="304"/>
      <c r="I24" s="304"/>
      <c r="J24" s="304"/>
      <c r="K24" s="94"/>
      <c r="L24" s="603"/>
      <c r="M24" s="603"/>
      <c r="N24" s="603"/>
      <c r="O24" s="120"/>
      <c r="P24" s="81"/>
      <c r="Q24" s="81"/>
      <c r="R24" s="81"/>
      <c r="S24" s="81">
        <f t="shared" si="31"/>
        <v>0</v>
      </c>
      <c r="T24" s="85"/>
      <c r="U24" s="120"/>
      <c r="V24" s="195">
        <f t="shared" si="23"/>
        <v>0</v>
      </c>
      <c r="W24" s="122"/>
      <c r="X24" s="122"/>
    </row>
    <row r="25" spans="1:26" x14ac:dyDescent="0.25">
      <c r="A25" s="15" t="s">
        <v>20</v>
      </c>
      <c r="B25" s="15" t="s">
        <v>21</v>
      </c>
      <c r="C25" s="530"/>
      <c r="D25" s="530"/>
      <c r="E25" s="530"/>
      <c r="F25" s="221"/>
      <c r="G25" s="94"/>
      <c r="H25" s="304"/>
      <c r="I25" s="304"/>
      <c r="J25" s="304"/>
      <c r="K25" s="94"/>
      <c r="L25" s="603">
        <f t="shared" ref="L25:M27" si="32">IF(H25&gt;0,H25/C25,0)</f>
        <v>0</v>
      </c>
      <c r="M25" s="603">
        <f t="shared" si="32"/>
        <v>0</v>
      </c>
      <c r="N25" s="603">
        <f>IF(J25&gt;0,J25/F25,0)</f>
        <v>0</v>
      </c>
      <c r="O25" s="120"/>
      <c r="P25" s="81">
        <f t="shared" ref="P25:R27" si="33">+(D25-C25)*P$10</f>
        <v>0</v>
      </c>
      <c r="Q25" s="81">
        <f t="shared" si="33"/>
        <v>0</v>
      </c>
      <c r="R25" s="81">
        <f t="shared" si="33"/>
        <v>0</v>
      </c>
      <c r="S25" s="81">
        <f t="shared" si="31"/>
        <v>0</v>
      </c>
      <c r="T25" s="85">
        <f>IF(C25=0,0,+S25/C25)</f>
        <v>0</v>
      </c>
      <c r="U25" s="120"/>
      <c r="V25" s="195">
        <f t="shared" si="23"/>
        <v>0</v>
      </c>
      <c r="W25" s="122"/>
      <c r="X25" s="122"/>
    </row>
    <row r="26" spans="1:26" x14ac:dyDescent="0.25">
      <c r="A26" s="15" t="s">
        <v>22</v>
      </c>
      <c r="B26" s="15" t="s">
        <v>23</v>
      </c>
      <c r="C26" s="530"/>
      <c r="D26" s="530"/>
      <c r="E26" s="530"/>
      <c r="F26" s="221"/>
      <c r="G26" s="94"/>
      <c r="H26" s="304">
        <v>0</v>
      </c>
      <c r="I26" s="304">
        <v>0</v>
      </c>
      <c r="J26" s="304"/>
      <c r="K26" s="94"/>
      <c r="L26" s="603">
        <f t="shared" si="32"/>
        <v>0</v>
      </c>
      <c r="M26" s="603">
        <f t="shared" si="32"/>
        <v>0</v>
      </c>
      <c r="N26" s="603">
        <f>IF(J26&gt;0,J26/F26,0)</f>
        <v>0</v>
      </c>
      <c r="O26" s="120"/>
      <c r="P26" s="81">
        <f t="shared" si="33"/>
        <v>0</v>
      </c>
      <c r="Q26" s="81">
        <f t="shared" si="33"/>
        <v>0</v>
      </c>
      <c r="R26" s="81">
        <f t="shared" si="33"/>
        <v>0</v>
      </c>
      <c r="S26" s="81">
        <f t="shared" si="31"/>
        <v>0</v>
      </c>
      <c r="T26" s="85">
        <f>IF(C26=0,0,+S26/C26)</f>
        <v>0</v>
      </c>
      <c r="U26" s="120"/>
      <c r="V26" s="195">
        <f t="shared" si="23"/>
        <v>0</v>
      </c>
      <c r="W26" s="122"/>
      <c r="X26" s="122"/>
    </row>
    <row r="27" spans="1:26" x14ac:dyDescent="0.25">
      <c r="A27" s="15" t="s">
        <v>24</v>
      </c>
      <c r="B27" s="15" t="s">
        <v>25</v>
      </c>
      <c r="C27" s="302"/>
      <c r="D27" s="221"/>
      <c r="E27" s="221"/>
      <c r="F27" s="221"/>
      <c r="G27" s="94"/>
      <c r="H27" s="304"/>
      <c r="I27" s="304"/>
      <c r="J27" s="304"/>
      <c r="K27" s="94"/>
      <c r="L27" s="603">
        <f t="shared" si="32"/>
        <v>0</v>
      </c>
      <c r="M27" s="603">
        <f t="shared" si="32"/>
        <v>0</v>
      </c>
      <c r="N27" s="603">
        <f>IF(J27&gt;0,J27/F27,0)</f>
        <v>0</v>
      </c>
      <c r="O27" s="120"/>
      <c r="P27" s="81">
        <f t="shared" si="33"/>
        <v>0</v>
      </c>
      <c r="Q27" s="81">
        <f t="shared" si="33"/>
        <v>0</v>
      </c>
      <c r="R27" s="81">
        <f t="shared" si="33"/>
        <v>0</v>
      </c>
      <c r="S27" s="81">
        <f t="shared" si="31"/>
        <v>0</v>
      </c>
      <c r="T27" s="85">
        <f>IF(C27=0,0,+S27/C27)</f>
        <v>0</v>
      </c>
      <c r="U27" s="120"/>
      <c r="V27" s="195">
        <f t="shared" si="23"/>
        <v>0</v>
      </c>
      <c r="W27" s="122"/>
      <c r="X27" s="122"/>
    </row>
    <row r="28" spans="1:26" x14ac:dyDescent="0.25">
      <c r="A28" s="20"/>
      <c r="B28" s="14"/>
      <c r="C28" s="302"/>
      <c r="D28" s="221"/>
      <c r="E28" s="221"/>
      <c r="F28" s="221"/>
      <c r="G28" s="94"/>
      <c r="H28" s="304"/>
      <c r="I28" s="304"/>
      <c r="J28" s="304"/>
      <c r="K28" s="94"/>
      <c r="L28" s="599"/>
      <c r="M28" s="599"/>
      <c r="N28" s="599"/>
      <c r="O28" s="119"/>
      <c r="P28" s="81"/>
      <c r="Q28" s="81"/>
      <c r="R28" s="81"/>
      <c r="S28" s="81"/>
      <c r="T28" s="85"/>
      <c r="U28" s="119"/>
      <c r="V28" s="195">
        <f t="shared" si="23"/>
        <v>0</v>
      </c>
      <c r="W28" s="122"/>
      <c r="X28" s="122"/>
    </row>
    <row r="29" spans="1:26" x14ac:dyDescent="0.25">
      <c r="A29" s="3" t="s">
        <v>26</v>
      </c>
      <c r="B29" s="3" t="s">
        <v>27</v>
      </c>
      <c r="C29" s="89">
        <f>SUM(C30:C31)</f>
        <v>3900000</v>
      </c>
      <c r="D29" s="89">
        <f t="shared" ref="D29:F29" si="34">SUM(D30:D31)</f>
        <v>3900000</v>
      </c>
      <c r="E29" s="89">
        <f t="shared" si="34"/>
        <v>3900000</v>
      </c>
      <c r="F29" s="89">
        <f t="shared" si="34"/>
        <v>0</v>
      </c>
      <c r="G29" s="90"/>
      <c r="H29" s="89">
        <f t="shared" ref="H29" si="35">SUM(H30:H31)</f>
        <v>2020593</v>
      </c>
      <c r="I29" s="89">
        <f t="shared" ref="I29" si="36">SUM(I30:I31)</f>
        <v>3125665</v>
      </c>
      <c r="J29" s="89">
        <f t="shared" ref="J29" si="37">SUM(J30:J31)</f>
        <v>0</v>
      </c>
      <c r="K29" s="90"/>
      <c r="L29" s="600">
        <f t="shared" ref="L29:N30" si="38">IF(H29&gt;0,H29/C29,0)</f>
        <v>0.5181007692307692</v>
      </c>
      <c r="M29" s="600">
        <f t="shared" si="38"/>
        <v>0.80145256410256416</v>
      </c>
      <c r="N29" s="600">
        <f t="shared" si="38"/>
        <v>0</v>
      </c>
      <c r="O29" s="118"/>
      <c r="P29" s="90">
        <f t="shared" ref="P29:R30" si="39">+(D29-C29)*P$10</f>
        <v>0</v>
      </c>
      <c r="Q29" s="90">
        <f t="shared" si="39"/>
        <v>0</v>
      </c>
      <c r="R29" s="90">
        <f t="shared" si="39"/>
        <v>0</v>
      </c>
      <c r="S29" s="90">
        <f t="shared" ref="S29:S30" si="40">+P$10*P29+Q$10*Q29+R$10*R29</f>
        <v>0</v>
      </c>
      <c r="T29" s="202">
        <f>IF(C29=0,0,+S29/C29)</f>
        <v>0</v>
      </c>
      <c r="U29" s="118"/>
      <c r="V29" s="195">
        <f t="shared" si="23"/>
        <v>0</v>
      </c>
      <c r="W29" s="122"/>
      <c r="X29" s="122"/>
      <c r="Y29" s="2"/>
      <c r="Z29" s="2"/>
    </row>
    <row r="30" spans="1:26" x14ac:dyDescent="0.25">
      <c r="A30" s="20"/>
      <c r="B30" s="20" t="s">
        <v>28</v>
      </c>
      <c r="C30" s="272">
        <v>3900000</v>
      </c>
      <c r="D30" s="272">
        <v>3900000</v>
      </c>
      <c r="E30" s="272">
        <v>3900000</v>
      </c>
      <c r="F30" s="272"/>
      <c r="G30" s="301"/>
      <c r="H30" s="301">
        <v>2020593</v>
      </c>
      <c r="I30" s="301">
        <v>3125665</v>
      </c>
      <c r="J30" s="301"/>
      <c r="K30" s="94"/>
      <c r="L30" s="603">
        <f t="shared" si="38"/>
        <v>0.5181007692307692</v>
      </c>
      <c r="M30" s="603">
        <f t="shared" si="38"/>
        <v>0.80145256410256416</v>
      </c>
      <c r="N30" s="603">
        <f t="shared" si="38"/>
        <v>0</v>
      </c>
      <c r="O30" s="120"/>
      <c r="P30" s="81">
        <f t="shared" si="39"/>
        <v>0</v>
      </c>
      <c r="Q30" s="81">
        <f t="shared" si="39"/>
        <v>0</v>
      </c>
      <c r="R30" s="81">
        <f t="shared" si="39"/>
        <v>0</v>
      </c>
      <c r="S30" s="81">
        <f t="shared" si="40"/>
        <v>0</v>
      </c>
      <c r="T30" s="85">
        <f>IF(C30=0,0,+S30/C30)</f>
        <v>0</v>
      </c>
      <c r="U30" s="120"/>
      <c r="V30" s="195">
        <f t="shared" si="23"/>
        <v>0</v>
      </c>
      <c r="W30" s="122"/>
      <c r="X30" s="122"/>
      <c r="Y30" s="57"/>
    </row>
    <row r="31" spans="1:26" x14ac:dyDescent="0.25">
      <c r="A31" s="20"/>
      <c r="B31" s="14"/>
      <c r="C31" s="68"/>
      <c r="D31" s="93"/>
      <c r="E31" s="93"/>
      <c r="F31" s="93"/>
      <c r="G31" s="94"/>
      <c r="H31" s="94"/>
      <c r="I31" s="94"/>
      <c r="J31" s="94"/>
      <c r="K31" s="94"/>
      <c r="L31" s="599"/>
      <c r="M31" s="599"/>
      <c r="N31" s="599"/>
      <c r="O31" s="119"/>
      <c r="P31" s="81"/>
      <c r="Q31" s="81"/>
      <c r="R31" s="81"/>
      <c r="S31" s="81"/>
      <c r="T31" s="85"/>
      <c r="U31" s="119"/>
      <c r="V31" s="195">
        <f t="shared" si="23"/>
        <v>0</v>
      </c>
      <c r="W31" s="122"/>
      <c r="X31" s="122"/>
    </row>
    <row r="32" spans="1:26" x14ac:dyDescent="0.25">
      <c r="A32" s="3" t="s">
        <v>29</v>
      </c>
      <c r="B32" s="3" t="s">
        <v>30</v>
      </c>
      <c r="C32" s="89">
        <f>+C33+C41+C48+C66+C71</f>
        <v>12060000</v>
      </c>
      <c r="D32" s="89">
        <f>+D33+D41+D48+D66+D71</f>
        <v>12060000</v>
      </c>
      <c r="E32" s="89">
        <f>+E33+E41+E48+E66+E71</f>
        <v>12060000</v>
      </c>
      <c r="F32" s="89">
        <f>+F33+F41+F48+F66+F71</f>
        <v>0</v>
      </c>
      <c r="G32" s="89"/>
      <c r="H32" s="89">
        <f>+H33+H41+H48+H66+H71</f>
        <v>4912145</v>
      </c>
      <c r="I32" s="89">
        <f>+I33+I41+I48+I66+I71</f>
        <v>7939130</v>
      </c>
      <c r="J32" s="89">
        <f>+J33+J41+J48+J66+J71</f>
        <v>0</v>
      </c>
      <c r="K32" s="89"/>
      <c r="L32" s="600">
        <f t="shared" ref="L32:L63" si="41">IF(H32&gt;0,H32/C32,0)</f>
        <v>0.40730887230514096</v>
      </c>
      <c r="M32" s="600">
        <f t="shared" ref="M32:M63" si="42">IF(I32&gt;0,I32/D32,0)</f>
        <v>0.65830265339966831</v>
      </c>
      <c r="N32" s="600">
        <f t="shared" ref="N32:N63" si="43">IF(J32&gt;0,J32/E32,0)</f>
        <v>0</v>
      </c>
      <c r="O32" s="31"/>
      <c r="P32" s="89">
        <f t="shared" ref="P32:P63" si="44">+(D32-C32)*P$10</f>
        <v>0</v>
      </c>
      <c r="Q32" s="89">
        <f t="shared" ref="Q32:Q63" si="45">+(E32-D32)*Q$10</f>
        <v>0</v>
      </c>
      <c r="R32" s="89">
        <f t="shared" ref="R32:R63" si="46">+(F32-E32)*R$10</f>
        <v>0</v>
      </c>
      <c r="S32" s="89">
        <f t="shared" ref="S32:S84" si="47">+P$10*P32+Q$10*Q32+R$10*R32</f>
        <v>0</v>
      </c>
      <c r="T32" s="201">
        <f t="shared" ref="T32:T63" si="48">IF(C32=0,0,+S32/C32)</f>
        <v>0</v>
      </c>
      <c r="U32" s="118"/>
      <c r="V32" s="195">
        <f t="shared" si="23"/>
        <v>0</v>
      </c>
      <c r="W32" s="122"/>
      <c r="X32" s="122"/>
    </row>
    <row r="33" spans="1:25" s="42" customFormat="1" x14ac:dyDescent="0.25">
      <c r="A33" s="39" t="s">
        <v>31</v>
      </c>
      <c r="B33" s="39" t="s">
        <v>32</v>
      </c>
      <c r="C33" s="95">
        <f t="shared" ref="C33:F33" si="49">SUM(C34:C40)</f>
        <v>680000</v>
      </c>
      <c r="D33" s="95">
        <f t="shared" si="49"/>
        <v>680000</v>
      </c>
      <c r="E33" s="95">
        <f t="shared" si="49"/>
        <v>680000</v>
      </c>
      <c r="F33" s="95">
        <f t="shared" si="49"/>
        <v>0</v>
      </c>
      <c r="G33" s="95"/>
      <c r="H33" s="95">
        <f>SUM(H34:H40)</f>
        <v>280755</v>
      </c>
      <c r="I33" s="95">
        <f t="shared" ref="I33:J33" si="50">SUM(I34:I40)</f>
        <v>424611</v>
      </c>
      <c r="J33" s="95">
        <f t="shared" si="50"/>
        <v>0</v>
      </c>
      <c r="K33" s="95"/>
      <c r="L33" s="604">
        <f t="shared" si="41"/>
        <v>0.41287499999999999</v>
      </c>
      <c r="M33" s="604">
        <f t="shared" si="42"/>
        <v>0.6244279411764706</v>
      </c>
      <c r="N33" s="604">
        <f t="shared" si="43"/>
        <v>0</v>
      </c>
      <c r="O33" s="40"/>
      <c r="P33" s="81">
        <f t="shared" si="44"/>
        <v>0</v>
      </c>
      <c r="Q33" s="81">
        <f t="shared" si="45"/>
        <v>0</v>
      </c>
      <c r="R33" s="81">
        <f t="shared" si="46"/>
        <v>0</v>
      </c>
      <c r="S33" s="81">
        <f t="shared" si="47"/>
        <v>0</v>
      </c>
      <c r="T33" s="85">
        <f t="shared" si="48"/>
        <v>0</v>
      </c>
      <c r="U33" s="121"/>
      <c r="V33" s="195">
        <f t="shared" si="23"/>
        <v>0</v>
      </c>
      <c r="W33" s="129"/>
      <c r="X33" s="129"/>
    </row>
    <row r="34" spans="1:25" x14ac:dyDescent="0.25">
      <c r="A34" s="20" t="s">
        <v>33</v>
      </c>
      <c r="B34" s="20" t="s">
        <v>35</v>
      </c>
      <c r="C34" s="143">
        <v>130000</v>
      </c>
      <c r="D34" s="143">
        <v>130000</v>
      </c>
      <c r="E34" s="143">
        <v>130000</v>
      </c>
      <c r="F34" s="68"/>
      <c r="G34" s="96"/>
      <c r="H34" s="96">
        <v>50200</v>
      </c>
      <c r="I34" s="96">
        <v>50200</v>
      </c>
      <c r="J34" s="96"/>
      <c r="K34" s="96"/>
      <c r="L34" s="603">
        <f t="shared" si="41"/>
        <v>0.38615384615384618</v>
      </c>
      <c r="M34" s="603">
        <f t="shared" si="42"/>
        <v>0.38615384615384618</v>
      </c>
      <c r="N34" s="603">
        <f t="shared" si="43"/>
        <v>0</v>
      </c>
      <c r="O34" s="120"/>
      <c r="P34" s="81">
        <f t="shared" si="44"/>
        <v>0</v>
      </c>
      <c r="Q34" s="81">
        <f t="shared" si="45"/>
        <v>0</v>
      </c>
      <c r="R34" s="81">
        <f t="shared" si="46"/>
        <v>0</v>
      </c>
      <c r="S34" s="81">
        <f t="shared" si="47"/>
        <v>0</v>
      </c>
      <c r="T34" s="85">
        <f t="shared" si="48"/>
        <v>0</v>
      </c>
      <c r="U34" s="120"/>
      <c r="V34" s="195">
        <f t="shared" si="23"/>
        <v>0</v>
      </c>
      <c r="W34" s="122"/>
      <c r="X34" s="122"/>
    </row>
    <row r="35" spans="1:25" x14ac:dyDescent="0.25">
      <c r="A35" s="20"/>
      <c r="B35" s="20" t="s">
        <v>89</v>
      </c>
      <c r="C35" s="143"/>
      <c r="D35" s="143"/>
      <c r="E35" s="143"/>
      <c r="F35" s="68"/>
      <c r="G35" s="96"/>
      <c r="H35" s="96"/>
      <c r="I35" s="96"/>
      <c r="J35" s="96"/>
      <c r="K35" s="96"/>
      <c r="L35" s="599">
        <f t="shared" si="41"/>
        <v>0</v>
      </c>
      <c r="M35" s="599">
        <f t="shared" si="42"/>
        <v>0</v>
      </c>
      <c r="N35" s="599">
        <f t="shared" si="43"/>
        <v>0</v>
      </c>
      <c r="O35" s="119"/>
      <c r="P35" s="81">
        <f t="shared" si="44"/>
        <v>0</v>
      </c>
      <c r="Q35" s="81">
        <f t="shared" si="45"/>
        <v>0</v>
      </c>
      <c r="R35" s="81">
        <f t="shared" si="46"/>
        <v>0</v>
      </c>
      <c r="S35" s="81">
        <f t="shared" si="47"/>
        <v>0</v>
      </c>
      <c r="T35" s="85">
        <f t="shared" si="48"/>
        <v>0</v>
      </c>
      <c r="U35" s="119"/>
      <c r="V35" s="195">
        <f t="shared" si="23"/>
        <v>0</v>
      </c>
      <c r="W35" s="122"/>
      <c r="X35" s="122"/>
    </row>
    <row r="36" spans="1:25" x14ac:dyDescent="0.25">
      <c r="A36" s="20" t="s">
        <v>34</v>
      </c>
      <c r="B36" s="20" t="s">
        <v>36</v>
      </c>
      <c r="C36" s="143">
        <v>550000</v>
      </c>
      <c r="D36" s="143">
        <v>550000</v>
      </c>
      <c r="E36" s="143">
        <v>550000</v>
      </c>
      <c r="F36" s="68"/>
      <c r="G36" s="96"/>
      <c r="H36" s="96">
        <v>230555</v>
      </c>
      <c r="I36" s="96">
        <v>374411</v>
      </c>
      <c r="J36" s="96"/>
      <c r="K36" s="96"/>
      <c r="L36" s="603">
        <f t="shared" si="41"/>
        <v>0.41919090909090911</v>
      </c>
      <c r="M36" s="603">
        <f t="shared" si="42"/>
        <v>0.68074727272727276</v>
      </c>
      <c r="N36" s="603">
        <f t="shared" si="43"/>
        <v>0</v>
      </c>
      <c r="O36" s="120"/>
      <c r="P36" s="81">
        <f t="shared" si="44"/>
        <v>0</v>
      </c>
      <c r="Q36" s="81">
        <f t="shared" si="45"/>
        <v>0</v>
      </c>
      <c r="R36" s="81">
        <f t="shared" si="46"/>
        <v>0</v>
      </c>
      <c r="S36" s="81">
        <f t="shared" si="47"/>
        <v>0</v>
      </c>
      <c r="T36" s="85">
        <f t="shared" si="48"/>
        <v>0</v>
      </c>
      <c r="U36" s="120"/>
      <c r="V36" s="195">
        <f t="shared" si="23"/>
        <v>0</v>
      </c>
      <c r="W36" s="122"/>
      <c r="X36" s="122"/>
    </row>
    <row r="37" spans="1:25" x14ac:dyDescent="0.25">
      <c r="A37" s="20"/>
      <c r="B37" s="20" t="s">
        <v>96</v>
      </c>
      <c r="C37" s="143"/>
      <c r="D37" s="143"/>
      <c r="E37" s="143"/>
      <c r="F37" s="68"/>
      <c r="G37" s="96"/>
      <c r="H37" s="96"/>
      <c r="I37" s="96"/>
      <c r="J37" s="96"/>
      <c r="K37" s="96"/>
      <c r="L37" s="599">
        <f t="shared" si="41"/>
        <v>0</v>
      </c>
      <c r="M37" s="599">
        <f t="shared" si="42"/>
        <v>0</v>
      </c>
      <c r="N37" s="599">
        <f t="shared" si="43"/>
        <v>0</v>
      </c>
      <c r="O37" s="119"/>
      <c r="P37" s="81">
        <f t="shared" si="44"/>
        <v>0</v>
      </c>
      <c r="Q37" s="81">
        <f t="shared" si="45"/>
        <v>0</v>
      </c>
      <c r="R37" s="81">
        <f t="shared" si="46"/>
        <v>0</v>
      </c>
      <c r="S37" s="81">
        <f t="shared" si="47"/>
        <v>0</v>
      </c>
      <c r="T37" s="85">
        <f t="shared" si="48"/>
        <v>0</v>
      </c>
      <c r="U37" s="119"/>
      <c r="V37" s="195">
        <f t="shared" si="23"/>
        <v>0</v>
      </c>
      <c r="W37" s="122"/>
      <c r="X37" s="122"/>
    </row>
    <row r="38" spans="1:25" x14ac:dyDescent="0.25">
      <c r="A38" s="20"/>
      <c r="B38" s="20" t="s">
        <v>95</v>
      </c>
      <c r="C38" s="143"/>
      <c r="D38" s="143"/>
      <c r="E38" s="143"/>
      <c r="F38" s="68"/>
      <c r="G38" s="96"/>
      <c r="H38" s="96"/>
      <c r="I38" s="96"/>
      <c r="J38" s="96"/>
      <c r="K38" s="96"/>
      <c r="L38" s="599">
        <f t="shared" si="41"/>
        <v>0</v>
      </c>
      <c r="M38" s="599">
        <f t="shared" si="42"/>
        <v>0</v>
      </c>
      <c r="N38" s="599">
        <f t="shared" si="43"/>
        <v>0</v>
      </c>
      <c r="O38" s="119"/>
      <c r="P38" s="81">
        <f t="shared" si="44"/>
        <v>0</v>
      </c>
      <c r="Q38" s="81">
        <f t="shared" si="45"/>
        <v>0</v>
      </c>
      <c r="R38" s="81">
        <f t="shared" si="46"/>
        <v>0</v>
      </c>
      <c r="S38" s="81">
        <f t="shared" si="47"/>
        <v>0</v>
      </c>
      <c r="T38" s="85">
        <f t="shared" si="48"/>
        <v>0</v>
      </c>
      <c r="U38" s="119"/>
      <c r="V38" s="195">
        <f t="shared" si="23"/>
        <v>0</v>
      </c>
      <c r="W38" s="122"/>
      <c r="X38" s="122"/>
    </row>
    <row r="39" spans="1:25" x14ac:dyDescent="0.25">
      <c r="A39" s="20"/>
      <c r="B39" s="20" t="s">
        <v>94</v>
      </c>
      <c r="C39" s="143"/>
      <c r="D39" s="143"/>
      <c r="E39" s="143"/>
      <c r="F39" s="68"/>
      <c r="G39" s="96"/>
      <c r="H39" s="96"/>
      <c r="I39" s="96"/>
      <c r="J39" s="96"/>
      <c r="K39" s="96"/>
      <c r="L39" s="599">
        <f t="shared" si="41"/>
        <v>0</v>
      </c>
      <c r="M39" s="599">
        <f t="shared" si="42"/>
        <v>0</v>
      </c>
      <c r="N39" s="599">
        <f t="shared" si="43"/>
        <v>0</v>
      </c>
      <c r="O39" s="119"/>
      <c r="P39" s="81">
        <f t="shared" si="44"/>
        <v>0</v>
      </c>
      <c r="Q39" s="81">
        <f t="shared" si="45"/>
        <v>0</v>
      </c>
      <c r="R39" s="81">
        <f t="shared" si="46"/>
        <v>0</v>
      </c>
      <c r="S39" s="81">
        <f t="shared" si="47"/>
        <v>0</v>
      </c>
      <c r="T39" s="85">
        <f t="shared" si="48"/>
        <v>0</v>
      </c>
      <c r="U39" s="119"/>
      <c r="V39" s="195">
        <f t="shared" si="23"/>
        <v>0</v>
      </c>
      <c r="W39" s="122"/>
      <c r="X39" s="122"/>
    </row>
    <row r="40" spans="1:25" x14ac:dyDescent="0.25">
      <c r="A40" s="20"/>
      <c r="B40" s="20" t="s">
        <v>93</v>
      </c>
      <c r="C40" s="143">
        <v>0</v>
      </c>
      <c r="D40" s="143">
        <v>0</v>
      </c>
      <c r="E40" s="143">
        <v>0</v>
      </c>
      <c r="F40" s="68"/>
      <c r="G40" s="96"/>
      <c r="H40" s="96">
        <v>0</v>
      </c>
      <c r="I40" s="96">
        <v>0</v>
      </c>
      <c r="J40" s="96"/>
      <c r="K40" s="96"/>
      <c r="L40" s="603">
        <f t="shared" si="41"/>
        <v>0</v>
      </c>
      <c r="M40" s="603">
        <f t="shared" si="42"/>
        <v>0</v>
      </c>
      <c r="N40" s="603">
        <f t="shared" si="43"/>
        <v>0</v>
      </c>
      <c r="O40" s="120"/>
      <c r="P40" s="81">
        <f t="shared" si="44"/>
        <v>0</v>
      </c>
      <c r="Q40" s="81">
        <f t="shared" si="45"/>
        <v>0</v>
      </c>
      <c r="R40" s="81">
        <f t="shared" si="46"/>
        <v>0</v>
      </c>
      <c r="S40" s="81">
        <f t="shared" si="47"/>
        <v>0</v>
      </c>
      <c r="T40" s="85">
        <f t="shared" si="48"/>
        <v>0</v>
      </c>
      <c r="U40" s="120"/>
      <c r="V40" s="195">
        <f t="shared" si="23"/>
        <v>0</v>
      </c>
      <c r="W40" s="122"/>
      <c r="X40" s="122"/>
    </row>
    <row r="41" spans="1:25" s="42" customFormat="1" x14ac:dyDescent="0.25">
      <c r="A41" s="39" t="s">
        <v>37</v>
      </c>
      <c r="B41" s="39" t="s">
        <v>38</v>
      </c>
      <c r="C41" s="95">
        <f>SUM(C42:C47)</f>
        <v>230000</v>
      </c>
      <c r="D41" s="95">
        <f t="shared" ref="D41:F41" si="51">SUM(D42:D47)</f>
        <v>230000</v>
      </c>
      <c r="E41" s="95">
        <f t="shared" si="51"/>
        <v>230000</v>
      </c>
      <c r="F41" s="95">
        <f t="shared" si="51"/>
        <v>0</v>
      </c>
      <c r="G41" s="95"/>
      <c r="H41" s="95">
        <f t="shared" ref="H41" si="52">SUM(H42:H47)</f>
        <v>81315</v>
      </c>
      <c r="I41" s="95">
        <f t="shared" ref="I41" si="53">SUM(I42:I47)</f>
        <v>149050</v>
      </c>
      <c r="J41" s="95">
        <f t="shared" ref="J41" si="54">SUM(J42:J47)</f>
        <v>0</v>
      </c>
      <c r="K41" s="95"/>
      <c r="L41" s="604">
        <f t="shared" si="41"/>
        <v>0.35354347826086957</v>
      </c>
      <c r="M41" s="604">
        <f t="shared" si="42"/>
        <v>0.64804347826086961</v>
      </c>
      <c r="N41" s="604">
        <f t="shared" si="43"/>
        <v>0</v>
      </c>
      <c r="O41" s="121"/>
      <c r="P41" s="81">
        <f t="shared" si="44"/>
        <v>0</v>
      </c>
      <c r="Q41" s="81">
        <f t="shared" si="45"/>
        <v>0</v>
      </c>
      <c r="R41" s="81">
        <f t="shared" si="46"/>
        <v>0</v>
      </c>
      <c r="S41" s="81">
        <f t="shared" si="47"/>
        <v>0</v>
      </c>
      <c r="T41" s="85">
        <f t="shared" si="48"/>
        <v>0</v>
      </c>
      <c r="U41" s="121"/>
      <c r="V41" s="195">
        <f t="shared" si="23"/>
        <v>0</v>
      </c>
      <c r="W41" s="129"/>
      <c r="X41" s="129"/>
    </row>
    <row r="42" spans="1:25" x14ac:dyDescent="0.25">
      <c r="A42" s="20" t="s">
        <v>39</v>
      </c>
      <c r="B42" s="20" t="s">
        <v>40</v>
      </c>
      <c r="C42" s="68">
        <v>150000</v>
      </c>
      <c r="D42" s="68">
        <v>150000</v>
      </c>
      <c r="E42" s="143">
        <v>150000</v>
      </c>
      <c r="F42" s="68"/>
      <c r="G42" s="96"/>
      <c r="H42" s="96">
        <v>49500</v>
      </c>
      <c r="I42" s="96">
        <v>99000</v>
      </c>
      <c r="J42" s="96"/>
      <c r="K42" s="96"/>
      <c r="L42" s="603">
        <f t="shared" si="41"/>
        <v>0.33</v>
      </c>
      <c r="M42" s="603">
        <f t="shared" si="42"/>
        <v>0.66</v>
      </c>
      <c r="N42" s="603">
        <f t="shared" si="43"/>
        <v>0</v>
      </c>
      <c r="O42" s="120"/>
      <c r="P42" s="81">
        <f t="shared" si="44"/>
        <v>0</v>
      </c>
      <c r="Q42" s="81">
        <f t="shared" si="45"/>
        <v>0</v>
      </c>
      <c r="R42" s="81">
        <f t="shared" si="46"/>
        <v>0</v>
      </c>
      <c r="S42" s="81">
        <f t="shared" si="47"/>
        <v>0</v>
      </c>
      <c r="T42" s="85">
        <f t="shared" si="48"/>
        <v>0</v>
      </c>
      <c r="U42" s="120"/>
      <c r="V42" s="195">
        <f t="shared" si="23"/>
        <v>0</v>
      </c>
      <c r="W42" s="122"/>
      <c r="X42" s="122"/>
      <c r="Y42" s="2"/>
    </row>
    <row r="43" spans="1:25" ht="14.25" customHeight="1" x14ac:dyDescent="0.25">
      <c r="A43" s="20"/>
      <c r="B43" s="20" t="s">
        <v>41</v>
      </c>
      <c r="C43" s="68"/>
      <c r="D43" s="68"/>
      <c r="E43" s="68"/>
      <c r="F43" s="68"/>
      <c r="G43" s="96"/>
      <c r="H43" s="96"/>
      <c r="I43" s="96"/>
      <c r="J43" s="96"/>
      <c r="K43" s="96"/>
      <c r="L43" s="599">
        <f t="shared" si="41"/>
        <v>0</v>
      </c>
      <c r="M43" s="599">
        <f t="shared" si="42"/>
        <v>0</v>
      </c>
      <c r="N43" s="599">
        <f t="shared" si="43"/>
        <v>0</v>
      </c>
      <c r="O43" s="119"/>
      <c r="P43" s="81">
        <f t="shared" si="44"/>
        <v>0</v>
      </c>
      <c r="Q43" s="81">
        <f t="shared" si="45"/>
        <v>0</v>
      </c>
      <c r="R43" s="81">
        <f t="shared" si="46"/>
        <v>0</v>
      </c>
      <c r="S43" s="81">
        <f t="shared" si="47"/>
        <v>0</v>
      </c>
      <c r="T43" s="85">
        <f t="shared" si="48"/>
        <v>0</v>
      </c>
      <c r="U43" s="119"/>
      <c r="V43" s="195">
        <f t="shared" si="23"/>
        <v>0</v>
      </c>
      <c r="W43" s="122"/>
      <c r="X43" s="122"/>
    </row>
    <row r="44" spans="1:25" ht="15.75" customHeight="1" x14ac:dyDescent="0.25">
      <c r="A44" s="20"/>
      <c r="B44" s="20" t="s">
        <v>42</v>
      </c>
      <c r="C44" s="68"/>
      <c r="D44" s="68"/>
      <c r="E44" s="68"/>
      <c r="F44" s="68"/>
      <c r="G44" s="96"/>
      <c r="H44" s="96"/>
      <c r="I44" s="96"/>
      <c r="J44" s="96"/>
      <c r="K44" s="96"/>
      <c r="L44" s="599">
        <f t="shared" si="41"/>
        <v>0</v>
      </c>
      <c r="M44" s="599">
        <f t="shared" si="42"/>
        <v>0</v>
      </c>
      <c r="N44" s="599">
        <f t="shared" si="43"/>
        <v>0</v>
      </c>
      <c r="O44" s="119"/>
      <c r="P44" s="81">
        <f t="shared" si="44"/>
        <v>0</v>
      </c>
      <c r="Q44" s="81">
        <f t="shared" si="45"/>
        <v>0</v>
      </c>
      <c r="R44" s="81">
        <f t="shared" si="46"/>
        <v>0</v>
      </c>
      <c r="S44" s="81">
        <f t="shared" si="47"/>
        <v>0</v>
      </c>
      <c r="T44" s="85">
        <f t="shared" si="48"/>
        <v>0</v>
      </c>
      <c r="U44" s="119"/>
      <c r="V44" s="195">
        <f t="shared" si="23"/>
        <v>0</v>
      </c>
      <c r="W44" s="122"/>
      <c r="X44" s="122"/>
    </row>
    <row r="45" spans="1:25" x14ac:dyDescent="0.25">
      <c r="A45" s="20"/>
      <c r="B45" s="20" t="s">
        <v>43</v>
      </c>
      <c r="C45" s="68"/>
      <c r="D45" s="68"/>
      <c r="E45" s="68"/>
      <c r="F45" s="68"/>
      <c r="G45" s="96"/>
      <c r="H45" s="96"/>
      <c r="I45" s="96"/>
      <c r="J45" s="96"/>
      <c r="K45" s="96"/>
      <c r="L45" s="599">
        <f t="shared" si="41"/>
        <v>0</v>
      </c>
      <c r="M45" s="599">
        <f t="shared" si="42"/>
        <v>0</v>
      </c>
      <c r="N45" s="599">
        <f t="shared" si="43"/>
        <v>0</v>
      </c>
      <c r="O45" s="119"/>
      <c r="P45" s="81">
        <f t="shared" si="44"/>
        <v>0</v>
      </c>
      <c r="Q45" s="81">
        <f t="shared" si="45"/>
        <v>0</v>
      </c>
      <c r="R45" s="81">
        <f t="shared" si="46"/>
        <v>0</v>
      </c>
      <c r="S45" s="81">
        <f t="shared" si="47"/>
        <v>0</v>
      </c>
      <c r="T45" s="85">
        <f t="shared" si="48"/>
        <v>0</v>
      </c>
      <c r="U45" s="119"/>
      <c r="V45" s="195">
        <f t="shared" si="23"/>
        <v>0</v>
      </c>
      <c r="W45" s="122"/>
      <c r="X45" s="122"/>
    </row>
    <row r="46" spans="1:25" x14ac:dyDescent="0.25">
      <c r="A46" s="20" t="s">
        <v>44</v>
      </c>
      <c r="B46" s="20" t="s">
        <v>45</v>
      </c>
      <c r="C46" s="68">
        <v>80000</v>
      </c>
      <c r="D46" s="68">
        <v>80000</v>
      </c>
      <c r="E46" s="143">
        <v>80000</v>
      </c>
      <c r="F46" s="68"/>
      <c r="G46" s="96"/>
      <c r="H46" s="96">
        <v>31815</v>
      </c>
      <c r="I46" s="96">
        <v>50050</v>
      </c>
      <c r="J46" s="96"/>
      <c r="K46" s="96"/>
      <c r="L46" s="603">
        <f t="shared" si="41"/>
        <v>0.39768750000000003</v>
      </c>
      <c r="M46" s="603">
        <f t="shared" si="42"/>
        <v>0.62562499999999999</v>
      </c>
      <c r="N46" s="603">
        <f t="shared" si="43"/>
        <v>0</v>
      </c>
      <c r="O46" s="120"/>
      <c r="P46" s="81">
        <f t="shared" si="44"/>
        <v>0</v>
      </c>
      <c r="Q46" s="81">
        <f t="shared" si="45"/>
        <v>0</v>
      </c>
      <c r="R46" s="81">
        <f t="shared" si="46"/>
        <v>0</v>
      </c>
      <c r="S46" s="81">
        <f t="shared" si="47"/>
        <v>0</v>
      </c>
      <c r="T46" s="85">
        <f t="shared" si="48"/>
        <v>0</v>
      </c>
      <c r="U46" s="120"/>
      <c r="V46" s="195">
        <f t="shared" si="23"/>
        <v>0</v>
      </c>
      <c r="W46" s="122"/>
      <c r="X46" s="122"/>
    </row>
    <row r="47" spans="1:25" ht="15.75" customHeight="1" x14ac:dyDescent="0.25">
      <c r="A47" s="20"/>
      <c r="B47" s="20" t="s">
        <v>46</v>
      </c>
      <c r="C47" s="68"/>
      <c r="D47" s="68"/>
      <c r="E47" s="68"/>
      <c r="F47" s="68"/>
      <c r="G47" s="96"/>
      <c r="H47" s="96"/>
      <c r="I47" s="96"/>
      <c r="J47" s="96"/>
      <c r="K47" s="96"/>
      <c r="L47" s="599">
        <f t="shared" si="41"/>
        <v>0</v>
      </c>
      <c r="M47" s="599">
        <f t="shared" si="42"/>
        <v>0</v>
      </c>
      <c r="N47" s="599">
        <f t="shared" si="43"/>
        <v>0</v>
      </c>
      <c r="O47" s="119"/>
      <c r="P47" s="81">
        <f t="shared" si="44"/>
        <v>0</v>
      </c>
      <c r="Q47" s="81">
        <f t="shared" si="45"/>
        <v>0</v>
      </c>
      <c r="R47" s="81">
        <f t="shared" si="46"/>
        <v>0</v>
      </c>
      <c r="S47" s="81">
        <f t="shared" si="47"/>
        <v>0</v>
      </c>
      <c r="T47" s="85">
        <f t="shared" si="48"/>
        <v>0</v>
      </c>
      <c r="U47" s="119"/>
      <c r="V47" s="195">
        <f t="shared" si="23"/>
        <v>0</v>
      </c>
      <c r="W47" s="122"/>
      <c r="X47" s="122"/>
    </row>
    <row r="48" spans="1:25" s="42" customFormat="1" x14ac:dyDescent="0.25">
      <c r="A48" s="39" t="s">
        <v>47</v>
      </c>
      <c r="B48" s="39" t="s">
        <v>48</v>
      </c>
      <c r="C48" s="95">
        <f>SUM(C49:C65)</f>
        <v>7590000</v>
      </c>
      <c r="D48" s="95">
        <f t="shared" ref="D48:F48" si="55">SUM(D49:D65)</f>
        <v>7590000</v>
      </c>
      <c r="E48" s="95">
        <f t="shared" si="55"/>
        <v>7590000</v>
      </c>
      <c r="F48" s="95">
        <f t="shared" si="55"/>
        <v>0</v>
      </c>
      <c r="G48" s="95"/>
      <c r="H48" s="95">
        <f t="shared" ref="H48" si="56">SUM(H49:H65)</f>
        <v>2870277</v>
      </c>
      <c r="I48" s="95">
        <f t="shared" ref="I48" si="57">SUM(I49:I65)</f>
        <v>4719387</v>
      </c>
      <c r="J48" s="95">
        <f t="shared" ref="J48" si="58">SUM(J49:J65)</f>
        <v>0</v>
      </c>
      <c r="K48" s="95"/>
      <c r="L48" s="604">
        <f t="shared" si="41"/>
        <v>0.37816561264822135</v>
      </c>
      <c r="M48" s="604">
        <f t="shared" si="42"/>
        <v>0.62179011857707511</v>
      </c>
      <c r="N48" s="604">
        <f t="shared" si="43"/>
        <v>0</v>
      </c>
      <c r="O48" s="121"/>
      <c r="P48" s="81">
        <f t="shared" si="44"/>
        <v>0</v>
      </c>
      <c r="Q48" s="81">
        <f t="shared" si="45"/>
        <v>0</v>
      </c>
      <c r="R48" s="81">
        <f t="shared" si="46"/>
        <v>0</v>
      </c>
      <c r="S48" s="81">
        <f t="shared" si="47"/>
        <v>0</v>
      </c>
      <c r="T48" s="85">
        <f t="shared" si="48"/>
        <v>0</v>
      </c>
      <c r="U48" s="121"/>
      <c r="V48" s="195">
        <f t="shared" si="23"/>
        <v>0</v>
      </c>
      <c r="W48" s="129"/>
      <c r="X48" s="129"/>
    </row>
    <row r="49" spans="1:25" x14ac:dyDescent="0.25">
      <c r="A49" s="20" t="s">
        <v>49</v>
      </c>
      <c r="B49" s="567" t="s">
        <v>50</v>
      </c>
      <c r="C49" s="68">
        <v>650000</v>
      </c>
      <c r="D49" s="68">
        <v>650000</v>
      </c>
      <c r="E49" s="68">
        <v>850000</v>
      </c>
      <c r="F49" s="68"/>
      <c r="G49" s="96"/>
      <c r="H49" s="96">
        <v>443162</v>
      </c>
      <c r="I49" s="96">
        <v>703113</v>
      </c>
      <c r="J49" s="96"/>
      <c r="K49" s="96"/>
      <c r="L49" s="603">
        <f t="shared" si="41"/>
        <v>0.68178769230769232</v>
      </c>
      <c r="M49" s="603">
        <f t="shared" si="42"/>
        <v>1.0817123076923076</v>
      </c>
      <c r="N49" s="603">
        <f t="shared" si="43"/>
        <v>0</v>
      </c>
      <c r="O49" s="120"/>
      <c r="P49" s="81">
        <f t="shared" si="44"/>
        <v>0</v>
      </c>
      <c r="Q49" s="81">
        <f t="shared" si="45"/>
        <v>200000</v>
      </c>
      <c r="R49" s="81">
        <f t="shared" si="46"/>
        <v>0</v>
      </c>
      <c r="S49" s="81">
        <f t="shared" si="47"/>
        <v>200000</v>
      </c>
      <c r="T49" s="85">
        <f t="shared" si="48"/>
        <v>0.30769230769230771</v>
      </c>
      <c r="U49" s="120"/>
      <c r="V49" s="195">
        <f t="shared" si="23"/>
        <v>0</v>
      </c>
      <c r="W49" s="122"/>
      <c r="X49" s="122"/>
    </row>
    <row r="50" spans="1:25" x14ac:dyDescent="0.25">
      <c r="A50" s="20" t="s">
        <v>103</v>
      </c>
      <c r="B50" s="20" t="s">
        <v>97</v>
      </c>
      <c r="C50" s="68"/>
      <c r="D50" s="68"/>
      <c r="E50" s="68"/>
      <c r="F50" s="68"/>
      <c r="G50" s="96"/>
      <c r="H50" s="96"/>
      <c r="I50" s="96"/>
      <c r="J50" s="96"/>
      <c r="K50" s="96"/>
      <c r="L50" s="599">
        <f t="shared" si="41"/>
        <v>0</v>
      </c>
      <c r="M50" s="599">
        <f t="shared" si="42"/>
        <v>0</v>
      </c>
      <c r="N50" s="599">
        <f t="shared" si="43"/>
        <v>0</v>
      </c>
      <c r="O50" s="119"/>
      <c r="P50" s="81">
        <f t="shared" si="44"/>
        <v>0</v>
      </c>
      <c r="Q50" s="81">
        <f t="shared" si="45"/>
        <v>0</v>
      </c>
      <c r="R50" s="81">
        <f t="shared" si="46"/>
        <v>0</v>
      </c>
      <c r="S50" s="81">
        <f t="shared" si="47"/>
        <v>0</v>
      </c>
      <c r="T50" s="85">
        <f t="shared" si="48"/>
        <v>0</v>
      </c>
      <c r="U50" s="119"/>
      <c r="V50" s="195">
        <f t="shared" si="23"/>
        <v>0</v>
      </c>
      <c r="W50" s="122"/>
      <c r="X50" s="122"/>
    </row>
    <row r="51" spans="1:25" x14ac:dyDescent="0.25">
      <c r="A51" s="20"/>
      <c r="B51" s="20" t="s">
        <v>98</v>
      </c>
      <c r="C51" s="68"/>
      <c r="D51" s="68"/>
      <c r="E51" s="68"/>
      <c r="F51" s="68"/>
      <c r="G51" s="96"/>
      <c r="H51" s="96"/>
      <c r="I51" s="96"/>
      <c r="J51" s="96"/>
      <c r="K51" s="96"/>
      <c r="L51" s="599">
        <f t="shared" si="41"/>
        <v>0</v>
      </c>
      <c r="M51" s="599">
        <f t="shared" si="42"/>
        <v>0</v>
      </c>
      <c r="N51" s="599">
        <f t="shared" si="43"/>
        <v>0</v>
      </c>
      <c r="O51" s="119"/>
      <c r="P51" s="81">
        <f t="shared" si="44"/>
        <v>0</v>
      </c>
      <c r="Q51" s="81">
        <f t="shared" si="45"/>
        <v>0</v>
      </c>
      <c r="R51" s="81">
        <f t="shared" si="46"/>
        <v>0</v>
      </c>
      <c r="S51" s="81">
        <f t="shared" si="47"/>
        <v>0</v>
      </c>
      <c r="T51" s="85">
        <f t="shared" si="48"/>
        <v>0</v>
      </c>
      <c r="U51" s="119"/>
      <c r="V51" s="195">
        <f t="shared" si="23"/>
        <v>0</v>
      </c>
      <c r="W51" s="122"/>
      <c r="X51" s="122"/>
    </row>
    <row r="52" spans="1:25" x14ac:dyDescent="0.25">
      <c r="A52" s="20"/>
      <c r="B52" s="20" t="s">
        <v>99</v>
      </c>
      <c r="C52" s="68"/>
      <c r="D52" s="68"/>
      <c r="E52" s="68"/>
      <c r="F52" s="68"/>
      <c r="G52" s="96"/>
      <c r="H52" s="96"/>
      <c r="I52" s="96"/>
      <c r="J52" s="96"/>
      <c r="K52" s="96"/>
      <c r="L52" s="599">
        <f t="shared" si="41"/>
        <v>0</v>
      </c>
      <c r="M52" s="599">
        <f t="shared" si="42"/>
        <v>0</v>
      </c>
      <c r="N52" s="599">
        <f t="shared" si="43"/>
        <v>0</v>
      </c>
      <c r="O52" s="119"/>
      <c r="P52" s="81">
        <f t="shared" si="44"/>
        <v>0</v>
      </c>
      <c r="Q52" s="81">
        <f t="shared" si="45"/>
        <v>0</v>
      </c>
      <c r="R52" s="81">
        <f t="shared" si="46"/>
        <v>0</v>
      </c>
      <c r="S52" s="81">
        <f t="shared" si="47"/>
        <v>0</v>
      </c>
      <c r="T52" s="85">
        <f t="shared" si="48"/>
        <v>0</v>
      </c>
      <c r="U52" s="119"/>
      <c r="V52" s="195">
        <f t="shared" si="23"/>
        <v>0</v>
      </c>
      <c r="W52" s="122"/>
      <c r="X52" s="122"/>
    </row>
    <row r="53" spans="1:25" x14ac:dyDescent="0.25">
      <c r="A53" s="20" t="s">
        <v>51</v>
      </c>
      <c r="B53" s="20" t="s">
        <v>52</v>
      </c>
      <c r="C53" s="68">
        <v>5600000</v>
      </c>
      <c r="D53" s="68">
        <v>5600000</v>
      </c>
      <c r="E53" s="143">
        <v>5600000</v>
      </c>
      <c r="F53" s="68"/>
      <c r="G53" s="96"/>
      <c r="H53" s="96">
        <v>2300086</v>
      </c>
      <c r="I53" s="96">
        <v>3564416</v>
      </c>
      <c r="J53" s="96"/>
      <c r="K53" s="96"/>
      <c r="L53" s="603">
        <f t="shared" si="41"/>
        <v>0.41072964285714286</v>
      </c>
      <c r="M53" s="603">
        <f t="shared" si="42"/>
        <v>0.63650285714285715</v>
      </c>
      <c r="N53" s="603">
        <f t="shared" si="43"/>
        <v>0</v>
      </c>
      <c r="O53" s="120"/>
      <c r="P53" s="81">
        <f t="shared" si="44"/>
        <v>0</v>
      </c>
      <c r="Q53" s="81">
        <f t="shared" si="45"/>
        <v>0</v>
      </c>
      <c r="R53" s="81">
        <f t="shared" si="46"/>
        <v>0</v>
      </c>
      <c r="S53" s="81">
        <f t="shared" si="47"/>
        <v>0</v>
      </c>
      <c r="T53" s="85">
        <f t="shared" si="48"/>
        <v>0</v>
      </c>
      <c r="U53" s="120"/>
      <c r="V53" s="195">
        <f t="shared" si="23"/>
        <v>0</v>
      </c>
      <c r="W53" s="122"/>
      <c r="X53" s="122"/>
    </row>
    <row r="54" spans="1:25" x14ac:dyDescent="0.25">
      <c r="A54" s="20"/>
      <c r="B54" s="20" t="s">
        <v>90</v>
      </c>
      <c r="C54" s="68"/>
      <c r="D54" s="68"/>
      <c r="E54" s="68"/>
      <c r="F54" s="68"/>
      <c r="G54" s="96"/>
      <c r="H54" s="96"/>
      <c r="I54" s="96"/>
      <c r="J54" s="96"/>
      <c r="K54" s="96"/>
      <c r="L54" s="599">
        <f t="shared" si="41"/>
        <v>0</v>
      </c>
      <c r="M54" s="599">
        <f t="shared" si="42"/>
        <v>0</v>
      </c>
      <c r="N54" s="599">
        <f t="shared" si="43"/>
        <v>0</v>
      </c>
      <c r="O54" s="119"/>
      <c r="P54" s="81">
        <f t="shared" si="44"/>
        <v>0</v>
      </c>
      <c r="Q54" s="81">
        <f t="shared" si="45"/>
        <v>0</v>
      </c>
      <c r="R54" s="81">
        <f t="shared" si="46"/>
        <v>0</v>
      </c>
      <c r="S54" s="81">
        <f t="shared" si="47"/>
        <v>0</v>
      </c>
      <c r="T54" s="85">
        <f t="shared" si="48"/>
        <v>0</v>
      </c>
      <c r="U54" s="119"/>
      <c r="V54" s="195">
        <f t="shared" si="23"/>
        <v>0</v>
      </c>
      <c r="W54" s="122"/>
      <c r="X54" s="122"/>
    </row>
    <row r="55" spans="1:25" x14ac:dyDescent="0.25">
      <c r="A55" s="20"/>
      <c r="B55" s="20" t="s">
        <v>53</v>
      </c>
      <c r="C55" s="68"/>
      <c r="D55" s="68"/>
      <c r="E55" s="68"/>
      <c r="F55" s="68"/>
      <c r="G55" s="96"/>
      <c r="H55" s="96"/>
      <c r="I55" s="96"/>
      <c r="J55" s="96"/>
      <c r="K55" s="96"/>
      <c r="L55" s="599">
        <f t="shared" si="41"/>
        <v>0</v>
      </c>
      <c r="M55" s="599">
        <f t="shared" si="42"/>
        <v>0</v>
      </c>
      <c r="N55" s="599">
        <f t="shared" si="43"/>
        <v>0</v>
      </c>
      <c r="O55" s="119"/>
      <c r="P55" s="81">
        <f t="shared" si="44"/>
        <v>0</v>
      </c>
      <c r="Q55" s="81">
        <f t="shared" si="45"/>
        <v>0</v>
      </c>
      <c r="R55" s="81">
        <f t="shared" si="46"/>
        <v>0</v>
      </c>
      <c r="S55" s="81">
        <f t="shared" si="47"/>
        <v>0</v>
      </c>
      <c r="T55" s="85">
        <f t="shared" si="48"/>
        <v>0</v>
      </c>
      <c r="U55" s="119"/>
      <c r="V55" s="195">
        <f t="shared" si="23"/>
        <v>0</v>
      </c>
      <c r="W55" s="122"/>
      <c r="X55" s="122"/>
    </row>
    <row r="56" spans="1:25" x14ac:dyDescent="0.25">
      <c r="A56" s="20" t="s">
        <v>54</v>
      </c>
      <c r="B56" s="20" t="s">
        <v>55</v>
      </c>
      <c r="C56" s="68"/>
      <c r="D56" s="68"/>
      <c r="E56" s="68"/>
      <c r="F56" s="68"/>
      <c r="G56" s="96"/>
      <c r="H56" s="96"/>
      <c r="I56" s="96"/>
      <c r="J56" s="96"/>
      <c r="K56" s="96"/>
      <c r="L56" s="599">
        <f t="shared" si="41"/>
        <v>0</v>
      </c>
      <c r="M56" s="599">
        <f t="shared" si="42"/>
        <v>0</v>
      </c>
      <c r="N56" s="599">
        <f t="shared" si="43"/>
        <v>0</v>
      </c>
      <c r="O56" s="119"/>
      <c r="P56" s="81">
        <f t="shared" si="44"/>
        <v>0</v>
      </c>
      <c r="Q56" s="81">
        <f t="shared" si="45"/>
        <v>0</v>
      </c>
      <c r="R56" s="81">
        <f t="shared" si="46"/>
        <v>0</v>
      </c>
      <c r="S56" s="81">
        <f t="shared" si="47"/>
        <v>0</v>
      </c>
      <c r="T56" s="85">
        <f t="shared" si="48"/>
        <v>0</v>
      </c>
      <c r="U56" s="119"/>
      <c r="V56" s="195">
        <f t="shared" si="23"/>
        <v>0</v>
      </c>
      <c r="W56" s="122"/>
      <c r="X56" s="122"/>
    </row>
    <row r="57" spans="1:25" x14ac:dyDescent="0.25">
      <c r="A57" s="20"/>
      <c r="B57" s="20" t="s">
        <v>56</v>
      </c>
      <c r="C57" s="68"/>
      <c r="D57" s="68"/>
      <c r="E57" s="68"/>
      <c r="F57" s="68"/>
      <c r="G57" s="96"/>
      <c r="H57" s="96"/>
      <c r="I57" s="96"/>
      <c r="J57" s="96"/>
      <c r="K57" s="96"/>
      <c r="L57" s="599">
        <f t="shared" si="41"/>
        <v>0</v>
      </c>
      <c r="M57" s="599">
        <f t="shared" si="42"/>
        <v>0</v>
      </c>
      <c r="N57" s="599">
        <f t="shared" si="43"/>
        <v>0</v>
      </c>
      <c r="O57" s="119"/>
      <c r="P57" s="81">
        <f t="shared" si="44"/>
        <v>0</v>
      </c>
      <c r="Q57" s="81">
        <f t="shared" si="45"/>
        <v>0</v>
      </c>
      <c r="R57" s="81">
        <f t="shared" si="46"/>
        <v>0</v>
      </c>
      <c r="S57" s="81">
        <f t="shared" si="47"/>
        <v>0</v>
      </c>
      <c r="T57" s="85">
        <f t="shared" si="48"/>
        <v>0</v>
      </c>
      <c r="U57" s="119"/>
      <c r="V57" s="195">
        <f t="shared" si="23"/>
        <v>0</v>
      </c>
      <c r="W57" s="122"/>
      <c r="X57" s="122"/>
    </row>
    <row r="58" spans="1:25" x14ac:dyDescent="0.25">
      <c r="A58" s="20" t="s">
        <v>57</v>
      </c>
      <c r="B58" s="20" t="s">
        <v>91</v>
      </c>
      <c r="C58" s="68">
        <v>1000000</v>
      </c>
      <c r="D58" s="68">
        <v>1000000</v>
      </c>
      <c r="E58" s="68">
        <v>800000</v>
      </c>
      <c r="F58" s="68"/>
      <c r="G58" s="96"/>
      <c r="H58" s="96">
        <v>0</v>
      </c>
      <c r="I58" s="96">
        <v>166439</v>
      </c>
      <c r="J58" s="96"/>
      <c r="K58" s="96"/>
      <c r="L58" s="603">
        <f t="shared" si="41"/>
        <v>0</v>
      </c>
      <c r="M58" s="603">
        <f t="shared" si="42"/>
        <v>0.166439</v>
      </c>
      <c r="N58" s="603">
        <f t="shared" si="43"/>
        <v>0</v>
      </c>
      <c r="O58" s="120"/>
      <c r="P58" s="81">
        <f t="shared" si="44"/>
        <v>0</v>
      </c>
      <c r="Q58" s="81">
        <f t="shared" si="45"/>
        <v>-200000</v>
      </c>
      <c r="R58" s="81">
        <f t="shared" si="46"/>
        <v>0</v>
      </c>
      <c r="S58" s="81">
        <f t="shared" si="47"/>
        <v>-200000</v>
      </c>
      <c r="T58" s="85">
        <f t="shared" si="48"/>
        <v>-0.2</v>
      </c>
      <c r="U58" s="120"/>
      <c r="V58" s="195">
        <f t="shared" si="23"/>
        <v>0</v>
      </c>
      <c r="W58" s="122"/>
      <c r="X58" s="122"/>
    </row>
    <row r="59" spans="1:25" x14ac:dyDescent="0.25">
      <c r="A59" s="20"/>
      <c r="B59" s="20" t="s">
        <v>58</v>
      </c>
      <c r="C59" s="68"/>
      <c r="D59" s="68"/>
      <c r="E59" s="68"/>
      <c r="F59" s="68"/>
      <c r="G59" s="96"/>
      <c r="H59" s="96"/>
      <c r="I59" s="96"/>
      <c r="J59" s="96"/>
      <c r="K59" s="96"/>
      <c r="L59" s="599">
        <f t="shared" si="41"/>
        <v>0</v>
      </c>
      <c r="M59" s="599">
        <f t="shared" si="42"/>
        <v>0</v>
      </c>
      <c r="N59" s="599">
        <f t="shared" si="43"/>
        <v>0</v>
      </c>
      <c r="O59" s="119"/>
      <c r="P59" s="81">
        <f t="shared" si="44"/>
        <v>0</v>
      </c>
      <c r="Q59" s="81">
        <f t="shared" si="45"/>
        <v>0</v>
      </c>
      <c r="R59" s="81">
        <f t="shared" si="46"/>
        <v>0</v>
      </c>
      <c r="S59" s="81">
        <f t="shared" si="47"/>
        <v>0</v>
      </c>
      <c r="T59" s="85">
        <f t="shared" si="48"/>
        <v>0</v>
      </c>
      <c r="U59" s="119"/>
      <c r="V59" s="195">
        <f t="shared" si="23"/>
        <v>0</v>
      </c>
      <c r="W59" s="122"/>
      <c r="X59" s="122"/>
    </row>
    <row r="60" spans="1:25" x14ac:dyDescent="0.25">
      <c r="A60" s="20" t="s">
        <v>59</v>
      </c>
      <c r="B60" s="20" t="s">
        <v>60</v>
      </c>
      <c r="C60" s="68"/>
      <c r="D60" s="68"/>
      <c r="E60" s="68"/>
      <c r="F60" s="68"/>
      <c r="G60" s="96"/>
      <c r="H60" s="96"/>
      <c r="I60" s="96"/>
      <c r="J60" s="96"/>
      <c r="K60" s="96"/>
      <c r="L60" s="599">
        <f t="shared" si="41"/>
        <v>0</v>
      </c>
      <c r="M60" s="599">
        <f t="shared" si="42"/>
        <v>0</v>
      </c>
      <c r="N60" s="599">
        <f t="shared" si="43"/>
        <v>0</v>
      </c>
      <c r="O60" s="119"/>
      <c r="P60" s="81">
        <f t="shared" si="44"/>
        <v>0</v>
      </c>
      <c r="Q60" s="81">
        <f t="shared" si="45"/>
        <v>0</v>
      </c>
      <c r="R60" s="81">
        <f t="shared" si="46"/>
        <v>0</v>
      </c>
      <c r="S60" s="81">
        <f t="shared" si="47"/>
        <v>0</v>
      </c>
      <c r="T60" s="85">
        <f t="shared" si="48"/>
        <v>0</v>
      </c>
      <c r="U60" s="119"/>
      <c r="V60" s="195">
        <f t="shared" si="23"/>
        <v>0</v>
      </c>
      <c r="W60" s="122"/>
      <c r="X60" s="122"/>
    </row>
    <row r="61" spans="1:25" ht="26.4" x14ac:dyDescent="0.25">
      <c r="A61" s="20"/>
      <c r="B61" s="20" t="s">
        <v>61</v>
      </c>
      <c r="C61" s="68"/>
      <c r="D61" s="68"/>
      <c r="E61" s="68"/>
      <c r="F61" s="68"/>
      <c r="G61" s="96"/>
      <c r="H61" s="96"/>
      <c r="I61" s="96"/>
      <c r="J61" s="96"/>
      <c r="K61" s="96"/>
      <c r="L61" s="599">
        <f t="shared" si="41"/>
        <v>0</v>
      </c>
      <c r="M61" s="599">
        <f t="shared" si="42"/>
        <v>0</v>
      </c>
      <c r="N61" s="599">
        <f t="shared" si="43"/>
        <v>0</v>
      </c>
      <c r="O61" s="119"/>
      <c r="P61" s="81">
        <f t="shared" si="44"/>
        <v>0</v>
      </c>
      <c r="Q61" s="81">
        <f t="shared" si="45"/>
        <v>0</v>
      </c>
      <c r="R61" s="81">
        <f t="shared" si="46"/>
        <v>0</v>
      </c>
      <c r="S61" s="81">
        <f t="shared" si="47"/>
        <v>0</v>
      </c>
      <c r="T61" s="85">
        <f t="shared" si="48"/>
        <v>0</v>
      </c>
      <c r="U61" s="119"/>
      <c r="V61" s="195">
        <f t="shared" si="23"/>
        <v>0</v>
      </c>
      <c r="W61" s="122"/>
      <c r="X61" s="122"/>
    </row>
    <row r="62" spans="1:25" x14ac:dyDescent="0.25">
      <c r="A62" s="20" t="s">
        <v>62</v>
      </c>
      <c r="B62" s="20" t="s">
        <v>63</v>
      </c>
      <c r="C62" s="68">
        <v>40000</v>
      </c>
      <c r="D62" s="68">
        <v>40000</v>
      </c>
      <c r="E62" s="68">
        <v>40000</v>
      </c>
      <c r="F62" s="68"/>
      <c r="G62" s="96"/>
      <c r="H62" s="96">
        <v>31200</v>
      </c>
      <c r="I62" s="96">
        <v>31200</v>
      </c>
      <c r="J62" s="96"/>
      <c r="K62" s="96"/>
      <c r="L62" s="603">
        <f t="shared" si="41"/>
        <v>0.78</v>
      </c>
      <c r="M62" s="603">
        <f t="shared" si="42"/>
        <v>0.78</v>
      </c>
      <c r="N62" s="603">
        <f t="shared" si="43"/>
        <v>0</v>
      </c>
      <c r="O62" s="120"/>
      <c r="P62" s="81">
        <f t="shared" si="44"/>
        <v>0</v>
      </c>
      <c r="Q62" s="81">
        <f t="shared" si="45"/>
        <v>0</v>
      </c>
      <c r="R62" s="81">
        <f t="shared" si="46"/>
        <v>0</v>
      </c>
      <c r="S62" s="81">
        <f t="shared" si="47"/>
        <v>0</v>
      </c>
      <c r="T62" s="85">
        <f t="shared" si="48"/>
        <v>0</v>
      </c>
      <c r="U62" s="120"/>
      <c r="V62" s="195">
        <f t="shared" si="23"/>
        <v>0</v>
      </c>
      <c r="W62" s="122"/>
      <c r="X62" s="122"/>
    </row>
    <row r="63" spans="1:25" ht="40.35" customHeight="1" x14ac:dyDescent="0.25">
      <c r="A63" s="20"/>
      <c r="B63" s="20" t="s">
        <v>102</v>
      </c>
      <c r="C63" s="68"/>
      <c r="D63" s="68"/>
      <c r="E63" s="68"/>
      <c r="F63" s="68"/>
      <c r="G63" s="96"/>
      <c r="H63" s="96"/>
      <c r="I63" s="96"/>
      <c r="J63" s="96"/>
      <c r="K63" s="96"/>
      <c r="L63" s="599">
        <f t="shared" si="41"/>
        <v>0</v>
      </c>
      <c r="M63" s="599">
        <f t="shared" si="42"/>
        <v>0</v>
      </c>
      <c r="N63" s="599">
        <f t="shared" si="43"/>
        <v>0</v>
      </c>
      <c r="O63" s="119"/>
      <c r="P63" s="81">
        <f t="shared" si="44"/>
        <v>0</v>
      </c>
      <c r="Q63" s="81">
        <f t="shared" si="45"/>
        <v>0</v>
      </c>
      <c r="R63" s="81">
        <f t="shared" si="46"/>
        <v>0</v>
      </c>
      <c r="S63" s="81">
        <f t="shared" si="47"/>
        <v>0</v>
      </c>
      <c r="T63" s="85">
        <f t="shared" si="48"/>
        <v>0</v>
      </c>
      <c r="U63" s="119"/>
      <c r="V63" s="195">
        <f t="shared" si="23"/>
        <v>0</v>
      </c>
      <c r="W63" s="122"/>
      <c r="X63" s="122"/>
      <c r="Y63" s="2"/>
    </row>
    <row r="64" spans="1:25" x14ac:dyDescent="0.25">
      <c r="A64" s="20" t="s">
        <v>64</v>
      </c>
      <c r="B64" s="20" t="s">
        <v>65</v>
      </c>
      <c r="C64" s="68">
        <v>300000</v>
      </c>
      <c r="D64" s="68">
        <v>300000</v>
      </c>
      <c r="E64" s="143">
        <v>300000</v>
      </c>
      <c r="F64" s="68"/>
      <c r="G64" s="96"/>
      <c r="H64" s="96">
        <v>95829</v>
      </c>
      <c r="I64" s="96">
        <v>254219</v>
      </c>
      <c r="J64" s="96"/>
      <c r="K64" s="96"/>
      <c r="L64" s="603">
        <f t="shared" ref="L64:L89" si="59">IF(H64&gt;0,H64/C64,0)</f>
        <v>0.31942999999999999</v>
      </c>
      <c r="M64" s="603">
        <f t="shared" ref="M64:M89" si="60">IF(I64&gt;0,I64/D64,0)</f>
        <v>0.84739666666666669</v>
      </c>
      <c r="N64" s="603">
        <f t="shared" ref="N64:N89" si="61">IF(J64&gt;0,J64/E64,0)</f>
        <v>0</v>
      </c>
      <c r="O64" s="120"/>
      <c r="P64" s="81">
        <f t="shared" ref="P64:P89" si="62">+(D64-C64)*P$10</f>
        <v>0</v>
      </c>
      <c r="Q64" s="81">
        <f t="shared" ref="Q64:Q89" si="63">+(E64-D64)*Q$10</f>
        <v>0</v>
      </c>
      <c r="R64" s="81">
        <f t="shared" ref="R64:R89" si="64">+(F64-E64)*R$10</f>
        <v>0</v>
      </c>
      <c r="S64" s="81">
        <f t="shared" si="47"/>
        <v>0</v>
      </c>
      <c r="T64" s="85">
        <f t="shared" ref="T64:T89" si="65">IF(C64=0,0,+S64/C64)</f>
        <v>0</v>
      </c>
      <c r="U64" s="120"/>
      <c r="V64" s="195">
        <f t="shared" si="23"/>
        <v>0</v>
      </c>
      <c r="W64" s="122"/>
      <c r="X64" s="122"/>
      <c r="Y64" s="2"/>
    </row>
    <row r="65" spans="1:24" ht="39.6" x14ac:dyDescent="0.25">
      <c r="A65" s="20"/>
      <c r="B65" s="20" t="s">
        <v>66</v>
      </c>
      <c r="C65" s="68"/>
      <c r="D65" s="68"/>
      <c r="E65" s="68"/>
      <c r="F65" s="68"/>
      <c r="G65" s="96"/>
      <c r="H65" s="96"/>
      <c r="I65" s="96"/>
      <c r="J65" s="96"/>
      <c r="K65" s="96"/>
      <c r="L65" s="599">
        <f t="shared" si="59"/>
        <v>0</v>
      </c>
      <c r="M65" s="599">
        <f t="shared" si="60"/>
        <v>0</v>
      </c>
      <c r="N65" s="599">
        <f t="shared" si="61"/>
        <v>0</v>
      </c>
      <c r="O65" s="119"/>
      <c r="P65" s="81">
        <f t="shared" si="62"/>
        <v>0</v>
      </c>
      <c r="Q65" s="81">
        <f t="shared" si="63"/>
        <v>0</v>
      </c>
      <c r="R65" s="81">
        <f t="shared" si="64"/>
        <v>0</v>
      </c>
      <c r="S65" s="81">
        <f t="shared" si="47"/>
        <v>0</v>
      </c>
      <c r="T65" s="85">
        <f t="shared" si="65"/>
        <v>0</v>
      </c>
      <c r="U65" s="119"/>
      <c r="V65" s="195">
        <f t="shared" si="23"/>
        <v>0</v>
      </c>
      <c r="W65" s="122"/>
      <c r="X65" s="122"/>
    </row>
    <row r="66" spans="1:24" s="42" customFormat="1" x14ac:dyDescent="0.25">
      <c r="A66" s="39" t="s">
        <v>67</v>
      </c>
      <c r="B66" s="39" t="s">
        <v>68</v>
      </c>
      <c r="C66" s="95">
        <f>SUM(C67:C70)</f>
        <v>700000</v>
      </c>
      <c r="D66" s="95">
        <f t="shared" ref="D66:F66" si="66">SUM(D67:D70)</f>
        <v>700000</v>
      </c>
      <c r="E66" s="95">
        <f t="shared" si="66"/>
        <v>700000</v>
      </c>
      <c r="F66" s="95">
        <f t="shared" si="66"/>
        <v>0</v>
      </c>
      <c r="G66" s="95"/>
      <c r="H66" s="95">
        <f t="shared" ref="H66" si="67">SUM(H67:H70)</f>
        <v>266028</v>
      </c>
      <c r="I66" s="95">
        <f t="shared" ref="I66" si="68">SUM(I67:I70)</f>
        <v>450802</v>
      </c>
      <c r="J66" s="95">
        <f t="shared" ref="J66" si="69">SUM(J67:J70)</f>
        <v>0</v>
      </c>
      <c r="K66" s="95"/>
      <c r="L66" s="604">
        <f t="shared" si="59"/>
        <v>0.38003999999999999</v>
      </c>
      <c r="M66" s="604">
        <f t="shared" si="60"/>
        <v>0.6440028571428571</v>
      </c>
      <c r="N66" s="604">
        <f t="shared" si="61"/>
        <v>0</v>
      </c>
      <c r="O66" s="121"/>
      <c r="P66" s="81">
        <f t="shared" si="62"/>
        <v>0</v>
      </c>
      <c r="Q66" s="81">
        <f t="shared" si="63"/>
        <v>0</v>
      </c>
      <c r="R66" s="81">
        <f t="shared" si="64"/>
        <v>0</v>
      </c>
      <c r="S66" s="81">
        <f t="shared" si="47"/>
        <v>0</v>
      </c>
      <c r="T66" s="85">
        <f t="shared" si="65"/>
        <v>0</v>
      </c>
      <c r="U66" s="121"/>
      <c r="V66" s="195">
        <f t="shared" si="23"/>
        <v>0</v>
      </c>
      <c r="W66" s="129"/>
      <c r="X66" s="129"/>
    </row>
    <row r="67" spans="1:24" x14ac:dyDescent="0.25">
      <c r="A67" s="20" t="s">
        <v>69</v>
      </c>
      <c r="B67" s="20" t="s">
        <v>70</v>
      </c>
      <c r="C67" s="68">
        <v>700000</v>
      </c>
      <c r="D67" s="68">
        <v>700000</v>
      </c>
      <c r="E67" s="68">
        <v>700000</v>
      </c>
      <c r="F67" s="68"/>
      <c r="G67" s="96"/>
      <c r="H67" s="96">
        <v>266028</v>
      </c>
      <c r="I67" s="96">
        <v>450802</v>
      </c>
      <c r="J67" s="96"/>
      <c r="K67" s="96"/>
      <c r="L67" s="603">
        <f t="shared" si="59"/>
        <v>0.38003999999999999</v>
      </c>
      <c r="M67" s="603">
        <f t="shared" si="60"/>
        <v>0.6440028571428571</v>
      </c>
      <c r="N67" s="603">
        <f t="shared" si="61"/>
        <v>0</v>
      </c>
      <c r="O67" s="120"/>
      <c r="P67" s="81">
        <f t="shared" si="62"/>
        <v>0</v>
      </c>
      <c r="Q67" s="81">
        <f t="shared" si="63"/>
        <v>0</v>
      </c>
      <c r="R67" s="81">
        <f t="shared" si="64"/>
        <v>0</v>
      </c>
      <c r="S67" s="81">
        <f t="shared" si="47"/>
        <v>0</v>
      </c>
      <c r="T67" s="85">
        <f t="shared" si="65"/>
        <v>0</v>
      </c>
      <c r="U67" s="120"/>
      <c r="V67" s="195">
        <f t="shared" si="23"/>
        <v>0</v>
      </c>
      <c r="W67" s="122"/>
      <c r="X67" s="122"/>
    </row>
    <row r="68" spans="1:24" ht="39.6" x14ac:dyDescent="0.25">
      <c r="A68" s="20"/>
      <c r="B68" s="20" t="s">
        <v>71</v>
      </c>
      <c r="C68" s="68"/>
      <c r="D68" s="68"/>
      <c r="E68" s="68"/>
      <c r="F68" s="68"/>
      <c r="G68" s="96"/>
      <c r="H68" s="96"/>
      <c r="I68" s="96"/>
      <c r="J68" s="96"/>
      <c r="K68" s="96"/>
      <c r="L68" s="599">
        <f t="shared" si="59"/>
        <v>0</v>
      </c>
      <c r="M68" s="599">
        <f t="shared" si="60"/>
        <v>0</v>
      </c>
      <c r="N68" s="599">
        <f t="shared" si="61"/>
        <v>0</v>
      </c>
      <c r="O68" s="119"/>
      <c r="P68" s="81">
        <f t="shared" si="62"/>
        <v>0</v>
      </c>
      <c r="Q68" s="81">
        <f t="shared" si="63"/>
        <v>0</v>
      </c>
      <c r="R68" s="81">
        <f t="shared" si="64"/>
        <v>0</v>
      </c>
      <c r="S68" s="81">
        <f t="shared" si="47"/>
        <v>0</v>
      </c>
      <c r="T68" s="85">
        <f t="shared" si="65"/>
        <v>0</v>
      </c>
      <c r="U68" s="119"/>
      <c r="V68" s="195">
        <f t="shared" si="23"/>
        <v>0</v>
      </c>
      <c r="W68" s="122"/>
      <c r="X68" s="122"/>
    </row>
    <row r="69" spans="1:24" x14ac:dyDescent="0.25">
      <c r="A69" s="20" t="s">
        <v>72</v>
      </c>
      <c r="B69" s="20" t="s">
        <v>100</v>
      </c>
      <c r="C69" s="68"/>
      <c r="D69" s="68"/>
      <c r="E69" s="68"/>
      <c r="F69" s="68"/>
      <c r="G69" s="96"/>
      <c r="H69" s="96"/>
      <c r="I69" s="96"/>
      <c r="J69" s="96"/>
      <c r="K69" s="96"/>
      <c r="L69" s="599">
        <f t="shared" si="59"/>
        <v>0</v>
      </c>
      <c r="M69" s="599">
        <f t="shared" si="60"/>
        <v>0</v>
      </c>
      <c r="N69" s="599">
        <f t="shared" si="61"/>
        <v>0</v>
      </c>
      <c r="O69" s="119"/>
      <c r="P69" s="81">
        <f t="shared" si="62"/>
        <v>0</v>
      </c>
      <c r="Q69" s="81">
        <f t="shared" si="63"/>
        <v>0</v>
      </c>
      <c r="R69" s="81">
        <f t="shared" si="64"/>
        <v>0</v>
      </c>
      <c r="S69" s="81">
        <f t="shared" si="47"/>
        <v>0</v>
      </c>
      <c r="T69" s="85">
        <f t="shared" si="65"/>
        <v>0</v>
      </c>
      <c r="U69" s="119"/>
      <c r="V69" s="195">
        <f t="shared" si="23"/>
        <v>0</v>
      </c>
      <c r="W69" s="122"/>
      <c r="X69" s="122"/>
    </row>
    <row r="70" spans="1:24" ht="39.6" x14ac:dyDescent="0.25">
      <c r="A70" s="20"/>
      <c r="B70" s="20" t="s">
        <v>73</v>
      </c>
      <c r="C70" s="68"/>
      <c r="D70" s="68"/>
      <c r="E70" s="68"/>
      <c r="F70" s="68"/>
      <c r="G70" s="96"/>
      <c r="H70" s="96"/>
      <c r="I70" s="96"/>
      <c r="J70" s="96"/>
      <c r="K70" s="96"/>
      <c r="L70" s="599">
        <f t="shared" si="59"/>
        <v>0</v>
      </c>
      <c r="M70" s="599">
        <f t="shared" si="60"/>
        <v>0</v>
      </c>
      <c r="N70" s="599">
        <f t="shared" si="61"/>
        <v>0</v>
      </c>
      <c r="O70" s="119"/>
      <c r="P70" s="81">
        <f t="shared" si="62"/>
        <v>0</v>
      </c>
      <c r="Q70" s="81">
        <f t="shared" si="63"/>
        <v>0</v>
      </c>
      <c r="R70" s="81">
        <f t="shared" si="64"/>
        <v>0</v>
      </c>
      <c r="S70" s="81">
        <f t="shared" si="47"/>
        <v>0</v>
      </c>
      <c r="T70" s="85">
        <f t="shared" si="65"/>
        <v>0</v>
      </c>
      <c r="U70" s="119"/>
      <c r="V70" s="195">
        <f t="shared" si="23"/>
        <v>0</v>
      </c>
      <c r="W70" s="122"/>
      <c r="X70" s="122"/>
    </row>
    <row r="71" spans="1:24" s="42" customFormat="1" x14ac:dyDescent="0.25">
      <c r="A71" s="39" t="s">
        <v>74</v>
      </c>
      <c r="B71" s="39" t="s">
        <v>75</v>
      </c>
      <c r="C71" s="95">
        <f>SUM(C72:C81)</f>
        <v>2860000</v>
      </c>
      <c r="D71" s="95">
        <f t="shared" ref="D71:F71" si="70">SUM(D72:D81)</f>
        <v>2860000</v>
      </c>
      <c r="E71" s="95">
        <f t="shared" si="70"/>
        <v>2860000</v>
      </c>
      <c r="F71" s="95">
        <f t="shared" si="70"/>
        <v>0</v>
      </c>
      <c r="G71" s="95"/>
      <c r="H71" s="95">
        <f t="shared" ref="H71" si="71">SUM(H72:H81)</f>
        <v>1413770</v>
      </c>
      <c r="I71" s="95">
        <f t="shared" ref="I71" si="72">SUM(I72:I81)</f>
        <v>2195280</v>
      </c>
      <c r="J71" s="95">
        <f t="shared" ref="J71" si="73">SUM(J72:J81)</f>
        <v>0</v>
      </c>
      <c r="K71" s="95"/>
      <c r="L71" s="604">
        <f t="shared" si="59"/>
        <v>0.49432517482517485</v>
      </c>
      <c r="M71" s="604">
        <f t="shared" si="60"/>
        <v>0.76758041958041956</v>
      </c>
      <c r="N71" s="604">
        <f t="shared" si="61"/>
        <v>0</v>
      </c>
      <c r="O71" s="121"/>
      <c r="P71" s="81">
        <f t="shared" si="62"/>
        <v>0</v>
      </c>
      <c r="Q71" s="81">
        <f t="shared" si="63"/>
        <v>0</v>
      </c>
      <c r="R71" s="81">
        <f t="shared" si="64"/>
        <v>0</v>
      </c>
      <c r="S71" s="81">
        <f t="shared" si="47"/>
        <v>0</v>
      </c>
      <c r="T71" s="85">
        <f t="shared" si="65"/>
        <v>0</v>
      </c>
      <c r="U71" s="121"/>
      <c r="V71" s="195">
        <f t="shared" si="23"/>
        <v>0</v>
      </c>
      <c r="W71" s="129"/>
      <c r="X71" s="129"/>
    </row>
    <row r="72" spans="1:24" x14ac:dyDescent="0.25">
      <c r="A72" s="20" t="s">
        <v>76</v>
      </c>
      <c r="B72" s="20" t="s">
        <v>77</v>
      </c>
      <c r="C72" s="68">
        <v>1900000</v>
      </c>
      <c r="D72" s="68">
        <v>1900000</v>
      </c>
      <c r="E72" s="143">
        <v>1900000</v>
      </c>
      <c r="F72" s="68"/>
      <c r="G72" s="96"/>
      <c r="H72" s="96">
        <v>836843</v>
      </c>
      <c r="I72" s="96">
        <v>1346775</v>
      </c>
      <c r="J72" s="96"/>
      <c r="K72" s="96"/>
      <c r="L72" s="603">
        <f t="shared" si="59"/>
        <v>0.44044368421052632</v>
      </c>
      <c r="M72" s="603">
        <f t="shared" si="60"/>
        <v>0.70882894736842106</v>
      </c>
      <c r="N72" s="603">
        <f t="shared" si="61"/>
        <v>0</v>
      </c>
      <c r="O72" s="120"/>
      <c r="P72" s="81">
        <f t="shared" si="62"/>
        <v>0</v>
      </c>
      <c r="Q72" s="81">
        <f t="shared" si="63"/>
        <v>0</v>
      </c>
      <c r="R72" s="81">
        <f t="shared" si="64"/>
        <v>0</v>
      </c>
      <c r="S72" s="81">
        <f t="shared" si="47"/>
        <v>0</v>
      </c>
      <c r="T72" s="85">
        <f t="shared" si="65"/>
        <v>0</v>
      </c>
      <c r="U72" s="120"/>
      <c r="V72" s="195">
        <f t="shared" si="23"/>
        <v>0</v>
      </c>
      <c r="W72" s="122"/>
      <c r="X72" s="122"/>
    </row>
    <row r="73" spans="1:24" x14ac:dyDescent="0.25">
      <c r="A73" s="20"/>
      <c r="B73" s="20" t="s">
        <v>78</v>
      </c>
      <c r="C73" s="68"/>
      <c r="D73" s="68"/>
      <c r="E73" s="68"/>
      <c r="F73" s="68"/>
      <c r="G73" s="96"/>
      <c r="H73" s="96"/>
      <c r="I73" s="96"/>
      <c r="J73" s="96"/>
      <c r="K73" s="96"/>
      <c r="L73" s="599">
        <f t="shared" si="59"/>
        <v>0</v>
      </c>
      <c r="M73" s="599">
        <f t="shared" si="60"/>
        <v>0</v>
      </c>
      <c r="N73" s="599">
        <f t="shared" si="61"/>
        <v>0</v>
      </c>
      <c r="O73" s="119"/>
      <c r="P73" s="81">
        <f t="shared" si="62"/>
        <v>0</v>
      </c>
      <c r="Q73" s="81">
        <f t="shared" si="63"/>
        <v>0</v>
      </c>
      <c r="R73" s="81">
        <f t="shared" si="64"/>
        <v>0</v>
      </c>
      <c r="S73" s="81">
        <f t="shared" si="47"/>
        <v>0</v>
      </c>
      <c r="T73" s="85">
        <f t="shared" si="65"/>
        <v>0</v>
      </c>
      <c r="U73" s="119"/>
      <c r="V73" s="195">
        <f t="shared" si="23"/>
        <v>0</v>
      </c>
      <c r="W73" s="122"/>
      <c r="X73" s="122"/>
    </row>
    <row r="74" spans="1:24" x14ac:dyDescent="0.25">
      <c r="A74" s="20" t="s">
        <v>79</v>
      </c>
      <c r="B74" s="20" t="s">
        <v>80</v>
      </c>
      <c r="C74" s="68">
        <v>950000</v>
      </c>
      <c r="D74" s="68">
        <v>950000</v>
      </c>
      <c r="E74" s="68">
        <v>950000</v>
      </c>
      <c r="F74" s="68"/>
      <c r="G74" s="96"/>
      <c r="H74" s="96">
        <v>576000</v>
      </c>
      <c r="I74" s="96">
        <v>846000</v>
      </c>
      <c r="J74" s="96"/>
      <c r="K74" s="96"/>
      <c r="L74" s="603">
        <f t="shared" si="59"/>
        <v>0.60631578947368425</v>
      </c>
      <c r="M74" s="603">
        <f t="shared" si="60"/>
        <v>0.89052631578947372</v>
      </c>
      <c r="N74" s="603">
        <f t="shared" si="61"/>
        <v>0</v>
      </c>
      <c r="O74" s="120"/>
      <c r="P74" s="81">
        <f t="shared" si="62"/>
        <v>0</v>
      </c>
      <c r="Q74" s="81">
        <f t="shared" si="63"/>
        <v>0</v>
      </c>
      <c r="R74" s="81">
        <f t="shared" si="64"/>
        <v>0</v>
      </c>
      <c r="S74" s="81">
        <f t="shared" si="47"/>
        <v>0</v>
      </c>
      <c r="T74" s="85">
        <f t="shared" si="65"/>
        <v>0</v>
      </c>
      <c r="U74" s="120"/>
      <c r="V74" s="195">
        <f t="shared" si="23"/>
        <v>0</v>
      </c>
      <c r="W74" s="122"/>
      <c r="X74" s="122"/>
    </row>
    <row r="75" spans="1:24" ht="26.4" x14ac:dyDescent="0.25">
      <c r="A75" s="20"/>
      <c r="B75" s="20" t="s">
        <v>101</v>
      </c>
      <c r="C75" s="68"/>
      <c r="D75" s="68"/>
      <c r="E75" s="68"/>
      <c r="F75" s="68"/>
      <c r="G75" s="96"/>
      <c r="H75" s="96"/>
      <c r="I75" s="96"/>
      <c r="J75" s="96"/>
      <c r="K75" s="96"/>
      <c r="L75" s="599">
        <f t="shared" si="59"/>
        <v>0</v>
      </c>
      <c r="M75" s="599">
        <f t="shared" si="60"/>
        <v>0</v>
      </c>
      <c r="N75" s="599">
        <f t="shared" si="61"/>
        <v>0</v>
      </c>
      <c r="O75" s="119"/>
      <c r="P75" s="81">
        <f t="shared" si="62"/>
        <v>0</v>
      </c>
      <c r="Q75" s="81">
        <f t="shared" si="63"/>
        <v>0</v>
      </c>
      <c r="R75" s="81">
        <f t="shared" si="64"/>
        <v>0</v>
      </c>
      <c r="S75" s="81">
        <f t="shared" si="47"/>
        <v>0</v>
      </c>
      <c r="T75" s="85">
        <f t="shared" si="65"/>
        <v>0</v>
      </c>
      <c r="U75" s="119"/>
      <c r="V75" s="195">
        <f t="shared" si="23"/>
        <v>0</v>
      </c>
      <c r="W75" s="122"/>
      <c r="X75" s="122"/>
    </row>
    <row r="76" spans="1:24" x14ac:dyDescent="0.25">
      <c r="A76" s="20" t="s">
        <v>81</v>
      </c>
      <c r="B76" s="20" t="s">
        <v>82</v>
      </c>
      <c r="C76" s="68"/>
      <c r="D76" s="68"/>
      <c r="E76" s="68"/>
      <c r="F76" s="68"/>
      <c r="G76" s="96"/>
      <c r="H76" s="96"/>
      <c r="I76" s="96"/>
      <c r="J76" s="96"/>
      <c r="K76" s="96"/>
      <c r="L76" s="599">
        <f t="shared" si="59"/>
        <v>0</v>
      </c>
      <c r="M76" s="599">
        <f t="shared" si="60"/>
        <v>0</v>
      </c>
      <c r="N76" s="599">
        <f t="shared" si="61"/>
        <v>0</v>
      </c>
      <c r="O76" s="119"/>
      <c r="P76" s="81">
        <f t="shared" si="62"/>
        <v>0</v>
      </c>
      <c r="Q76" s="81">
        <f t="shared" si="63"/>
        <v>0</v>
      </c>
      <c r="R76" s="81">
        <f t="shared" si="64"/>
        <v>0</v>
      </c>
      <c r="S76" s="81">
        <f t="shared" si="47"/>
        <v>0</v>
      </c>
      <c r="T76" s="85">
        <f t="shared" si="65"/>
        <v>0</v>
      </c>
      <c r="U76" s="119"/>
      <c r="V76" s="195">
        <f t="shared" si="23"/>
        <v>0</v>
      </c>
      <c r="W76" s="122"/>
      <c r="X76" s="122"/>
    </row>
    <row r="77" spans="1:24" ht="26.4" x14ac:dyDescent="0.25">
      <c r="A77" s="20"/>
      <c r="B77" s="20" t="s">
        <v>83</v>
      </c>
      <c r="C77" s="68"/>
      <c r="D77" s="68"/>
      <c r="E77" s="68"/>
      <c r="F77" s="68"/>
      <c r="G77" s="96"/>
      <c r="H77" s="96"/>
      <c r="I77" s="96"/>
      <c r="J77" s="96"/>
      <c r="K77" s="96"/>
      <c r="L77" s="599">
        <f t="shared" si="59"/>
        <v>0</v>
      </c>
      <c r="M77" s="599">
        <f t="shared" si="60"/>
        <v>0</v>
      </c>
      <c r="N77" s="599">
        <f t="shared" si="61"/>
        <v>0</v>
      </c>
      <c r="O77" s="119"/>
      <c r="P77" s="81">
        <f t="shared" si="62"/>
        <v>0</v>
      </c>
      <c r="Q77" s="81">
        <f t="shared" si="63"/>
        <v>0</v>
      </c>
      <c r="R77" s="81">
        <f t="shared" si="64"/>
        <v>0</v>
      </c>
      <c r="S77" s="81">
        <f t="shared" si="47"/>
        <v>0</v>
      </c>
      <c r="T77" s="85">
        <f t="shared" si="65"/>
        <v>0</v>
      </c>
      <c r="U77" s="119"/>
      <c r="V77" s="195">
        <f t="shared" ref="V77" si="74">+S77-E77+C77</f>
        <v>0</v>
      </c>
      <c r="W77" s="122"/>
      <c r="X77" s="122"/>
    </row>
    <row r="78" spans="1:24" x14ac:dyDescent="0.25">
      <c r="A78" s="20" t="s">
        <v>84</v>
      </c>
      <c r="B78" s="20" t="s">
        <v>85</v>
      </c>
      <c r="C78" s="68"/>
      <c r="D78" s="68"/>
      <c r="E78" s="68"/>
      <c r="F78" s="68"/>
      <c r="G78" s="96"/>
      <c r="H78" s="96"/>
      <c r="I78" s="96"/>
      <c r="J78" s="96"/>
      <c r="K78" s="96"/>
      <c r="L78" s="599">
        <f t="shared" si="59"/>
        <v>0</v>
      </c>
      <c r="M78" s="599">
        <f t="shared" si="60"/>
        <v>0</v>
      </c>
      <c r="N78" s="599">
        <f t="shared" si="61"/>
        <v>0</v>
      </c>
      <c r="O78" s="119"/>
      <c r="P78" s="81">
        <f t="shared" si="62"/>
        <v>0</v>
      </c>
      <c r="Q78" s="81">
        <f t="shared" si="63"/>
        <v>0</v>
      </c>
      <c r="R78" s="81">
        <f t="shared" si="64"/>
        <v>0</v>
      </c>
      <c r="S78" s="81">
        <f t="shared" si="47"/>
        <v>0</v>
      </c>
      <c r="T78" s="85">
        <f t="shared" si="65"/>
        <v>0</v>
      </c>
      <c r="U78" s="119"/>
      <c r="V78" s="195">
        <f t="shared" ref="V78:V95" si="75">+S78-E78+C78</f>
        <v>0</v>
      </c>
      <c r="W78" s="122"/>
      <c r="X78" s="122"/>
    </row>
    <row r="79" spans="1:24" x14ac:dyDescent="0.25">
      <c r="A79" s="20"/>
      <c r="B79" s="20" t="s">
        <v>86</v>
      </c>
      <c r="C79" s="68"/>
      <c r="D79" s="68"/>
      <c r="E79" s="68"/>
      <c r="F79" s="68"/>
      <c r="G79" s="96"/>
      <c r="H79" s="96"/>
      <c r="I79" s="96"/>
      <c r="J79" s="96"/>
      <c r="K79" s="96"/>
      <c r="L79" s="599">
        <f t="shared" si="59"/>
        <v>0</v>
      </c>
      <c r="M79" s="599">
        <f t="shared" si="60"/>
        <v>0</v>
      </c>
      <c r="N79" s="599">
        <f t="shared" si="61"/>
        <v>0</v>
      </c>
      <c r="O79" s="119"/>
      <c r="P79" s="81">
        <f t="shared" si="62"/>
        <v>0</v>
      </c>
      <c r="Q79" s="81">
        <f t="shared" si="63"/>
        <v>0</v>
      </c>
      <c r="R79" s="81">
        <f t="shared" si="64"/>
        <v>0</v>
      </c>
      <c r="S79" s="81">
        <f t="shared" si="47"/>
        <v>0</v>
      </c>
      <c r="T79" s="85">
        <f t="shared" si="65"/>
        <v>0</v>
      </c>
      <c r="U79" s="119"/>
      <c r="V79" s="195">
        <f t="shared" si="75"/>
        <v>0</v>
      </c>
      <c r="W79" s="122"/>
      <c r="X79" s="122"/>
    </row>
    <row r="80" spans="1:24" x14ac:dyDescent="0.25">
      <c r="A80" s="20" t="s">
        <v>87</v>
      </c>
      <c r="B80" s="20" t="s">
        <v>88</v>
      </c>
      <c r="C80" s="68">
        <v>10000</v>
      </c>
      <c r="D80" s="68">
        <v>10000</v>
      </c>
      <c r="E80" s="143">
        <v>10000</v>
      </c>
      <c r="F80" s="68"/>
      <c r="G80" s="96"/>
      <c r="H80" s="96">
        <v>927</v>
      </c>
      <c r="I80" s="96">
        <v>2505</v>
      </c>
      <c r="J80" s="96"/>
      <c r="K80" s="96"/>
      <c r="L80" s="603">
        <f t="shared" si="59"/>
        <v>9.2700000000000005E-2</v>
      </c>
      <c r="M80" s="603">
        <f t="shared" si="60"/>
        <v>0.2505</v>
      </c>
      <c r="N80" s="603">
        <f t="shared" si="61"/>
        <v>0</v>
      </c>
      <c r="O80" s="120"/>
      <c r="P80" s="81">
        <f t="shared" si="62"/>
        <v>0</v>
      </c>
      <c r="Q80" s="81">
        <f t="shared" si="63"/>
        <v>0</v>
      </c>
      <c r="R80" s="81">
        <f t="shared" si="64"/>
        <v>0</v>
      </c>
      <c r="S80" s="81">
        <f t="shared" si="47"/>
        <v>0</v>
      </c>
      <c r="T80" s="85">
        <f t="shared" si="65"/>
        <v>0</v>
      </c>
      <c r="U80" s="120"/>
      <c r="V80" s="195">
        <f t="shared" si="75"/>
        <v>0</v>
      </c>
      <c r="W80" s="122"/>
      <c r="X80" s="122"/>
    </row>
    <row r="81" spans="1:26" ht="38.700000000000003" customHeight="1" x14ac:dyDescent="0.25">
      <c r="A81" s="20"/>
      <c r="B81" s="20" t="s">
        <v>92</v>
      </c>
      <c r="C81" s="68"/>
      <c r="D81" s="68"/>
      <c r="E81" s="68"/>
      <c r="F81" s="68"/>
      <c r="G81" s="96"/>
      <c r="H81" s="96"/>
      <c r="I81" s="96"/>
      <c r="J81" s="96"/>
      <c r="K81" s="96"/>
      <c r="L81" s="599">
        <f t="shared" si="59"/>
        <v>0</v>
      </c>
      <c r="M81" s="599">
        <f t="shared" si="60"/>
        <v>0</v>
      </c>
      <c r="N81" s="599">
        <f t="shared" si="61"/>
        <v>0</v>
      </c>
      <c r="O81" s="119"/>
      <c r="P81" s="81">
        <f t="shared" si="62"/>
        <v>0</v>
      </c>
      <c r="Q81" s="81">
        <f t="shared" si="63"/>
        <v>0</v>
      </c>
      <c r="R81" s="81">
        <f t="shared" si="64"/>
        <v>0</v>
      </c>
      <c r="S81" s="81">
        <f t="shared" si="47"/>
        <v>0</v>
      </c>
      <c r="T81" s="85">
        <f t="shared" si="65"/>
        <v>0</v>
      </c>
      <c r="U81" s="119"/>
      <c r="V81" s="195">
        <f t="shared" si="75"/>
        <v>0</v>
      </c>
      <c r="W81" s="122"/>
      <c r="X81" s="122"/>
      <c r="Y81" s="2"/>
    </row>
    <row r="82" spans="1:26" x14ac:dyDescent="0.25">
      <c r="A82" s="20"/>
      <c r="B82" s="14"/>
      <c r="C82" s="68"/>
      <c r="D82" s="93"/>
      <c r="E82" s="93"/>
      <c r="F82" s="93"/>
      <c r="G82" s="94"/>
      <c r="H82" s="94"/>
      <c r="I82" s="94"/>
      <c r="J82" s="94"/>
      <c r="K82" s="94"/>
      <c r="L82" s="599"/>
      <c r="M82" s="599"/>
      <c r="N82" s="599"/>
      <c r="O82" s="119"/>
      <c r="P82" s="81"/>
      <c r="Q82" s="81"/>
      <c r="R82" s="81"/>
      <c r="S82" s="81">
        <f t="shared" si="47"/>
        <v>0</v>
      </c>
      <c r="T82" s="85"/>
      <c r="U82" s="119"/>
      <c r="V82" s="195">
        <f t="shared" si="75"/>
        <v>0</v>
      </c>
      <c r="W82" s="122"/>
      <c r="X82" s="122"/>
    </row>
    <row r="83" spans="1:26" x14ac:dyDescent="0.25">
      <c r="A83" s="3" t="s">
        <v>158</v>
      </c>
      <c r="B83" s="3" t="s">
        <v>159</v>
      </c>
      <c r="C83" s="89">
        <f>SUM(C84:C85)</f>
        <v>4650000</v>
      </c>
      <c r="D83" s="89">
        <f t="shared" ref="D83:F83" si="76">SUM(D84:D85)</f>
        <v>4650000</v>
      </c>
      <c r="E83" s="89">
        <f t="shared" si="76"/>
        <v>4650000</v>
      </c>
      <c r="F83" s="89">
        <f t="shared" si="76"/>
        <v>0</v>
      </c>
      <c r="G83" s="90"/>
      <c r="H83" s="89">
        <f t="shared" ref="H83:J83" si="77">SUM(H84:H85)</f>
        <v>1004214</v>
      </c>
      <c r="I83" s="89">
        <f t="shared" si="77"/>
        <v>3704214</v>
      </c>
      <c r="J83" s="89">
        <f t="shared" si="77"/>
        <v>0</v>
      </c>
      <c r="K83" s="90"/>
      <c r="L83" s="600">
        <f t="shared" ref="L83:L84" si="78">IF(H83&gt;0,H83/C83,0)</f>
        <v>0.21596000000000001</v>
      </c>
      <c r="M83" s="600">
        <f t="shared" ref="M83:M84" si="79">IF(I83&gt;0,I83/D83,0)</f>
        <v>0.79660516129032255</v>
      </c>
      <c r="N83" s="600">
        <f t="shared" ref="N83:N84" si="80">IF(J83&gt;0,J83/E83,0)</f>
        <v>0</v>
      </c>
      <c r="O83" s="118"/>
      <c r="P83" s="90">
        <f t="shared" ref="P83:P84" si="81">+(D83-C83)*P$10</f>
        <v>0</v>
      </c>
      <c r="Q83" s="90">
        <f t="shared" ref="Q83:Q84" si="82">+(E83-D83)*Q$10</f>
        <v>0</v>
      </c>
      <c r="R83" s="90">
        <f t="shared" ref="R83:R84" si="83">+(F83-E83)*R$10</f>
        <v>0</v>
      </c>
      <c r="S83" s="90">
        <f t="shared" si="47"/>
        <v>0</v>
      </c>
      <c r="T83" s="202">
        <f>IF(C83=0,0,+S83/C83)</f>
        <v>0</v>
      </c>
      <c r="U83" s="118"/>
      <c r="V83" s="195">
        <f t="shared" ref="V83:V88" si="84">+S83-E83+C83</f>
        <v>0</v>
      </c>
      <c r="W83" s="122"/>
      <c r="X83" s="122"/>
      <c r="Y83" s="2"/>
      <c r="Z83" s="2"/>
    </row>
    <row r="84" spans="1:26" x14ac:dyDescent="0.25">
      <c r="A84" s="20"/>
      <c r="B84" s="482" t="s">
        <v>561</v>
      </c>
      <c r="C84" s="272">
        <f>650000+4000000</f>
        <v>4650000</v>
      </c>
      <c r="D84" s="272">
        <v>4650000</v>
      </c>
      <c r="E84" s="272">
        <v>4650000</v>
      </c>
      <c r="F84" s="272"/>
      <c r="G84" s="301"/>
      <c r="H84" s="301">
        <v>1004214</v>
      </c>
      <c r="I84" s="301">
        <v>3704214</v>
      </c>
      <c r="J84" s="301"/>
      <c r="K84" s="94"/>
      <c r="L84" s="603">
        <f t="shared" si="78"/>
        <v>0.21596000000000001</v>
      </c>
      <c r="M84" s="603">
        <f t="shared" si="79"/>
        <v>0.79660516129032255</v>
      </c>
      <c r="N84" s="603">
        <f t="shared" si="80"/>
        <v>0</v>
      </c>
      <c r="O84" s="120"/>
      <c r="P84" s="81">
        <f t="shared" si="81"/>
        <v>0</v>
      </c>
      <c r="Q84" s="81">
        <f t="shared" si="82"/>
        <v>0</v>
      </c>
      <c r="R84" s="81">
        <f t="shared" si="83"/>
        <v>0</v>
      </c>
      <c r="S84" s="81">
        <f t="shared" si="47"/>
        <v>0</v>
      </c>
      <c r="T84" s="85">
        <f>IF(C84=0,0,+S84/C84)</f>
        <v>0</v>
      </c>
      <c r="U84" s="120"/>
      <c r="V84" s="195">
        <f t="shared" si="84"/>
        <v>0</v>
      </c>
      <c r="W84" s="122"/>
      <c r="X84" s="122"/>
      <c r="Y84" s="57"/>
    </row>
    <row r="85" spans="1:26" x14ac:dyDescent="0.25">
      <c r="A85" s="20"/>
      <c r="B85" s="14"/>
      <c r="C85" s="68"/>
      <c r="D85" s="93"/>
      <c r="E85" s="93"/>
      <c r="F85" s="93"/>
      <c r="G85" s="94"/>
      <c r="H85" s="94"/>
      <c r="I85" s="94"/>
      <c r="J85" s="94"/>
      <c r="K85" s="94"/>
      <c r="L85" s="599"/>
      <c r="M85" s="599"/>
      <c r="N85" s="599"/>
      <c r="O85" s="119"/>
      <c r="P85" s="81"/>
      <c r="Q85" s="81"/>
      <c r="R85" s="81"/>
      <c r="S85" s="81"/>
      <c r="T85" s="85"/>
      <c r="U85" s="119"/>
      <c r="V85" s="195">
        <f t="shared" si="84"/>
        <v>0</v>
      </c>
      <c r="W85" s="122"/>
      <c r="X85" s="122"/>
    </row>
    <row r="86" spans="1:26" x14ac:dyDescent="0.25">
      <c r="A86" s="3" t="s">
        <v>173</v>
      </c>
      <c r="B86" s="3" t="s">
        <v>174</v>
      </c>
      <c r="C86" s="89">
        <f>SUM(C87:C88)</f>
        <v>0</v>
      </c>
      <c r="D86" s="89">
        <f t="shared" ref="D86:F86" si="85">SUM(D87:D88)</f>
        <v>0</v>
      </c>
      <c r="E86" s="89">
        <f t="shared" si="85"/>
        <v>0</v>
      </c>
      <c r="F86" s="89">
        <f t="shared" si="85"/>
        <v>0</v>
      </c>
      <c r="G86" s="90"/>
      <c r="H86" s="89">
        <f t="shared" ref="H86:J86" si="86">SUM(H87:H88)</f>
        <v>0</v>
      </c>
      <c r="I86" s="89">
        <f t="shared" si="86"/>
        <v>0</v>
      </c>
      <c r="J86" s="89">
        <f t="shared" si="86"/>
        <v>0</v>
      </c>
      <c r="K86" s="90"/>
      <c r="L86" s="600">
        <f t="shared" ref="L86:L87" si="87">IF(H86&gt;0,H86/C86,0)</f>
        <v>0</v>
      </c>
      <c r="M86" s="600">
        <f t="shared" ref="M86:M87" si="88">IF(I86&gt;0,I86/D86,0)</f>
        <v>0</v>
      </c>
      <c r="N86" s="600">
        <f t="shared" ref="N86:N87" si="89">IF(J86&gt;0,J86/E86,0)</f>
        <v>0</v>
      </c>
      <c r="O86" s="118"/>
      <c r="P86" s="90">
        <f t="shared" ref="P86:P87" si="90">+(D86-C86)*P$10</f>
        <v>0</v>
      </c>
      <c r="Q86" s="90">
        <f t="shared" ref="Q86:Q87" si="91">+(E86-D86)*Q$10</f>
        <v>0</v>
      </c>
      <c r="R86" s="90">
        <f t="shared" ref="R86:R87" si="92">+(F86-E86)*R$10</f>
        <v>0</v>
      </c>
      <c r="S86" s="90">
        <f t="shared" ref="S86:S87" si="93">+P$10*P86+Q$10*Q86+R$10*R86</f>
        <v>0</v>
      </c>
      <c r="T86" s="202">
        <f>IF(C86=0,0,+S86/C86)</f>
        <v>0</v>
      </c>
      <c r="U86" s="118"/>
      <c r="V86" s="195">
        <f t="shared" si="84"/>
        <v>0</v>
      </c>
      <c r="W86" s="122"/>
      <c r="X86" s="122"/>
      <c r="Y86" s="2"/>
      <c r="Z86" s="2"/>
    </row>
    <row r="87" spans="1:26" x14ac:dyDescent="0.25">
      <c r="A87" s="20"/>
      <c r="B87" s="20"/>
      <c r="C87" s="272"/>
      <c r="D87" s="272"/>
      <c r="E87" s="272"/>
      <c r="F87" s="272"/>
      <c r="G87" s="301"/>
      <c r="H87" s="301"/>
      <c r="I87" s="301"/>
      <c r="J87" s="301"/>
      <c r="K87" s="94"/>
      <c r="L87" s="603">
        <f t="shared" si="87"/>
        <v>0</v>
      </c>
      <c r="M87" s="603">
        <f t="shared" si="88"/>
        <v>0</v>
      </c>
      <c r="N87" s="603">
        <f t="shared" si="89"/>
        <v>0</v>
      </c>
      <c r="O87" s="120"/>
      <c r="P87" s="81">
        <f t="shared" si="90"/>
        <v>0</v>
      </c>
      <c r="Q87" s="81">
        <f t="shared" si="91"/>
        <v>0</v>
      </c>
      <c r="R87" s="81">
        <f t="shared" si="92"/>
        <v>0</v>
      </c>
      <c r="S87" s="81">
        <f t="shared" si="93"/>
        <v>0</v>
      </c>
      <c r="T87" s="85">
        <f>IF(C87=0,0,+S87/C87)</f>
        <v>0</v>
      </c>
      <c r="U87" s="120"/>
      <c r="V87" s="195">
        <f t="shared" si="84"/>
        <v>0</v>
      </c>
      <c r="W87" s="122"/>
      <c r="X87" s="122"/>
      <c r="Y87" s="57"/>
    </row>
    <row r="88" spans="1:26" x14ac:dyDescent="0.25">
      <c r="A88" s="20"/>
      <c r="B88" s="14"/>
      <c r="C88" s="68"/>
      <c r="D88" s="93"/>
      <c r="E88" s="93"/>
      <c r="F88" s="93"/>
      <c r="G88" s="94"/>
      <c r="H88" s="94"/>
      <c r="I88" s="94"/>
      <c r="J88" s="94"/>
      <c r="K88" s="94"/>
      <c r="L88" s="599"/>
      <c r="M88" s="599"/>
      <c r="N88" s="599"/>
      <c r="O88" s="119"/>
      <c r="P88" s="81"/>
      <c r="Q88" s="81"/>
      <c r="R88" s="81"/>
      <c r="S88" s="81"/>
      <c r="T88" s="85"/>
      <c r="U88" s="119"/>
      <c r="V88" s="195">
        <f t="shared" si="84"/>
        <v>0</v>
      </c>
      <c r="W88" s="122"/>
      <c r="X88" s="122"/>
    </row>
    <row r="89" spans="1:26" x14ac:dyDescent="0.25">
      <c r="A89" s="3"/>
      <c r="B89" s="3" t="s">
        <v>372</v>
      </c>
      <c r="C89" s="89">
        <f>C13+C32+C29+C83+C86</f>
        <v>50435000</v>
      </c>
      <c r="D89" s="89">
        <f t="shared" ref="D89:J89" si="94">D13+D32+D29+D83+D86</f>
        <v>50435000</v>
      </c>
      <c r="E89" s="89">
        <f t="shared" si="94"/>
        <v>50435000</v>
      </c>
      <c r="F89" s="89">
        <f t="shared" si="94"/>
        <v>0</v>
      </c>
      <c r="G89" s="89"/>
      <c r="H89" s="89">
        <f t="shared" si="94"/>
        <v>21951926</v>
      </c>
      <c r="I89" s="89">
        <f t="shared" si="94"/>
        <v>37228873</v>
      </c>
      <c r="J89" s="89">
        <f t="shared" si="94"/>
        <v>0</v>
      </c>
      <c r="K89" s="90"/>
      <c r="L89" s="600">
        <f t="shared" si="59"/>
        <v>0.4352518290869436</v>
      </c>
      <c r="M89" s="600">
        <f t="shared" si="60"/>
        <v>0.73815550708833155</v>
      </c>
      <c r="N89" s="600">
        <f t="shared" si="61"/>
        <v>0</v>
      </c>
      <c r="O89" s="118"/>
      <c r="P89" s="90">
        <f t="shared" si="62"/>
        <v>0</v>
      </c>
      <c r="Q89" s="90">
        <f t="shared" si="63"/>
        <v>0</v>
      </c>
      <c r="R89" s="90">
        <f t="shared" si="64"/>
        <v>0</v>
      </c>
      <c r="S89" s="90">
        <f>+P$10*P89+Q$10*Q89+R$10*R89</f>
        <v>0</v>
      </c>
      <c r="T89" s="202">
        <f t="shared" si="65"/>
        <v>0</v>
      </c>
      <c r="U89" s="118"/>
      <c r="V89" s="195">
        <f t="shared" si="75"/>
        <v>0</v>
      </c>
      <c r="W89" s="122"/>
      <c r="X89" s="122"/>
    </row>
    <row r="90" spans="1:26" ht="10.35" customHeight="1" x14ac:dyDescent="0.25"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07"/>
      <c r="M90" s="607"/>
      <c r="N90" s="607"/>
      <c r="O90" s="98"/>
      <c r="P90" s="98"/>
      <c r="Q90" s="98"/>
      <c r="R90" s="98"/>
      <c r="S90" s="98"/>
      <c r="T90" s="98"/>
      <c r="U90" s="22"/>
      <c r="V90" s="195">
        <f t="shared" si="75"/>
        <v>0</v>
      </c>
      <c r="W90" s="122"/>
      <c r="X90" s="122"/>
    </row>
    <row r="91" spans="1:26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08"/>
      <c r="M91" s="608"/>
      <c r="N91" s="60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6" ht="10.35" customHeight="1" x14ac:dyDescent="0.25"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07"/>
      <c r="M92" s="607"/>
      <c r="N92" s="607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6" s="42" customFormat="1" x14ac:dyDescent="0.25">
      <c r="A93" s="4" t="s">
        <v>240</v>
      </c>
      <c r="B93" s="3" t="s">
        <v>241</v>
      </c>
      <c r="C93" s="66">
        <f>SUM(C94:C94)</f>
        <v>0</v>
      </c>
      <c r="D93" s="66">
        <f>SUM(D94:D94)</f>
        <v>0</v>
      </c>
      <c r="E93" s="66">
        <f>SUM(E94:E94)</f>
        <v>0</v>
      </c>
      <c r="F93" s="66">
        <f>SUM(F94:F94)</f>
        <v>0</v>
      </c>
      <c r="G93" s="66"/>
      <c r="H93" s="66">
        <f>SUM(H94:H94)</f>
        <v>0</v>
      </c>
      <c r="I93" s="66">
        <f>SUM(I94:I94)</f>
        <v>0</v>
      </c>
      <c r="J93" s="66">
        <f>SUM(J94:J94)</f>
        <v>0</v>
      </c>
      <c r="K93" s="66"/>
      <c r="L93" s="600">
        <f t="shared" ref="L93:L94" si="95">IF(H93&gt;0,H93/C93,0)</f>
        <v>0</v>
      </c>
      <c r="M93" s="600">
        <f t="shared" ref="M93:M94" si="96">IF(I93&gt;0,I93/D93,0)</f>
        <v>0</v>
      </c>
      <c r="N93" s="600">
        <f t="shared" ref="N93:N94" si="97">IF(J93&gt;0,J93/E93,0)</f>
        <v>0</v>
      </c>
      <c r="O93" s="31"/>
      <c r="P93" s="66">
        <f t="shared" ref="P93:P94" si="98">+(D93-C93)*P$10</f>
        <v>0</v>
      </c>
      <c r="Q93" s="66">
        <f t="shared" ref="Q93:Q94" si="99">+(E93-D93)*Q$10</f>
        <v>0</v>
      </c>
      <c r="R93" s="66">
        <f t="shared" ref="R93:R94" si="100">+(F93-E93)*R$10</f>
        <v>0</v>
      </c>
      <c r="S93" s="66">
        <f t="shared" ref="S93:S102" si="101">+P$10*P93+Q$10*Q93+R$10*R93</f>
        <v>0</v>
      </c>
      <c r="T93" s="201">
        <f t="shared" ref="T93:T94" si="102">IF(C93=0,0,+S93/C93)</f>
        <v>0</v>
      </c>
      <c r="U93" s="118"/>
      <c r="V93" s="195">
        <f t="shared" si="75"/>
        <v>0</v>
      </c>
      <c r="W93" s="129"/>
      <c r="X93" s="129"/>
    </row>
    <row r="94" spans="1:26" x14ac:dyDescent="0.25">
      <c r="A94" s="14"/>
      <c r="B94" s="20"/>
      <c r="C94" s="142"/>
      <c r="D94" s="142"/>
      <c r="E94" s="465"/>
      <c r="F94" s="71"/>
      <c r="G94" s="117"/>
      <c r="H94" s="96"/>
      <c r="I94" s="96"/>
      <c r="J94" s="96"/>
      <c r="K94" s="117"/>
      <c r="L94" s="603">
        <f t="shared" si="95"/>
        <v>0</v>
      </c>
      <c r="M94" s="603">
        <f t="shared" si="96"/>
        <v>0</v>
      </c>
      <c r="N94" s="603">
        <f t="shared" si="97"/>
        <v>0</v>
      </c>
      <c r="O94" s="120"/>
      <c r="P94" s="81">
        <f t="shared" si="98"/>
        <v>0</v>
      </c>
      <c r="Q94" s="81">
        <f t="shared" si="99"/>
        <v>0</v>
      </c>
      <c r="R94" s="81">
        <f t="shared" si="100"/>
        <v>0</v>
      </c>
      <c r="S94" s="81">
        <f t="shared" si="101"/>
        <v>0</v>
      </c>
      <c r="T94" s="85">
        <f t="shared" si="102"/>
        <v>0</v>
      </c>
      <c r="U94" s="120"/>
      <c r="V94" s="195">
        <f>+S94-E94+C94</f>
        <v>0</v>
      </c>
      <c r="W94" s="122"/>
      <c r="X94" s="122"/>
    </row>
    <row r="95" spans="1:26" s="42" customFormat="1" x14ac:dyDescent="0.25">
      <c r="A95" s="4" t="s">
        <v>282</v>
      </c>
      <c r="B95" s="3" t="s">
        <v>283</v>
      </c>
      <c r="C95" s="66">
        <f>SUM(C96:C98)</f>
        <v>7605000</v>
      </c>
      <c r="D95" s="66">
        <f>SUM(D96:D98)</f>
        <v>7605000</v>
      </c>
      <c r="E95" s="66">
        <f>SUM(E96:E98)</f>
        <v>7605000</v>
      </c>
      <c r="F95" s="66">
        <f>SUM(F96:F98)</f>
        <v>0</v>
      </c>
      <c r="G95" s="66"/>
      <c r="H95" s="66">
        <f>SUM(H96:H98)</f>
        <v>2960245</v>
      </c>
      <c r="I95" s="66">
        <f>+I96+I97+I98</f>
        <v>4610080</v>
      </c>
      <c r="J95" s="66">
        <f>+J96+J97+J98</f>
        <v>0</v>
      </c>
      <c r="K95" s="66"/>
      <c r="L95" s="600">
        <f t="shared" ref="L95:N102" si="103">IF(H95&gt;0,H95/C95,0)</f>
        <v>0.38924983563445104</v>
      </c>
      <c r="M95" s="600">
        <f t="shared" si="103"/>
        <v>0.60619066403681787</v>
      </c>
      <c r="N95" s="600">
        <f t="shared" si="103"/>
        <v>0</v>
      </c>
      <c r="O95" s="31"/>
      <c r="P95" s="66">
        <f t="shared" ref="P95:R102" si="104">+(D95-C95)*P$10</f>
        <v>0</v>
      </c>
      <c r="Q95" s="66">
        <f t="shared" si="104"/>
        <v>0</v>
      </c>
      <c r="R95" s="66">
        <f t="shared" si="104"/>
        <v>0</v>
      </c>
      <c r="S95" s="66">
        <f t="shared" si="101"/>
        <v>0</v>
      </c>
      <c r="T95" s="201">
        <f t="shared" ref="T95:T102" si="105">IF(C95=0,0,+S95/C95)</f>
        <v>0</v>
      </c>
      <c r="U95" s="118"/>
      <c r="V95" s="195">
        <f t="shared" si="75"/>
        <v>0</v>
      </c>
      <c r="W95" s="129"/>
      <c r="X95" s="129"/>
    </row>
    <row r="96" spans="1:26" x14ac:dyDescent="0.25">
      <c r="A96" s="14" t="s">
        <v>293</v>
      </c>
      <c r="B96" s="20" t="s">
        <v>294</v>
      </c>
      <c r="C96" s="71">
        <v>6600000</v>
      </c>
      <c r="D96" s="71">
        <v>6600000</v>
      </c>
      <c r="E96" s="465">
        <v>6600000</v>
      </c>
      <c r="F96" s="71"/>
      <c r="G96" s="117"/>
      <c r="H96" s="96">
        <v>2554609</v>
      </c>
      <c r="I96" s="96">
        <v>3973903</v>
      </c>
      <c r="J96" s="96"/>
      <c r="K96" s="117"/>
      <c r="L96" s="603">
        <f t="shared" si="103"/>
        <v>0.38706196969696971</v>
      </c>
      <c r="M96" s="603">
        <f t="shared" si="103"/>
        <v>0.60210651515151514</v>
      </c>
      <c r="N96" s="603">
        <f t="shared" si="103"/>
        <v>0</v>
      </c>
      <c r="O96" s="120"/>
      <c r="P96" s="81">
        <f t="shared" si="104"/>
        <v>0</v>
      </c>
      <c r="Q96" s="81">
        <f t="shared" si="104"/>
        <v>0</v>
      </c>
      <c r="R96" s="81">
        <f t="shared" si="104"/>
        <v>0</v>
      </c>
      <c r="S96" s="81">
        <f t="shared" si="101"/>
        <v>0</v>
      </c>
      <c r="T96" s="85">
        <f t="shared" si="105"/>
        <v>0</v>
      </c>
      <c r="U96" s="120"/>
      <c r="V96" s="195">
        <f>+S96-E96+C96</f>
        <v>0</v>
      </c>
      <c r="W96" s="122"/>
      <c r="X96" s="122"/>
    </row>
    <row r="97" spans="1:24" x14ac:dyDescent="0.25">
      <c r="A97" s="14" t="s">
        <v>296</v>
      </c>
      <c r="B97" s="20" t="s">
        <v>297</v>
      </c>
      <c r="C97" s="71">
        <v>1000000</v>
      </c>
      <c r="D97" s="71">
        <v>1000000</v>
      </c>
      <c r="E97" s="142">
        <v>1000000</v>
      </c>
      <c r="F97" s="71"/>
      <c r="G97" s="117"/>
      <c r="H97" s="96">
        <v>404982</v>
      </c>
      <c r="I97" s="96">
        <v>634994</v>
      </c>
      <c r="J97" s="96"/>
      <c r="K97" s="117"/>
      <c r="L97" s="603">
        <f t="shared" si="103"/>
        <v>0.40498200000000001</v>
      </c>
      <c r="M97" s="603">
        <f t="shared" si="103"/>
        <v>0.63499399999999995</v>
      </c>
      <c r="N97" s="603">
        <f t="shared" si="103"/>
        <v>0</v>
      </c>
      <c r="O97" s="120"/>
      <c r="P97" s="81">
        <f t="shared" si="104"/>
        <v>0</v>
      </c>
      <c r="Q97" s="81">
        <f t="shared" si="104"/>
        <v>0</v>
      </c>
      <c r="R97" s="81">
        <f t="shared" si="104"/>
        <v>0</v>
      </c>
      <c r="S97" s="81">
        <f t="shared" si="101"/>
        <v>0</v>
      </c>
      <c r="T97" s="85">
        <f t="shared" si="105"/>
        <v>0</v>
      </c>
      <c r="U97" s="120"/>
      <c r="V97" s="195">
        <f t="shared" ref="V97:V99" si="106">+S97-E97+C97</f>
        <v>0</v>
      </c>
      <c r="W97" s="122"/>
      <c r="X97" s="122"/>
    </row>
    <row r="98" spans="1:24" x14ac:dyDescent="0.25">
      <c r="A98" s="529" t="s">
        <v>457</v>
      </c>
      <c r="B98" s="482" t="s">
        <v>456</v>
      </c>
      <c r="C98" s="71">
        <v>5000</v>
      </c>
      <c r="D98" s="71">
        <v>5000</v>
      </c>
      <c r="E98" s="142">
        <v>5000</v>
      </c>
      <c r="F98" s="71"/>
      <c r="G98" s="117"/>
      <c r="H98" s="96">
        <f>111+543</f>
        <v>654</v>
      </c>
      <c r="I98" s="96">
        <f>156+1027</f>
        <v>1183</v>
      </c>
      <c r="J98" s="96"/>
      <c r="K98" s="117"/>
      <c r="L98" s="603">
        <f t="shared" si="103"/>
        <v>0.1308</v>
      </c>
      <c r="M98" s="603">
        <f t="shared" si="103"/>
        <v>0.2366</v>
      </c>
      <c r="N98" s="603">
        <f t="shared" si="103"/>
        <v>0</v>
      </c>
      <c r="O98" s="120"/>
      <c r="P98" s="81">
        <f t="shared" si="104"/>
        <v>0</v>
      </c>
      <c r="Q98" s="81">
        <f t="shared" si="104"/>
        <v>0</v>
      </c>
      <c r="R98" s="81">
        <f t="shared" si="104"/>
        <v>0</v>
      </c>
      <c r="S98" s="81">
        <f t="shared" si="101"/>
        <v>0</v>
      </c>
      <c r="T98" s="85">
        <f t="shared" si="105"/>
        <v>0</v>
      </c>
      <c r="U98" s="120"/>
      <c r="V98" s="195">
        <f t="shared" si="106"/>
        <v>0</v>
      </c>
      <c r="W98" s="122"/>
      <c r="X98" s="122"/>
    </row>
    <row r="99" spans="1:24" s="42" customFormat="1" x14ac:dyDescent="0.25">
      <c r="A99" s="4" t="s">
        <v>328</v>
      </c>
      <c r="B99" s="3" t="s">
        <v>329</v>
      </c>
      <c r="C99" s="66">
        <f>SUM(C100:C101)</f>
        <v>42830000</v>
      </c>
      <c r="D99" s="66">
        <f t="shared" ref="D99:F99" si="107">SUM(D100:D101)</f>
        <v>42830000</v>
      </c>
      <c r="E99" s="70">
        <f t="shared" si="107"/>
        <v>42830000</v>
      </c>
      <c r="F99" s="66">
        <f t="shared" si="107"/>
        <v>0</v>
      </c>
      <c r="G99" s="66"/>
      <c r="H99" s="66">
        <f t="shared" ref="H99" si="108">SUM(H100:H101)</f>
        <v>20754194</v>
      </c>
      <c r="I99" s="66">
        <f t="shared" ref="I99" si="109">SUM(I100:I101)</f>
        <v>37052307</v>
      </c>
      <c r="J99" s="66">
        <f t="shared" ref="J99" si="110">SUM(J100:J101)</f>
        <v>0</v>
      </c>
      <c r="K99" s="66"/>
      <c r="L99" s="600">
        <f t="shared" si="103"/>
        <v>0.48457142190053698</v>
      </c>
      <c r="M99" s="600">
        <f t="shared" si="103"/>
        <v>0.86510172776091521</v>
      </c>
      <c r="N99" s="600">
        <f t="shared" si="103"/>
        <v>0</v>
      </c>
      <c r="O99" s="31"/>
      <c r="P99" s="66">
        <f t="shared" si="104"/>
        <v>0</v>
      </c>
      <c r="Q99" s="66">
        <f t="shared" si="104"/>
        <v>0</v>
      </c>
      <c r="R99" s="66">
        <f t="shared" si="104"/>
        <v>0</v>
      </c>
      <c r="S99" s="66">
        <f t="shared" si="101"/>
        <v>0</v>
      </c>
      <c r="T99" s="201">
        <f t="shared" si="105"/>
        <v>0</v>
      </c>
      <c r="U99" s="118"/>
      <c r="V99" s="195">
        <f t="shared" si="106"/>
        <v>0</v>
      </c>
      <c r="W99" s="129"/>
      <c r="X99" s="129"/>
    </row>
    <row r="100" spans="1:24" x14ac:dyDescent="0.25">
      <c r="A100" s="14" t="s">
        <v>354</v>
      </c>
      <c r="B100" s="20" t="s">
        <v>383</v>
      </c>
      <c r="C100" s="71">
        <f>+C105</f>
        <v>40951920</v>
      </c>
      <c r="D100" s="71">
        <v>40951920</v>
      </c>
      <c r="E100" s="71">
        <v>40951920</v>
      </c>
      <c r="F100" s="71"/>
      <c r="G100" s="117"/>
      <c r="H100" s="96">
        <v>18876114</v>
      </c>
      <c r="I100" s="96">
        <v>35174227</v>
      </c>
      <c r="J100" s="96"/>
      <c r="K100" s="117"/>
      <c r="L100" s="603">
        <f t="shared" si="103"/>
        <v>0.46093355329859992</v>
      </c>
      <c r="M100" s="603">
        <f t="shared" si="103"/>
        <v>0.85891521081307054</v>
      </c>
      <c r="N100" s="603">
        <f t="shared" si="103"/>
        <v>0</v>
      </c>
      <c r="O100" s="120"/>
      <c r="P100" s="81">
        <f t="shared" si="104"/>
        <v>0</v>
      </c>
      <c r="Q100" s="81">
        <f t="shared" si="104"/>
        <v>0</v>
      </c>
      <c r="R100" s="81">
        <f t="shared" si="104"/>
        <v>0</v>
      </c>
      <c r="S100" s="81">
        <f t="shared" si="101"/>
        <v>0</v>
      </c>
      <c r="T100" s="85">
        <f t="shared" si="105"/>
        <v>0</v>
      </c>
      <c r="U100" s="120"/>
      <c r="V100" s="195">
        <f>+S100-E100+C100</f>
        <v>0</v>
      </c>
      <c r="W100" s="122"/>
      <c r="X100" s="122"/>
    </row>
    <row r="101" spans="1:24" ht="15.75" customHeight="1" x14ac:dyDescent="0.25">
      <c r="A101" s="14" t="s">
        <v>342</v>
      </c>
      <c r="B101" s="20" t="s">
        <v>343</v>
      </c>
      <c r="C101" s="144">
        <v>1878080</v>
      </c>
      <c r="D101" s="144">
        <v>1878080</v>
      </c>
      <c r="E101" s="144">
        <v>1878080</v>
      </c>
      <c r="F101" s="68"/>
      <c r="G101" s="96"/>
      <c r="H101" s="96">
        <v>1878080</v>
      </c>
      <c r="I101" s="96">
        <v>1878080</v>
      </c>
      <c r="J101" s="96"/>
      <c r="K101" s="96"/>
      <c r="L101" s="599">
        <f t="shared" si="103"/>
        <v>1</v>
      </c>
      <c r="M101" s="599">
        <f t="shared" si="103"/>
        <v>1</v>
      </c>
      <c r="N101" s="599">
        <f t="shared" si="103"/>
        <v>0</v>
      </c>
      <c r="O101" s="119"/>
      <c r="P101" s="81">
        <f t="shared" si="104"/>
        <v>0</v>
      </c>
      <c r="Q101" s="81">
        <f t="shared" si="104"/>
        <v>0</v>
      </c>
      <c r="R101" s="81">
        <f t="shared" si="104"/>
        <v>0</v>
      </c>
      <c r="S101" s="81">
        <f t="shared" si="101"/>
        <v>0</v>
      </c>
      <c r="T101" s="85">
        <f t="shared" si="105"/>
        <v>0</v>
      </c>
      <c r="U101" s="119"/>
      <c r="V101" s="195">
        <f t="shared" ref="V101:V102" si="111">+S101-E101+C101</f>
        <v>0</v>
      </c>
      <c r="W101" s="122"/>
      <c r="X101" s="122"/>
    </row>
    <row r="102" spans="1:24" x14ac:dyDescent="0.25">
      <c r="A102" s="5"/>
      <c r="B102" s="5" t="s">
        <v>371</v>
      </c>
      <c r="C102" s="67">
        <f>+C95+C99+C93</f>
        <v>50435000</v>
      </c>
      <c r="D102" s="67">
        <f>+D95+D99+D93</f>
        <v>50435000</v>
      </c>
      <c r="E102" s="67">
        <f>+E95+E99+E93</f>
        <v>50435000</v>
      </c>
      <c r="F102" s="67">
        <f>+F95+F99+F93</f>
        <v>0</v>
      </c>
      <c r="G102" s="67"/>
      <c r="H102" s="67">
        <f>+H95+H99+H93</f>
        <v>23714439</v>
      </c>
      <c r="I102" s="67">
        <f>+I95+I99+I93</f>
        <v>41662387</v>
      </c>
      <c r="J102" s="67">
        <f>+J95+J99+J93</f>
        <v>0</v>
      </c>
      <c r="K102" s="67"/>
      <c r="L102" s="600">
        <f t="shared" si="103"/>
        <v>0.47019805690492711</v>
      </c>
      <c r="M102" s="600">
        <f t="shared" si="103"/>
        <v>0.82606100921978787</v>
      </c>
      <c r="N102" s="600">
        <f t="shared" si="103"/>
        <v>0</v>
      </c>
      <c r="O102" s="31"/>
      <c r="P102" s="67">
        <f t="shared" si="104"/>
        <v>0</v>
      </c>
      <c r="Q102" s="67">
        <f t="shared" si="104"/>
        <v>0</v>
      </c>
      <c r="R102" s="67">
        <f t="shared" si="104"/>
        <v>0</v>
      </c>
      <c r="S102" s="67">
        <f t="shared" si="101"/>
        <v>0</v>
      </c>
      <c r="T102" s="85">
        <f t="shared" si="105"/>
        <v>0</v>
      </c>
      <c r="U102" s="118"/>
      <c r="V102" s="196">
        <f t="shared" si="111"/>
        <v>0</v>
      </c>
      <c r="W102" s="122"/>
      <c r="X102" s="122"/>
    </row>
    <row r="103" spans="1:24" x14ac:dyDescent="0.25">
      <c r="B103" s="25"/>
      <c r="C103" s="97"/>
      <c r="D103" s="98"/>
      <c r="E103" s="98"/>
      <c r="F103" s="98"/>
      <c r="G103" s="98"/>
      <c r="H103" s="98"/>
      <c r="I103" s="98"/>
      <c r="J103" s="98"/>
      <c r="K103" s="98"/>
      <c r="L103" s="610"/>
      <c r="M103" s="610"/>
      <c r="N103" s="610"/>
      <c r="P103" s="98"/>
      <c r="Q103" s="98"/>
      <c r="R103" s="98"/>
      <c r="S103" s="98"/>
      <c r="T103" s="98"/>
      <c r="W103" s="122"/>
      <c r="X103" s="122"/>
    </row>
    <row r="104" spans="1:24" x14ac:dyDescent="0.25">
      <c r="A104" s="56"/>
      <c r="B104" s="25"/>
      <c r="C104" s="97"/>
      <c r="D104" s="98"/>
      <c r="E104" s="98"/>
      <c r="F104" s="98"/>
      <c r="G104" s="98"/>
      <c r="H104" s="98"/>
      <c r="I104" s="98"/>
      <c r="J104" s="98"/>
      <c r="K104" s="98"/>
      <c r="L104" s="624"/>
      <c r="M104" s="624"/>
      <c r="N104" s="624"/>
      <c r="O104" s="19"/>
      <c r="P104" s="98"/>
      <c r="Q104" s="98"/>
      <c r="R104" s="98"/>
      <c r="S104" s="98"/>
      <c r="T104" s="98"/>
      <c r="U104" s="19"/>
      <c r="V104" s="19"/>
      <c r="W104" s="122"/>
      <c r="X104" s="122"/>
    </row>
    <row r="105" spans="1:24" x14ac:dyDescent="0.25">
      <c r="B105" s="25"/>
      <c r="C105" s="97">
        <f>+C89-C95-C101</f>
        <v>40951920</v>
      </c>
      <c r="D105" s="98"/>
      <c r="E105" s="98"/>
      <c r="F105" s="98"/>
      <c r="G105" s="98"/>
      <c r="H105" s="98"/>
      <c r="I105" s="98"/>
      <c r="J105" s="98"/>
      <c r="K105" s="98"/>
      <c r="L105" s="610"/>
      <c r="M105" s="610"/>
      <c r="N105" s="610"/>
      <c r="P105" s="98"/>
      <c r="Q105" s="98"/>
      <c r="R105" s="98"/>
      <c r="S105" s="98"/>
      <c r="T105" s="98"/>
      <c r="W105" s="122"/>
      <c r="X105" s="122"/>
    </row>
    <row r="106" spans="1:24" x14ac:dyDescent="0.25">
      <c r="B106" s="25"/>
      <c r="C106" s="97"/>
      <c r="D106" s="98"/>
      <c r="E106" s="98"/>
      <c r="F106" s="98"/>
      <c r="G106" s="98"/>
      <c r="H106" s="98"/>
      <c r="I106" s="98"/>
      <c r="J106" s="98"/>
      <c r="K106" s="98"/>
      <c r="L106" s="610"/>
      <c r="M106" s="610"/>
      <c r="N106" s="610"/>
    </row>
    <row r="107" spans="1:24" ht="26.4" x14ac:dyDescent="0.25">
      <c r="A107" s="566"/>
      <c r="B107" s="580" t="s">
        <v>474</v>
      </c>
      <c r="C107" s="581"/>
      <c r="D107" s="98"/>
      <c r="E107" s="98"/>
      <c r="F107" s="98"/>
      <c r="G107" s="98"/>
      <c r="H107" s="98"/>
      <c r="K107" s="98"/>
      <c r="L107" s="610"/>
      <c r="M107" s="610"/>
      <c r="N107" s="610"/>
    </row>
    <row r="108" spans="1:24" ht="39.6" x14ac:dyDescent="0.25">
      <c r="A108" s="26"/>
      <c r="B108" s="566" t="s">
        <v>473</v>
      </c>
      <c r="C108" s="97"/>
      <c r="D108" s="98"/>
      <c r="E108" s="98"/>
      <c r="F108" s="98"/>
      <c r="G108" s="98"/>
      <c r="H108" s="98"/>
      <c r="K108" s="98"/>
      <c r="L108" s="610"/>
      <c r="M108" s="610"/>
      <c r="N108" s="610"/>
    </row>
    <row r="109" spans="1:24" x14ac:dyDescent="0.25">
      <c r="B109" s="25"/>
      <c r="C109" s="97"/>
      <c r="D109" s="98"/>
      <c r="E109" s="98"/>
      <c r="F109" s="98"/>
      <c r="G109" s="98"/>
      <c r="H109" s="98"/>
      <c r="K109" s="98"/>
      <c r="L109" s="610"/>
      <c r="M109" s="610"/>
      <c r="N109" s="610"/>
    </row>
    <row r="110" spans="1:24" x14ac:dyDescent="0.25">
      <c r="B110" s="25"/>
      <c r="C110" s="97"/>
      <c r="D110" s="98"/>
      <c r="E110" s="98"/>
      <c r="F110" s="98"/>
      <c r="G110" s="98"/>
      <c r="H110" s="98"/>
      <c r="K110" s="98"/>
      <c r="L110" s="610"/>
      <c r="M110" s="610"/>
      <c r="N110" s="610"/>
    </row>
    <row r="111" spans="1:24" x14ac:dyDescent="0.25">
      <c r="B111" s="25"/>
      <c r="C111" s="97"/>
      <c r="D111" s="98"/>
      <c r="E111" s="98"/>
      <c r="F111" s="98"/>
      <c r="G111" s="98"/>
      <c r="H111" s="98"/>
      <c r="K111" s="98"/>
      <c r="L111" s="610"/>
      <c r="M111" s="610"/>
      <c r="N111" s="610"/>
    </row>
    <row r="112" spans="1:24" x14ac:dyDescent="0.25">
      <c r="B112" s="25"/>
      <c r="C112" s="97"/>
      <c r="D112" s="98"/>
      <c r="E112" s="98"/>
      <c r="F112" s="98"/>
      <c r="G112" s="98"/>
      <c r="H112" s="98"/>
      <c r="K112" s="98"/>
      <c r="L112" s="610"/>
      <c r="M112" s="610"/>
      <c r="N112" s="610"/>
    </row>
    <row r="113" spans="1:14" x14ac:dyDescent="0.25">
      <c r="C113" s="97"/>
      <c r="D113" s="98"/>
      <c r="E113" s="98"/>
      <c r="F113" s="98"/>
      <c r="G113" s="98"/>
      <c r="H113" s="98"/>
      <c r="K113" s="98"/>
      <c r="L113" s="610"/>
      <c r="M113" s="610"/>
      <c r="N113" s="610"/>
    </row>
    <row r="114" spans="1:14" x14ac:dyDescent="0.25">
      <c r="A114" s="26"/>
      <c r="B114" s="26"/>
      <c r="C114" s="97"/>
      <c r="D114" s="98"/>
      <c r="E114" s="98"/>
      <c r="F114" s="98"/>
      <c r="G114" s="98"/>
      <c r="H114" s="98"/>
      <c r="K114" s="98"/>
      <c r="L114" s="610"/>
      <c r="M114" s="610"/>
      <c r="N114" s="610"/>
    </row>
    <row r="115" spans="1:14" x14ac:dyDescent="0.25">
      <c r="B115" s="25"/>
      <c r="C115" s="97"/>
      <c r="D115" s="98"/>
      <c r="E115" s="98"/>
      <c r="F115" s="98"/>
      <c r="G115" s="98"/>
      <c r="H115" s="98"/>
      <c r="K115" s="98"/>
      <c r="L115" s="610"/>
      <c r="M115" s="610"/>
      <c r="N115" s="610"/>
    </row>
    <row r="116" spans="1:14" x14ac:dyDescent="0.25">
      <c r="B116" s="25"/>
      <c r="C116" s="97"/>
      <c r="D116" s="98"/>
      <c r="E116" s="98"/>
      <c r="F116" s="98"/>
      <c r="G116" s="98"/>
      <c r="H116" s="98"/>
      <c r="K116" s="98"/>
      <c r="L116" s="610"/>
      <c r="M116" s="610"/>
      <c r="N116" s="610"/>
    </row>
    <row r="117" spans="1:14" x14ac:dyDescent="0.25">
      <c r="B117" s="25"/>
      <c r="C117" s="97"/>
      <c r="D117" s="98"/>
      <c r="E117" s="98"/>
      <c r="F117" s="98"/>
      <c r="G117" s="98"/>
      <c r="H117" s="98"/>
      <c r="K117" s="98"/>
      <c r="L117" s="610"/>
      <c r="M117" s="610"/>
      <c r="N117" s="610"/>
    </row>
    <row r="118" spans="1:14" x14ac:dyDescent="0.25">
      <c r="B118" s="25"/>
      <c r="C118" s="97"/>
      <c r="D118" s="98"/>
      <c r="E118" s="98"/>
      <c r="F118" s="98"/>
      <c r="G118" s="98"/>
      <c r="H118" s="98"/>
      <c r="K118" s="98"/>
      <c r="L118" s="610"/>
      <c r="M118" s="610"/>
      <c r="N118" s="610"/>
    </row>
    <row r="119" spans="1:14" x14ac:dyDescent="0.25">
      <c r="B119" s="25"/>
      <c r="C119" s="97"/>
      <c r="D119" s="98"/>
      <c r="E119" s="98"/>
      <c r="F119" s="98"/>
      <c r="G119" s="98"/>
      <c r="H119" s="98"/>
      <c r="K119" s="98"/>
      <c r="L119" s="610"/>
      <c r="M119" s="610"/>
      <c r="N119" s="610"/>
    </row>
    <row r="120" spans="1:14" x14ac:dyDescent="0.25">
      <c r="B120" s="25"/>
      <c r="C120" s="97"/>
      <c r="D120" s="98"/>
      <c r="E120" s="98"/>
      <c r="F120" s="98"/>
      <c r="G120" s="98"/>
      <c r="H120" s="98"/>
      <c r="K120" s="98"/>
      <c r="L120" s="610"/>
      <c r="M120" s="610"/>
      <c r="N120" s="610"/>
    </row>
    <row r="121" spans="1:14" x14ac:dyDescent="0.25">
      <c r="B121" s="25"/>
      <c r="C121" s="97"/>
      <c r="D121" s="98"/>
      <c r="E121" s="98"/>
      <c r="F121" s="98"/>
      <c r="G121" s="98"/>
      <c r="H121" s="98"/>
      <c r="K121" s="98"/>
      <c r="L121" s="610"/>
      <c r="M121" s="610"/>
      <c r="N121" s="610"/>
    </row>
    <row r="122" spans="1:14" x14ac:dyDescent="0.25">
      <c r="B122" s="25"/>
      <c r="C122" s="97"/>
      <c r="D122" s="98"/>
      <c r="E122" s="98"/>
      <c r="F122" s="98"/>
      <c r="G122" s="98"/>
      <c r="H122" s="98"/>
      <c r="K122" s="98"/>
      <c r="L122" s="610"/>
      <c r="M122" s="610"/>
      <c r="N122" s="610"/>
    </row>
    <row r="123" spans="1:14" x14ac:dyDescent="0.25">
      <c r="C123" s="97"/>
      <c r="D123" s="98"/>
      <c r="E123" s="98"/>
      <c r="F123" s="98"/>
      <c r="G123" s="98"/>
      <c r="H123" s="98"/>
      <c r="K123" s="98"/>
      <c r="L123" s="610"/>
      <c r="M123" s="610"/>
      <c r="N123" s="610"/>
    </row>
    <row r="124" spans="1:14" x14ac:dyDescent="0.25">
      <c r="A124" s="26"/>
      <c r="B124" s="26"/>
      <c r="C124" s="97"/>
      <c r="D124" s="98"/>
      <c r="E124" s="98"/>
      <c r="F124" s="98"/>
      <c r="G124" s="98"/>
      <c r="H124" s="98"/>
      <c r="K124" s="98"/>
      <c r="L124" s="610"/>
      <c r="M124" s="610"/>
      <c r="N124" s="610"/>
    </row>
    <row r="125" spans="1:14" x14ac:dyDescent="0.25">
      <c r="B125" s="25"/>
      <c r="C125" s="97"/>
      <c r="D125" s="98"/>
      <c r="E125" s="98"/>
      <c r="F125" s="98"/>
      <c r="G125" s="98"/>
      <c r="H125" s="98"/>
      <c r="K125" s="98"/>
      <c r="L125" s="610"/>
      <c r="M125" s="610"/>
      <c r="N125" s="610"/>
    </row>
    <row r="126" spans="1:14" x14ac:dyDescent="0.25">
      <c r="B126" s="25"/>
      <c r="C126" s="97"/>
      <c r="D126" s="98"/>
      <c r="E126" s="98"/>
      <c r="F126" s="98"/>
      <c r="G126" s="98"/>
      <c r="H126" s="98"/>
      <c r="K126" s="98"/>
      <c r="L126" s="610"/>
      <c r="M126" s="610"/>
      <c r="N126" s="610"/>
    </row>
    <row r="127" spans="1:14" x14ac:dyDescent="0.25">
      <c r="B127" s="25"/>
      <c r="C127" s="97"/>
      <c r="D127" s="98"/>
      <c r="E127" s="98"/>
      <c r="F127" s="98"/>
      <c r="G127" s="98"/>
      <c r="H127" s="98"/>
      <c r="K127" s="98"/>
      <c r="L127" s="610"/>
      <c r="M127" s="610"/>
      <c r="N127" s="610"/>
    </row>
    <row r="128" spans="1:14" x14ac:dyDescent="0.25">
      <c r="B128" s="25"/>
      <c r="C128" s="97"/>
      <c r="D128" s="98"/>
      <c r="E128" s="98"/>
      <c r="F128" s="98"/>
      <c r="G128" s="98"/>
      <c r="H128" s="98"/>
      <c r="K128" s="98"/>
      <c r="L128" s="610"/>
      <c r="M128" s="610"/>
      <c r="N128" s="610"/>
    </row>
    <row r="129" spans="2:14" x14ac:dyDescent="0.25">
      <c r="B129" s="25"/>
      <c r="C129" s="97"/>
      <c r="D129" s="98"/>
      <c r="E129" s="98"/>
      <c r="F129" s="98"/>
      <c r="G129" s="98"/>
      <c r="H129" s="98"/>
      <c r="K129" s="98"/>
      <c r="L129" s="610"/>
      <c r="M129" s="610"/>
      <c r="N129" s="610"/>
    </row>
    <row r="130" spans="2:14" x14ac:dyDescent="0.25">
      <c r="B130" s="25"/>
      <c r="C130" s="97"/>
      <c r="D130" s="98"/>
      <c r="E130" s="98"/>
      <c r="F130" s="98"/>
      <c r="G130" s="98"/>
      <c r="H130" s="98"/>
      <c r="K130" s="98"/>
      <c r="L130" s="610"/>
      <c r="M130" s="610"/>
      <c r="N130" s="610"/>
    </row>
    <row r="131" spans="2:14" x14ac:dyDescent="0.25">
      <c r="B131" s="25"/>
      <c r="C131" s="97"/>
      <c r="D131" s="98"/>
      <c r="E131" s="98"/>
      <c r="F131" s="98"/>
      <c r="G131" s="98"/>
      <c r="H131" s="98"/>
      <c r="K131" s="98"/>
      <c r="L131" s="610"/>
      <c r="M131" s="610"/>
      <c r="N131" s="610"/>
    </row>
    <row r="132" spans="2:14" x14ac:dyDescent="0.25">
      <c r="B132" s="25"/>
      <c r="L132" s="610"/>
      <c r="M132" s="610"/>
      <c r="N132" s="610"/>
    </row>
    <row r="133" spans="2:14" x14ac:dyDescent="0.25">
      <c r="B133" s="25"/>
      <c r="L133" s="610"/>
      <c r="M133" s="610"/>
      <c r="N133" s="610"/>
    </row>
    <row r="134" spans="2:14" x14ac:dyDescent="0.25">
      <c r="B134" s="25"/>
      <c r="L134" s="610"/>
      <c r="M134" s="610"/>
      <c r="N134" s="610"/>
    </row>
    <row r="135" spans="2:14" x14ac:dyDescent="0.25">
      <c r="B135" s="25"/>
      <c r="L135" s="610"/>
      <c r="M135" s="610"/>
      <c r="N135" s="610"/>
    </row>
    <row r="136" spans="2:14" x14ac:dyDescent="0.25">
      <c r="B136" s="25"/>
      <c r="L136" s="610"/>
      <c r="M136" s="610"/>
      <c r="N136" s="610"/>
    </row>
    <row r="137" spans="2:14" x14ac:dyDescent="0.25">
      <c r="B137" s="25"/>
      <c r="L137" s="610"/>
      <c r="M137" s="610"/>
      <c r="N137" s="610"/>
    </row>
    <row r="138" spans="2:14" x14ac:dyDescent="0.25">
      <c r="B138" s="25"/>
      <c r="L138" s="610"/>
      <c r="M138" s="610"/>
      <c r="N138" s="610"/>
    </row>
    <row r="139" spans="2:14" x14ac:dyDescent="0.25">
      <c r="B139" s="25"/>
      <c r="L139" s="610"/>
      <c r="M139" s="610"/>
      <c r="N139" s="610"/>
    </row>
    <row r="140" spans="2:14" x14ac:dyDescent="0.25">
      <c r="B140" s="25"/>
      <c r="L140" s="610"/>
      <c r="M140" s="610"/>
      <c r="N140" s="610"/>
    </row>
    <row r="141" spans="2:14" x14ac:dyDescent="0.25">
      <c r="B141" s="25"/>
      <c r="L141" s="610"/>
      <c r="M141" s="610"/>
      <c r="N141" s="610"/>
    </row>
    <row r="142" spans="2:14" x14ac:dyDescent="0.25">
      <c r="B142" s="25"/>
      <c r="L142" s="610"/>
      <c r="M142" s="610"/>
      <c r="N142" s="610"/>
    </row>
    <row r="143" spans="2:14" x14ac:dyDescent="0.25">
      <c r="B143" s="25"/>
      <c r="L143" s="610"/>
      <c r="M143" s="610"/>
      <c r="N143" s="610"/>
    </row>
    <row r="144" spans="2:14" x14ac:dyDescent="0.25">
      <c r="B144" s="25"/>
    </row>
    <row r="145" spans="2:2" x14ac:dyDescent="0.25">
      <c r="B145" s="25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9" scale="53" fitToHeight="0" orientation="landscape" r:id="rId1"/>
  <headerFooter alignWithMargins="0">
    <oddHeader>&amp;R&amp;"Arial,Félkövér dőlt"&amp;12&amp;A  /&amp;10
&amp;"Arial,Dőlt"&amp;F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="85" zoomScaleNormal="100" zoomScaleSheetLayoutView="85" workbookViewId="0">
      <selection activeCell="B3" sqref="B3"/>
    </sheetView>
  </sheetViews>
  <sheetFormatPr defaultRowHeight="12.75" customHeight="1" x14ac:dyDescent="0.25"/>
  <cols>
    <col min="1" max="1" width="6.88671875" style="13" customWidth="1"/>
    <col min="2" max="2" width="48.5546875" style="13" customWidth="1"/>
    <col min="3" max="5" width="15.5546875" style="13" customWidth="1"/>
    <col min="6" max="6" width="15.77734375" style="13" customWidth="1"/>
    <col min="7" max="7" width="1.5546875" style="13" customWidth="1"/>
    <col min="8" max="9" width="15.5546875" style="13" customWidth="1"/>
    <col min="10" max="10" width="14.44140625" style="13" customWidth="1"/>
    <col min="11" max="11" width="1.5546875" style="13" customWidth="1"/>
    <col min="12" max="12" width="10.5546875" style="13" customWidth="1"/>
    <col min="13" max="14" width="11.6640625" style="13" customWidth="1"/>
    <col min="15" max="15" width="1.5546875" style="13" customWidth="1"/>
    <col min="16" max="17" width="14.5546875" style="13" customWidth="1"/>
    <col min="18" max="18" width="16.33203125" style="13" customWidth="1"/>
    <col min="19" max="19" width="14.5546875" style="13" customWidth="1"/>
    <col min="21" max="21" width="0.6640625" customWidth="1"/>
    <col min="23" max="23" width="14.5546875" bestFit="1" customWidth="1"/>
  </cols>
  <sheetData>
    <row r="1" spans="1:27" ht="24.6" x14ac:dyDescent="0.4">
      <c r="A1" s="299" t="s">
        <v>420</v>
      </c>
      <c r="B1" s="227"/>
      <c r="C1" s="227"/>
      <c r="D1" s="227"/>
      <c r="E1" s="42"/>
      <c r="G1" s="226"/>
      <c r="H1" s="225"/>
      <c r="I1" s="229"/>
      <c r="J1" s="224" t="str">
        <f>+'1. Sülysáp összesen'!J1</f>
        <v>2022. III. Negyedéves költségvetési beszámoló</v>
      </c>
      <c r="K1" s="229"/>
      <c r="L1" s="225"/>
      <c r="M1" s="225"/>
      <c r="N1" s="225"/>
      <c r="P1" s="225"/>
      <c r="Q1" s="225"/>
      <c r="R1" s="225"/>
      <c r="S1" s="225"/>
      <c r="T1" s="225"/>
      <c r="U1" s="225"/>
      <c r="V1" s="225"/>
      <c r="W1" s="225"/>
      <c r="X1" s="225"/>
      <c r="Y1" s="46"/>
      <c r="Z1" s="46"/>
      <c r="AA1" s="46"/>
    </row>
    <row r="2" spans="1:27" ht="13.2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3"/>
      <c r="W2" s="122"/>
      <c r="X2" s="122"/>
    </row>
    <row r="3" spans="1:27" ht="13.2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  <c r="W3" s="122"/>
      <c r="X3" s="122"/>
    </row>
    <row r="4" spans="1:27" ht="13.2" x14ac:dyDescent="0.25">
      <c r="A4" s="268"/>
      <c r="B4" s="267"/>
      <c r="C4" s="88"/>
      <c r="D4" s="88"/>
      <c r="E4" s="88"/>
      <c r="F4" s="88"/>
      <c r="G4" s="88"/>
      <c r="H4" s="88"/>
      <c r="I4" s="88"/>
      <c r="J4" s="88"/>
      <c r="K4" s="88"/>
      <c r="L4" s="267"/>
      <c r="M4" s="267"/>
      <c r="N4" s="267"/>
      <c r="O4" s="88"/>
      <c r="P4" s="88"/>
      <c r="Q4" s="88"/>
      <c r="R4" s="88"/>
      <c r="S4" s="88"/>
      <c r="T4" s="88"/>
      <c r="U4" s="267"/>
      <c r="V4" s="253"/>
      <c r="W4" s="122"/>
      <c r="X4" s="122"/>
    </row>
    <row r="5" spans="1:27" ht="20.100000000000001" customHeight="1" x14ac:dyDescent="0.3">
      <c r="A5" s="249"/>
      <c r="B5" s="249" t="s">
        <v>372</v>
      </c>
      <c r="C5" s="250">
        <f>+C89</f>
        <v>115545000</v>
      </c>
      <c r="D5" s="250">
        <f t="shared" ref="D5:E5" si="0">+D89</f>
        <v>115545000</v>
      </c>
      <c r="E5" s="250">
        <f t="shared" si="0"/>
        <v>115545000</v>
      </c>
      <c r="F5" s="250">
        <f>+F89</f>
        <v>0</v>
      </c>
      <c r="G5" s="250"/>
      <c r="H5" s="250">
        <f>+H89</f>
        <v>63729284</v>
      </c>
      <c r="I5" s="250">
        <f t="shared" ref="I5:J5" si="1">+I89</f>
        <v>88844117</v>
      </c>
      <c r="J5" s="250">
        <f t="shared" si="1"/>
        <v>0</v>
      </c>
      <c r="K5" s="89"/>
      <c r="L5" s="651">
        <f t="shared" ref="L5:N6" si="2">IF(H5&gt;0,H5/C5,0)</f>
        <v>0.55155380154917999</v>
      </c>
      <c r="M5" s="651">
        <f t="shared" si="2"/>
        <v>0.76891355748842438</v>
      </c>
      <c r="N5" s="651">
        <f t="shared" si="2"/>
        <v>0</v>
      </c>
      <c r="O5" s="89"/>
      <c r="P5" s="250">
        <f>+P89</f>
        <v>0</v>
      </c>
      <c r="Q5" s="250">
        <f>+Q89</f>
        <v>0</v>
      </c>
      <c r="R5" s="250">
        <f>+R89</f>
        <v>0</v>
      </c>
      <c r="S5" s="250">
        <f>+S89</f>
        <v>0</v>
      </c>
      <c r="T5" s="133">
        <f>IF(C5=0,0,+S5/C5)</f>
        <v>0</v>
      </c>
      <c r="U5" s="118"/>
      <c r="V5" s="198">
        <f t="shared" ref="V5:V7" si="3">+S5-E5+C5</f>
        <v>0</v>
      </c>
      <c r="W5" s="122"/>
      <c r="X5" s="122"/>
    </row>
    <row r="6" spans="1:27" ht="20.100000000000001" customHeight="1" x14ac:dyDescent="0.3">
      <c r="A6" s="251"/>
      <c r="B6" s="251" t="s">
        <v>371</v>
      </c>
      <c r="C6" s="252">
        <f>+C102</f>
        <v>115545000</v>
      </c>
      <c r="D6" s="252">
        <f t="shared" ref="D6:J6" si="4">+D102</f>
        <v>115545000</v>
      </c>
      <c r="E6" s="252">
        <f t="shared" si="4"/>
        <v>115545000</v>
      </c>
      <c r="F6" s="252">
        <f t="shared" si="4"/>
        <v>0</v>
      </c>
      <c r="G6" s="252"/>
      <c r="H6" s="252">
        <f t="shared" si="4"/>
        <v>65395832</v>
      </c>
      <c r="I6" s="252">
        <f t="shared" si="4"/>
        <v>91828451</v>
      </c>
      <c r="J6" s="252">
        <f t="shared" si="4"/>
        <v>0</v>
      </c>
      <c r="K6" s="67"/>
      <c r="L6" s="651">
        <f t="shared" si="2"/>
        <v>0.5659771690683284</v>
      </c>
      <c r="M6" s="651">
        <f t="shared" si="2"/>
        <v>0.79474188411441427</v>
      </c>
      <c r="N6" s="651">
        <f t="shared" si="2"/>
        <v>0</v>
      </c>
      <c r="O6" s="67"/>
      <c r="P6" s="252">
        <f>+P102</f>
        <v>0</v>
      </c>
      <c r="Q6" s="252">
        <f t="shared" ref="Q6:S6" si="5">+Q102</f>
        <v>0</v>
      </c>
      <c r="R6" s="252">
        <f t="shared" si="5"/>
        <v>0</v>
      </c>
      <c r="S6" s="252">
        <f t="shared" si="5"/>
        <v>0</v>
      </c>
      <c r="T6" s="31">
        <f>IF(C6=0,0,+S6/C6)</f>
        <v>0</v>
      </c>
      <c r="U6" s="118"/>
      <c r="V6" s="198">
        <f t="shared" si="3"/>
        <v>0</v>
      </c>
      <c r="W6" s="122"/>
      <c r="X6" s="122"/>
    </row>
    <row r="7" spans="1:27" ht="20.100000000000001" customHeight="1" x14ac:dyDescent="0.3">
      <c r="A7" s="251"/>
      <c r="B7" s="251" t="s">
        <v>405</v>
      </c>
      <c r="C7" s="252">
        <f>+C6-C5</f>
        <v>0</v>
      </c>
      <c r="D7" s="252">
        <f t="shared" ref="D7:H7" si="6">+D6-D5</f>
        <v>0</v>
      </c>
      <c r="E7" s="252">
        <f t="shared" si="6"/>
        <v>0</v>
      </c>
      <c r="F7" s="252">
        <f t="shared" si="6"/>
        <v>0</v>
      </c>
      <c r="G7" s="252"/>
      <c r="H7" s="252">
        <f t="shared" si="6"/>
        <v>1666548</v>
      </c>
      <c r="I7" s="252">
        <f>+I6-I5</f>
        <v>2984334</v>
      </c>
      <c r="J7" s="252">
        <f t="shared" ref="J7" si="7">+J6-J5</f>
        <v>0</v>
      </c>
      <c r="K7" s="67"/>
      <c r="L7" s="651"/>
      <c r="M7" s="651"/>
      <c r="N7" s="651"/>
      <c r="O7" s="67"/>
      <c r="P7" s="252">
        <f t="shared" ref="P7:S7" si="8">+P6-P5</f>
        <v>0</v>
      </c>
      <c r="Q7" s="252">
        <f t="shared" si="8"/>
        <v>0</v>
      </c>
      <c r="R7" s="252">
        <f t="shared" si="8"/>
        <v>0</v>
      </c>
      <c r="S7" s="252">
        <f t="shared" si="8"/>
        <v>0</v>
      </c>
      <c r="T7" s="31">
        <f>IF(C7=0,0,+S7/C7)</f>
        <v>0</v>
      </c>
      <c r="U7" s="118"/>
      <c r="V7" s="198">
        <f t="shared" si="3"/>
        <v>0</v>
      </c>
      <c r="W7" s="122"/>
      <c r="X7" s="122"/>
    </row>
    <row r="8" spans="1:27" ht="13.2" x14ac:dyDescent="0.25">
      <c r="A8" s="235"/>
      <c r="B8" s="236"/>
      <c r="C8" s="621"/>
      <c r="D8" s="622"/>
      <c r="E8" s="622"/>
      <c r="F8" s="622"/>
      <c r="G8" s="623"/>
      <c r="H8" s="623"/>
      <c r="I8" s="623"/>
      <c r="J8" s="623"/>
      <c r="K8" s="623"/>
      <c r="L8" s="603"/>
      <c r="M8" s="603"/>
      <c r="N8" s="603"/>
      <c r="O8" s="94"/>
      <c r="P8" s="81"/>
      <c r="Q8" s="81"/>
      <c r="R8" s="81"/>
      <c r="S8" s="81"/>
      <c r="T8" s="152"/>
      <c r="U8" s="120"/>
      <c r="V8" s="195"/>
      <c r="W8" s="122"/>
      <c r="X8" s="122"/>
    </row>
    <row r="9" spans="1:27" ht="15.6" x14ac:dyDescent="0.3">
      <c r="A9" s="62"/>
      <c r="B9" s="237"/>
      <c r="C9" s="917" t="s">
        <v>404</v>
      </c>
      <c r="D9" s="925"/>
      <c r="E9" s="925"/>
      <c r="F9" s="926"/>
      <c r="G9" s="154"/>
      <c r="H9" s="917" t="s">
        <v>403</v>
      </c>
      <c r="I9" s="925"/>
      <c r="J9" s="925"/>
      <c r="K9" s="925"/>
      <c r="L9" s="925"/>
      <c r="M9" s="925"/>
      <c r="N9" s="926"/>
      <c r="O9" s="154"/>
      <c r="P9" s="917" t="s">
        <v>400</v>
      </c>
      <c r="Q9" s="925"/>
      <c r="R9" s="925"/>
      <c r="S9" s="925"/>
      <c r="T9" s="926"/>
      <c r="U9" s="199"/>
      <c r="V9" s="195"/>
      <c r="W9" s="122"/>
      <c r="X9" s="122"/>
    </row>
    <row r="10" spans="1:27" ht="13.2" x14ac:dyDescent="0.25">
      <c r="A10" s="268"/>
      <c r="B10" s="267"/>
      <c r="C10" s="233"/>
      <c r="D10" s="88"/>
      <c r="E10" s="88"/>
      <c r="F10" s="234"/>
      <c r="G10" s="134"/>
      <c r="H10" s="914" t="s">
        <v>413</v>
      </c>
      <c r="I10" s="927"/>
      <c r="J10" s="928"/>
      <c r="K10" s="134"/>
      <c r="L10" s="914" t="s">
        <v>412</v>
      </c>
      <c r="M10" s="927"/>
      <c r="N10" s="928"/>
      <c r="O10" s="134"/>
      <c r="P10" s="128">
        <f>+' 2. Önk. Bevételek'!P8</f>
        <v>1</v>
      </c>
      <c r="Q10" s="128">
        <f>+' 2. Önk. Bevételek'!Q8</f>
        <v>1</v>
      </c>
      <c r="R10" s="128">
        <f>+' 2. Önk. Bevételek'!R8</f>
        <v>0</v>
      </c>
      <c r="S10" s="127"/>
      <c r="T10" s="127"/>
      <c r="U10" s="153"/>
      <c r="V10" s="254"/>
      <c r="W10" s="131"/>
      <c r="X10" s="131"/>
      <c r="Y10" s="131"/>
      <c r="Z10" s="131"/>
    </row>
    <row r="11" spans="1:27" ht="71.099999999999994" customHeight="1" x14ac:dyDescent="0.25">
      <c r="A11" s="27" t="s">
        <v>367</v>
      </c>
      <c r="B11" s="27" t="s">
        <v>365</v>
      </c>
      <c r="C11" s="520" t="s">
        <v>512</v>
      </c>
      <c r="D11" s="358" t="s">
        <v>513</v>
      </c>
      <c r="E11" s="358" t="s">
        <v>514</v>
      </c>
      <c r="F11" s="521" t="s">
        <v>515</v>
      </c>
      <c r="G11" s="358"/>
      <c r="H11" s="494" t="s">
        <v>525</v>
      </c>
      <c r="I11" s="359" t="s">
        <v>526</v>
      </c>
      <c r="J11" s="359" t="s">
        <v>527</v>
      </c>
      <c r="K11" s="358"/>
      <c r="L11" s="360" t="s">
        <v>528</v>
      </c>
      <c r="M11" s="360" t="s">
        <v>529</v>
      </c>
      <c r="N11" s="495" t="s">
        <v>530</v>
      </c>
      <c r="O11" s="358"/>
      <c r="P11" s="494" t="s">
        <v>522</v>
      </c>
      <c r="Q11" s="359" t="s">
        <v>523</v>
      </c>
      <c r="R11" s="359" t="s">
        <v>524</v>
      </c>
      <c r="S11" s="359" t="s">
        <v>401</v>
      </c>
      <c r="T11" s="495" t="s">
        <v>402</v>
      </c>
      <c r="U11" s="28"/>
      <c r="V11" s="132" t="s">
        <v>406</v>
      </c>
    </row>
    <row r="12" spans="1:27" ht="12.75" customHeight="1" x14ac:dyDescent="0.25">
      <c r="A12" s="14"/>
      <c r="B12" s="20"/>
      <c r="C12" s="309"/>
      <c r="D12" s="310"/>
      <c r="E12" s="310"/>
      <c r="F12" s="310"/>
      <c r="G12" s="310"/>
      <c r="H12" s="310"/>
      <c r="I12" s="310"/>
      <c r="J12" s="310"/>
      <c r="K12" s="310"/>
      <c r="L12" s="599"/>
      <c r="M12" s="599"/>
      <c r="N12" s="599"/>
      <c r="O12" s="310"/>
      <c r="P12" s="310"/>
      <c r="Q12" s="310"/>
      <c r="R12" s="310"/>
      <c r="S12" s="310"/>
    </row>
    <row r="13" spans="1:27" ht="12.75" customHeight="1" x14ac:dyDescent="0.25">
      <c r="A13" s="7" t="s">
        <v>0</v>
      </c>
      <c r="B13" s="5" t="s">
        <v>3</v>
      </c>
      <c r="C13" s="311">
        <f>SUM(C14:C28)</f>
        <v>37575000</v>
      </c>
      <c r="D13" s="311">
        <f t="shared" ref="D13:J13" si="9">SUM(D14:D28)</f>
        <v>37575000</v>
      </c>
      <c r="E13" s="311">
        <f t="shared" si="9"/>
        <v>37773000</v>
      </c>
      <c r="F13" s="311">
        <f t="shared" si="9"/>
        <v>0</v>
      </c>
      <c r="G13" s="311"/>
      <c r="H13" s="311">
        <f t="shared" si="9"/>
        <v>19315155</v>
      </c>
      <c r="I13" s="311">
        <f t="shared" si="9"/>
        <v>28899369</v>
      </c>
      <c r="J13" s="311">
        <f t="shared" si="9"/>
        <v>0</v>
      </c>
      <c r="K13" s="311"/>
      <c r="L13" s="600">
        <f t="shared" ref="L13" si="10">+H13/C13</f>
        <v>0.51404271457085826</v>
      </c>
      <c r="M13" s="600">
        <f t="shared" ref="M13:N13" si="11">+I13/D13</f>
        <v>0.76911161676646711</v>
      </c>
      <c r="N13" s="600">
        <f t="shared" si="11"/>
        <v>0</v>
      </c>
      <c r="O13" s="311"/>
      <c r="P13" s="312">
        <f t="shared" ref="P13:P14" si="12">+(D13-C13)*P$10</f>
        <v>0</v>
      </c>
      <c r="Q13" s="312">
        <f t="shared" ref="Q13:Q14" si="13">+(E13-D13)*Q$10</f>
        <v>198000</v>
      </c>
      <c r="R13" s="312">
        <f t="shared" ref="R13:R14" si="14">+(F13-E13)*R$10</f>
        <v>0</v>
      </c>
      <c r="S13" s="312">
        <f t="shared" ref="S13:S14" si="15">+P13*P$10+Q13*Q$10+R13*R$10</f>
        <v>198000</v>
      </c>
      <c r="T13" s="282">
        <f>IF('7. WAMKK'!C13=0,0,+S13/'7. WAMKK'!C13)</f>
        <v>9.4366599942808122E-3</v>
      </c>
      <c r="U13" s="120"/>
      <c r="V13" s="195">
        <f t="shared" ref="V13:V71" si="16">+S13-E13+C13</f>
        <v>0</v>
      </c>
    </row>
    <row r="14" spans="1:27" ht="12.75" customHeight="1" x14ac:dyDescent="0.25">
      <c r="A14" s="14" t="s">
        <v>1</v>
      </c>
      <c r="B14" s="20"/>
      <c r="C14" s="309"/>
      <c r="D14" s="310"/>
      <c r="E14" s="310"/>
      <c r="F14" s="310"/>
      <c r="G14" s="310"/>
      <c r="H14" s="310"/>
      <c r="I14" s="310"/>
      <c r="J14" s="310"/>
      <c r="K14" s="310"/>
      <c r="L14" s="599"/>
      <c r="M14" s="599"/>
      <c r="N14" s="599"/>
      <c r="O14" s="310"/>
      <c r="P14" s="310">
        <f t="shared" si="12"/>
        <v>0</v>
      </c>
      <c r="Q14" s="310">
        <f t="shared" si="13"/>
        <v>0</v>
      </c>
      <c r="R14" s="310">
        <f t="shared" si="14"/>
        <v>0</v>
      </c>
      <c r="S14" s="310">
        <f t="shared" si="15"/>
        <v>0</v>
      </c>
      <c r="T14" s="281">
        <f>IF('7. WAMKK'!C14=0,0,+S14/'7. WAMKK'!C14)</f>
        <v>0</v>
      </c>
      <c r="U14" s="120"/>
      <c r="V14" s="195">
        <f t="shared" si="16"/>
        <v>0</v>
      </c>
    </row>
    <row r="15" spans="1:27" ht="12.75" customHeight="1" x14ac:dyDescent="0.25">
      <c r="A15" s="14" t="s">
        <v>2</v>
      </c>
      <c r="B15" s="482" t="s">
        <v>394</v>
      </c>
      <c r="C15" s="309">
        <v>35000000</v>
      </c>
      <c r="D15" s="165">
        <v>33819150</v>
      </c>
      <c r="E15" s="165">
        <v>33819150</v>
      </c>
      <c r="F15" s="165"/>
      <c r="G15" s="165"/>
      <c r="H15" s="165">
        <v>16952120</v>
      </c>
      <c r="I15" s="165">
        <v>25628933</v>
      </c>
      <c r="J15" s="165"/>
      <c r="K15" s="165"/>
      <c r="L15" s="601">
        <f t="shared" ref="L15:L27" si="17">IF(H15&gt;0,H15/C15,0)</f>
        <v>0.48434628571428573</v>
      </c>
      <c r="M15" s="601">
        <f t="shared" ref="M15:M27" si="18">IF(I15&gt;0,I15/D15,0)</f>
        <v>0.75782309726885511</v>
      </c>
      <c r="N15" s="601">
        <f t="shared" ref="N15:N27" si="19">IF(J15&gt;0,J15/E15,0)</f>
        <v>0</v>
      </c>
      <c r="O15" s="165"/>
      <c r="P15" s="302">
        <f>+(D15-C15)*P$10</f>
        <v>-1180850</v>
      </c>
      <c r="Q15" s="302">
        <f t="shared" ref="Q15:R15" si="20">+(E15-D15)*Q$10</f>
        <v>0</v>
      </c>
      <c r="R15" s="302">
        <f t="shared" si="20"/>
        <v>0</v>
      </c>
      <c r="S15" s="302">
        <f>+P15*P$10+Q15*Q$10+R15*R$10</f>
        <v>-1180850</v>
      </c>
      <c r="T15" s="281">
        <f>IF('7. WAMKK'!C15=0,0,+S15/'7. WAMKK'!C15)</f>
        <v>-5.7602439024390245E-2</v>
      </c>
      <c r="U15" s="120"/>
      <c r="V15" s="195">
        <f t="shared" si="16"/>
        <v>0</v>
      </c>
    </row>
    <row r="16" spans="1:27" ht="25.2" customHeight="1" x14ac:dyDescent="0.25">
      <c r="A16" s="482" t="s">
        <v>578</v>
      </c>
      <c r="B16" s="20" t="s">
        <v>4</v>
      </c>
      <c r="C16" s="309"/>
      <c r="D16" s="165">
        <v>584100</v>
      </c>
      <c r="E16" s="165">
        <v>584100</v>
      </c>
      <c r="F16" s="165"/>
      <c r="G16" s="165"/>
      <c r="H16" s="165">
        <v>504100</v>
      </c>
      <c r="I16" s="165">
        <v>504100</v>
      </c>
      <c r="J16" s="165"/>
      <c r="K16" s="165"/>
      <c r="L16" s="601" t="e">
        <f t="shared" si="17"/>
        <v>#DIV/0!</v>
      </c>
      <c r="M16" s="601">
        <f t="shared" si="18"/>
        <v>0.86303715117274438</v>
      </c>
      <c r="N16" s="601">
        <f t="shared" si="19"/>
        <v>0</v>
      </c>
      <c r="O16" s="165"/>
      <c r="P16" s="165">
        <f t="shared" ref="P16:P79" si="21">+(D16-C16)*P$10</f>
        <v>584100</v>
      </c>
      <c r="Q16" s="165">
        <f t="shared" ref="Q16:Q79" si="22">+(E16-D16)*Q$10</f>
        <v>0</v>
      </c>
      <c r="R16" s="165">
        <f t="shared" ref="R16:R79" si="23">+(F16-E16)*R$10</f>
        <v>0</v>
      </c>
      <c r="S16" s="165">
        <f t="shared" ref="S16:S79" si="24">+P16*P$10+Q16*Q$10+R16*R$10</f>
        <v>584100</v>
      </c>
      <c r="T16" s="281">
        <f>IF('7. WAMKK'!C16=0,0,+S16/'7. WAMKK'!C16)</f>
        <v>0</v>
      </c>
      <c r="U16" s="120"/>
      <c r="V16" s="195">
        <f t="shared" si="16"/>
        <v>0</v>
      </c>
    </row>
    <row r="17" spans="1:22" ht="12.75" customHeight="1" x14ac:dyDescent="0.25">
      <c r="A17" s="14" t="s">
        <v>13</v>
      </c>
      <c r="B17" s="20" t="s">
        <v>5</v>
      </c>
      <c r="C17" s="309"/>
      <c r="D17" s="165"/>
      <c r="E17" s="165"/>
      <c r="F17" s="165"/>
      <c r="G17" s="165"/>
      <c r="H17" s="165"/>
      <c r="I17" s="165"/>
      <c r="J17" s="165"/>
      <c r="K17" s="165"/>
      <c r="L17" s="601">
        <f t="shared" si="17"/>
        <v>0</v>
      </c>
      <c r="M17" s="601">
        <f t="shared" si="18"/>
        <v>0</v>
      </c>
      <c r="N17" s="601">
        <f t="shared" si="19"/>
        <v>0</v>
      </c>
      <c r="O17" s="165"/>
      <c r="P17" s="165">
        <f t="shared" si="21"/>
        <v>0</v>
      </c>
      <c r="Q17" s="165">
        <f t="shared" si="22"/>
        <v>0</v>
      </c>
      <c r="R17" s="165">
        <f t="shared" si="23"/>
        <v>0</v>
      </c>
      <c r="S17" s="165">
        <f t="shared" si="24"/>
        <v>0</v>
      </c>
      <c r="T17" s="281">
        <f>IF('7. WAMKK'!C17=0,0,+S17/'7. WAMKK'!C17)</f>
        <v>0</v>
      </c>
      <c r="U17" s="120"/>
      <c r="V17" s="195">
        <f t="shared" si="16"/>
        <v>0</v>
      </c>
    </row>
    <row r="18" spans="1:22" ht="12.75" customHeight="1" x14ac:dyDescent="0.25">
      <c r="A18" s="529" t="s">
        <v>380</v>
      </c>
      <c r="B18" s="20" t="s">
        <v>6</v>
      </c>
      <c r="C18" s="309">
        <v>500000</v>
      </c>
      <c r="D18" s="165">
        <v>500000</v>
      </c>
      <c r="E18" s="165">
        <v>500000</v>
      </c>
      <c r="F18" s="165"/>
      <c r="G18" s="165"/>
      <c r="H18" s="165">
        <v>500000</v>
      </c>
      <c r="I18" s="165">
        <v>500000</v>
      </c>
      <c r="J18" s="165"/>
      <c r="K18" s="165"/>
      <c r="L18" s="601">
        <f t="shared" si="17"/>
        <v>1</v>
      </c>
      <c r="M18" s="601">
        <f t="shared" si="18"/>
        <v>1</v>
      </c>
      <c r="N18" s="601">
        <f t="shared" si="19"/>
        <v>0</v>
      </c>
      <c r="O18" s="165"/>
      <c r="P18" s="302">
        <f t="shared" si="21"/>
        <v>0</v>
      </c>
      <c r="Q18" s="302">
        <f t="shared" si="22"/>
        <v>0</v>
      </c>
      <c r="R18" s="302">
        <f t="shared" si="23"/>
        <v>0</v>
      </c>
      <c r="S18" s="302">
        <f t="shared" si="24"/>
        <v>0</v>
      </c>
      <c r="T18" s="281">
        <f>IF('7. WAMKK'!C18=0,0,+S18/'7. WAMKK'!C18)</f>
        <v>0</v>
      </c>
      <c r="U18" s="120"/>
      <c r="V18" s="195">
        <f t="shared" si="16"/>
        <v>0</v>
      </c>
    </row>
    <row r="19" spans="1:22" ht="12.75" customHeight="1" x14ac:dyDescent="0.25">
      <c r="A19" s="14" t="s">
        <v>14</v>
      </c>
      <c r="B19" s="20" t="s">
        <v>7</v>
      </c>
      <c r="C19" s="309">
        <v>0</v>
      </c>
      <c r="D19" s="165">
        <v>0</v>
      </c>
      <c r="E19" s="165">
        <v>0</v>
      </c>
      <c r="F19" s="165"/>
      <c r="G19" s="165"/>
      <c r="H19" s="165"/>
      <c r="I19" s="165"/>
      <c r="J19" s="165"/>
      <c r="K19" s="165"/>
      <c r="L19" s="601">
        <f t="shared" si="17"/>
        <v>0</v>
      </c>
      <c r="M19" s="601">
        <f t="shared" si="18"/>
        <v>0</v>
      </c>
      <c r="N19" s="601">
        <f t="shared" si="19"/>
        <v>0</v>
      </c>
      <c r="O19" s="165"/>
      <c r="P19" s="302">
        <f t="shared" si="21"/>
        <v>0</v>
      </c>
      <c r="Q19" s="302">
        <f t="shared" si="22"/>
        <v>0</v>
      </c>
      <c r="R19" s="302">
        <f t="shared" si="23"/>
        <v>0</v>
      </c>
      <c r="S19" s="302">
        <f t="shared" si="24"/>
        <v>0</v>
      </c>
      <c r="T19" s="281">
        <f>IF('7. WAMKK'!C19=0,0,+S19/'7. WAMKK'!C19)</f>
        <v>0</v>
      </c>
      <c r="U19" s="120"/>
      <c r="V19" s="195">
        <f t="shared" si="16"/>
        <v>0</v>
      </c>
    </row>
    <row r="20" spans="1:22" ht="12.75" customHeight="1" x14ac:dyDescent="0.25">
      <c r="A20" s="14" t="s">
        <v>15</v>
      </c>
      <c r="B20" s="20" t="s">
        <v>8</v>
      </c>
      <c r="C20" s="309"/>
      <c r="D20" s="165"/>
      <c r="E20" s="165"/>
      <c r="F20" s="165"/>
      <c r="G20" s="165"/>
      <c r="H20" s="165"/>
      <c r="I20" s="165"/>
      <c r="J20" s="165"/>
      <c r="K20" s="165"/>
      <c r="L20" s="601">
        <f t="shared" si="17"/>
        <v>0</v>
      </c>
      <c r="M20" s="601">
        <f t="shared" si="18"/>
        <v>0</v>
      </c>
      <c r="N20" s="601">
        <f t="shared" si="19"/>
        <v>0</v>
      </c>
      <c r="O20" s="165"/>
      <c r="P20" s="165">
        <f t="shared" si="21"/>
        <v>0</v>
      </c>
      <c r="Q20" s="165">
        <f t="shared" si="22"/>
        <v>0</v>
      </c>
      <c r="R20" s="165">
        <f t="shared" si="23"/>
        <v>0</v>
      </c>
      <c r="S20" s="165">
        <f t="shared" si="24"/>
        <v>0</v>
      </c>
      <c r="T20" s="281">
        <f>IF('7. WAMKK'!C20=0,0,+S20/'7. WAMKK'!C20)</f>
        <v>0</v>
      </c>
      <c r="U20" s="120"/>
      <c r="V20" s="195">
        <f t="shared" si="16"/>
        <v>0</v>
      </c>
    </row>
    <row r="21" spans="1:22" ht="12.75" customHeight="1" x14ac:dyDescent="0.25">
      <c r="A21" s="14" t="s">
        <v>16</v>
      </c>
      <c r="B21" s="20" t="s">
        <v>9</v>
      </c>
      <c r="C21" s="309">
        <v>120000</v>
      </c>
      <c r="D21" s="165">
        <v>120000</v>
      </c>
      <c r="E21" s="165">
        <v>120000</v>
      </c>
      <c r="F21" s="165"/>
      <c r="G21" s="165"/>
      <c r="H21" s="165">
        <v>60785</v>
      </c>
      <c r="I21" s="165">
        <v>74355</v>
      </c>
      <c r="J21" s="165"/>
      <c r="K21" s="165"/>
      <c r="L21" s="601">
        <f t="shared" si="17"/>
        <v>0.50654166666666667</v>
      </c>
      <c r="M21" s="601">
        <f t="shared" si="18"/>
        <v>0.61962499999999998</v>
      </c>
      <c r="N21" s="601">
        <f t="shared" si="19"/>
        <v>0</v>
      </c>
      <c r="O21" s="165"/>
      <c r="P21" s="302">
        <f t="shared" si="21"/>
        <v>0</v>
      </c>
      <c r="Q21" s="302">
        <f t="shared" si="22"/>
        <v>0</v>
      </c>
      <c r="R21" s="302">
        <f t="shared" si="23"/>
        <v>0</v>
      </c>
      <c r="S21" s="302">
        <f t="shared" si="24"/>
        <v>0</v>
      </c>
      <c r="T21" s="281">
        <f>IF('7. WAMKK'!C21=0,0,+S21/'7. WAMKK'!C21)</f>
        <v>0</v>
      </c>
      <c r="U21" s="120"/>
      <c r="V21" s="195">
        <f t="shared" si="16"/>
        <v>0</v>
      </c>
    </row>
    <row r="22" spans="1:22" ht="12.75" customHeight="1" x14ac:dyDescent="0.25">
      <c r="A22" s="14" t="s">
        <v>17</v>
      </c>
      <c r="B22" s="20" t="s">
        <v>10</v>
      </c>
      <c r="C22" s="309">
        <v>0</v>
      </c>
      <c r="D22" s="165"/>
      <c r="E22" s="165">
        <v>0</v>
      </c>
      <c r="F22" s="165"/>
      <c r="G22" s="165"/>
      <c r="H22" s="165"/>
      <c r="I22" s="165"/>
      <c r="J22" s="165"/>
      <c r="K22" s="165"/>
      <c r="L22" s="601">
        <f t="shared" si="17"/>
        <v>0</v>
      </c>
      <c r="M22" s="601">
        <f t="shared" si="18"/>
        <v>0</v>
      </c>
      <c r="N22" s="601">
        <f t="shared" si="19"/>
        <v>0</v>
      </c>
      <c r="O22" s="165"/>
      <c r="P22" s="165">
        <f t="shared" si="21"/>
        <v>0</v>
      </c>
      <c r="Q22" s="165">
        <f t="shared" si="22"/>
        <v>0</v>
      </c>
      <c r="R22" s="165">
        <f t="shared" si="23"/>
        <v>0</v>
      </c>
      <c r="S22" s="165">
        <f t="shared" si="24"/>
        <v>0</v>
      </c>
      <c r="T22" s="281">
        <f>IF('7. WAMKK'!C22=0,0,+S22/'7. WAMKK'!C22)</f>
        <v>0</v>
      </c>
      <c r="U22" s="120"/>
      <c r="V22" s="195">
        <f t="shared" si="16"/>
        <v>0</v>
      </c>
    </row>
    <row r="23" spans="1:22" ht="12.75" customHeight="1" x14ac:dyDescent="0.25">
      <c r="A23" s="14" t="s">
        <v>18</v>
      </c>
      <c r="B23" s="20" t="s">
        <v>11</v>
      </c>
      <c r="C23" s="309">
        <v>1175000</v>
      </c>
      <c r="D23" s="165">
        <v>1175000</v>
      </c>
      <c r="E23" s="165">
        <v>1175000</v>
      </c>
      <c r="F23" s="165"/>
      <c r="G23" s="165"/>
      <c r="H23" s="165">
        <v>109600</v>
      </c>
      <c r="I23" s="165">
        <v>665994</v>
      </c>
      <c r="J23" s="165"/>
      <c r="K23" s="165"/>
      <c r="L23" s="601">
        <f t="shared" si="17"/>
        <v>9.3276595744680849E-2</v>
      </c>
      <c r="M23" s="601">
        <f t="shared" si="18"/>
        <v>0.56680340425531917</v>
      </c>
      <c r="N23" s="601">
        <f t="shared" si="19"/>
        <v>0</v>
      </c>
      <c r="O23" s="165"/>
      <c r="P23" s="165">
        <f t="shared" si="21"/>
        <v>0</v>
      </c>
      <c r="Q23" s="165">
        <f t="shared" si="22"/>
        <v>0</v>
      </c>
      <c r="R23" s="165">
        <f t="shared" si="23"/>
        <v>0</v>
      </c>
      <c r="S23" s="165">
        <f t="shared" si="24"/>
        <v>0</v>
      </c>
      <c r="T23" s="281">
        <f>IF('7. WAMKK'!C23=0,0,+S23/'7. WAMKK'!C23)</f>
        <v>0</v>
      </c>
      <c r="U23" s="120"/>
      <c r="V23" s="195">
        <f t="shared" si="16"/>
        <v>0</v>
      </c>
    </row>
    <row r="24" spans="1:22" ht="12.75" customHeight="1" x14ac:dyDescent="0.25">
      <c r="A24" s="14" t="s">
        <v>19</v>
      </c>
      <c r="B24" s="20"/>
      <c r="C24" s="309"/>
      <c r="D24" s="165"/>
      <c r="E24" s="165"/>
      <c r="F24" s="165"/>
      <c r="G24" s="165"/>
      <c r="H24" s="165"/>
      <c r="I24" s="165"/>
      <c r="J24" s="165"/>
      <c r="K24" s="165"/>
      <c r="L24" s="601">
        <f t="shared" si="17"/>
        <v>0</v>
      </c>
      <c r="M24" s="601">
        <f t="shared" si="18"/>
        <v>0</v>
      </c>
      <c r="N24" s="601">
        <f t="shared" si="19"/>
        <v>0</v>
      </c>
      <c r="O24" s="165"/>
      <c r="P24" s="165">
        <f t="shared" si="21"/>
        <v>0</v>
      </c>
      <c r="Q24" s="165">
        <f t="shared" si="22"/>
        <v>0</v>
      </c>
      <c r="R24" s="165">
        <f t="shared" si="23"/>
        <v>0</v>
      </c>
      <c r="S24" s="165">
        <f t="shared" si="24"/>
        <v>0</v>
      </c>
      <c r="T24" s="281">
        <f>IF('7. WAMKK'!C24=0,0,+S24/'7. WAMKK'!C24)</f>
        <v>0</v>
      </c>
      <c r="U24" s="120"/>
      <c r="V24" s="195">
        <f t="shared" si="16"/>
        <v>0</v>
      </c>
    </row>
    <row r="25" spans="1:22" ht="12.75" customHeight="1" x14ac:dyDescent="0.25">
      <c r="A25" s="14" t="s">
        <v>20</v>
      </c>
      <c r="B25" s="482" t="s">
        <v>21</v>
      </c>
      <c r="C25" s="309">
        <v>0</v>
      </c>
      <c r="D25" s="165"/>
      <c r="E25" s="165"/>
      <c r="F25" s="165"/>
      <c r="G25" s="165"/>
      <c r="H25" s="165"/>
      <c r="I25" s="165"/>
      <c r="J25" s="165"/>
      <c r="K25" s="165"/>
      <c r="L25" s="601">
        <f t="shared" si="17"/>
        <v>0</v>
      </c>
      <c r="M25" s="601">
        <f t="shared" si="18"/>
        <v>0</v>
      </c>
      <c r="N25" s="601">
        <f t="shared" si="19"/>
        <v>0</v>
      </c>
      <c r="O25" s="165"/>
      <c r="P25" s="165">
        <f t="shared" si="21"/>
        <v>0</v>
      </c>
      <c r="Q25" s="165">
        <f t="shared" si="22"/>
        <v>0</v>
      </c>
      <c r="R25" s="165">
        <f t="shared" si="23"/>
        <v>0</v>
      </c>
      <c r="S25" s="165">
        <f t="shared" si="24"/>
        <v>0</v>
      </c>
      <c r="T25" s="281">
        <f>IF('7. WAMKK'!C25=0,0,+S25/'7. WAMKK'!C25)</f>
        <v>0</v>
      </c>
      <c r="U25" s="120"/>
      <c r="V25" s="195">
        <f t="shared" si="16"/>
        <v>0</v>
      </c>
    </row>
    <row r="26" spans="1:22" ht="12.75" customHeight="1" x14ac:dyDescent="0.25">
      <c r="A26" s="14" t="s">
        <v>22</v>
      </c>
      <c r="B26" s="20" t="s">
        <v>23</v>
      </c>
      <c r="C26" s="309">
        <v>780000</v>
      </c>
      <c r="D26" s="165">
        <v>1370000</v>
      </c>
      <c r="E26" s="165">
        <v>1370000</v>
      </c>
      <c r="F26" s="165"/>
      <c r="G26" s="165"/>
      <c r="H26" s="165">
        <v>1181800</v>
      </c>
      <c r="I26" s="165">
        <v>1321800</v>
      </c>
      <c r="J26" s="165"/>
      <c r="K26" s="165"/>
      <c r="L26" s="601">
        <f t="shared" si="17"/>
        <v>1.5151282051282051</v>
      </c>
      <c r="M26" s="601">
        <f t="shared" si="18"/>
        <v>0.96481751824817519</v>
      </c>
      <c r="N26" s="601">
        <f t="shared" si="19"/>
        <v>0</v>
      </c>
      <c r="O26" s="165"/>
      <c r="P26" s="165">
        <f t="shared" si="21"/>
        <v>590000</v>
      </c>
      <c r="Q26" s="165">
        <f t="shared" si="22"/>
        <v>0</v>
      </c>
      <c r="R26" s="165">
        <f t="shared" si="23"/>
        <v>0</v>
      </c>
      <c r="S26" s="165">
        <f t="shared" si="24"/>
        <v>590000</v>
      </c>
      <c r="T26" s="281">
        <f>IF('7. WAMKK'!C26=0,0,+S26/'7. WAMKK'!C26)</f>
        <v>0</v>
      </c>
      <c r="U26" s="120"/>
      <c r="V26" s="195">
        <f t="shared" si="16"/>
        <v>0</v>
      </c>
    </row>
    <row r="27" spans="1:22" ht="12.75" customHeight="1" x14ac:dyDescent="0.25">
      <c r="A27" s="14" t="s">
        <v>24</v>
      </c>
      <c r="B27" s="20" t="s">
        <v>25</v>
      </c>
      <c r="C27" s="309">
        <v>0</v>
      </c>
      <c r="D27" s="165">
        <v>6750</v>
      </c>
      <c r="E27" s="165">
        <v>204750</v>
      </c>
      <c r="F27" s="165"/>
      <c r="G27" s="165"/>
      <c r="H27" s="165">
        <v>6750</v>
      </c>
      <c r="I27" s="165">
        <v>204187</v>
      </c>
      <c r="J27" s="165"/>
      <c r="K27" s="165"/>
      <c r="L27" s="601" t="e">
        <f t="shared" si="17"/>
        <v>#DIV/0!</v>
      </c>
      <c r="M27" s="601">
        <f t="shared" si="18"/>
        <v>30.249925925925925</v>
      </c>
      <c r="N27" s="601">
        <f t="shared" si="19"/>
        <v>0</v>
      </c>
      <c r="O27" s="165"/>
      <c r="P27" s="165">
        <f t="shared" si="21"/>
        <v>6750</v>
      </c>
      <c r="Q27" s="165">
        <f t="shared" si="22"/>
        <v>198000</v>
      </c>
      <c r="R27" s="165">
        <f t="shared" si="23"/>
        <v>0</v>
      </c>
      <c r="S27" s="165">
        <f t="shared" si="24"/>
        <v>204750</v>
      </c>
      <c r="T27" s="281">
        <f>IF('7. WAMKK'!C27=0,0,+S27/'7. WAMKK'!C27)</f>
        <v>0</v>
      </c>
      <c r="U27" s="120"/>
      <c r="V27" s="195">
        <f t="shared" si="16"/>
        <v>0</v>
      </c>
    </row>
    <row r="28" spans="1:22" ht="12.75" customHeight="1" x14ac:dyDescent="0.25">
      <c r="A28" s="14"/>
      <c r="B28" s="14"/>
      <c r="C28" s="309"/>
      <c r="D28" s="165"/>
      <c r="E28" s="165"/>
      <c r="F28" s="165"/>
      <c r="G28" s="165"/>
      <c r="H28" s="165"/>
      <c r="I28" s="165"/>
      <c r="J28" s="165"/>
      <c r="K28" s="165"/>
      <c r="L28" s="602"/>
      <c r="M28" s="602"/>
      <c r="N28" s="602"/>
      <c r="O28" s="165"/>
      <c r="P28" s="165">
        <f t="shared" si="21"/>
        <v>0</v>
      </c>
      <c r="Q28" s="165">
        <f t="shared" si="22"/>
        <v>0</v>
      </c>
      <c r="R28" s="165">
        <f t="shared" si="23"/>
        <v>0</v>
      </c>
      <c r="S28" s="165">
        <f t="shared" si="24"/>
        <v>0</v>
      </c>
      <c r="T28" s="281">
        <f>IF('7. WAMKK'!C28=0,0,+S28/'7. WAMKK'!C28)</f>
        <v>0</v>
      </c>
      <c r="U28" s="120"/>
      <c r="V28" s="195">
        <f t="shared" si="16"/>
        <v>0</v>
      </c>
    </row>
    <row r="29" spans="1:22" ht="12.75" customHeight="1" x14ac:dyDescent="0.25">
      <c r="A29" s="7" t="s">
        <v>26</v>
      </c>
      <c r="B29" s="5" t="s">
        <v>27</v>
      </c>
      <c r="C29" s="311">
        <f>SUM(C30)</f>
        <v>4900000</v>
      </c>
      <c r="D29" s="311">
        <f>SUM(D30)</f>
        <v>4900000</v>
      </c>
      <c r="E29" s="311">
        <f>SUM(E30)</f>
        <v>4900000</v>
      </c>
      <c r="F29" s="311">
        <f>SUM(F30)</f>
        <v>0</v>
      </c>
      <c r="G29" s="311"/>
      <c r="H29" s="311">
        <f>SUM(H30)</f>
        <v>2617548</v>
      </c>
      <c r="I29" s="311">
        <f>+I30</f>
        <v>3907734</v>
      </c>
      <c r="J29" s="311">
        <f>+J30</f>
        <v>0</v>
      </c>
      <c r="K29" s="311"/>
      <c r="L29" s="600">
        <f t="shared" ref="L29:L32" si="25">+H29/C29</f>
        <v>0.53419346938775514</v>
      </c>
      <c r="M29" s="600">
        <f t="shared" ref="M29:N32" si="26">+I29/D29</f>
        <v>0.7974967346938775</v>
      </c>
      <c r="N29" s="600">
        <f t="shared" si="26"/>
        <v>0</v>
      </c>
      <c r="O29" s="311"/>
      <c r="P29" s="311">
        <f t="shared" si="21"/>
        <v>0</v>
      </c>
      <c r="Q29" s="311">
        <f t="shared" si="22"/>
        <v>0</v>
      </c>
      <c r="R29" s="311">
        <f t="shared" si="23"/>
        <v>0</v>
      </c>
      <c r="S29" s="311">
        <f t="shared" si="24"/>
        <v>0</v>
      </c>
      <c r="T29" s="282">
        <f>IF('7. WAMKK'!C29=0,0,+S29/'7. WAMKK'!C29)</f>
        <v>0</v>
      </c>
      <c r="U29" s="120"/>
      <c r="V29" s="195">
        <f t="shared" si="16"/>
        <v>0</v>
      </c>
    </row>
    <row r="30" spans="1:22" ht="12.75" customHeight="1" x14ac:dyDescent="0.25">
      <c r="A30" s="14"/>
      <c r="B30" s="20" t="s">
        <v>28</v>
      </c>
      <c r="C30" s="309">
        <v>4900000</v>
      </c>
      <c r="D30" s="165">
        <v>4900000</v>
      </c>
      <c r="E30" s="165">
        <v>4900000</v>
      </c>
      <c r="F30" s="165"/>
      <c r="G30" s="165"/>
      <c r="H30" s="165">
        <v>2617548</v>
      </c>
      <c r="I30" s="165">
        <v>3907734</v>
      </c>
      <c r="J30" s="165"/>
      <c r="K30" s="165"/>
      <c r="L30" s="601">
        <f t="shared" ref="L30" si="27">IF(H30&gt;0,H30/C30,0)</f>
        <v>0.53419346938775514</v>
      </c>
      <c r="M30" s="601">
        <f t="shared" ref="M30" si="28">IF(I30&gt;0,I30/D30,0)</f>
        <v>0.7974967346938775</v>
      </c>
      <c r="N30" s="601">
        <f t="shared" ref="N30" si="29">IF(J30&gt;0,J30/E30,0)</f>
        <v>0</v>
      </c>
      <c r="O30" s="165"/>
      <c r="P30" s="165">
        <f t="shared" si="21"/>
        <v>0</v>
      </c>
      <c r="Q30" s="165">
        <f t="shared" si="22"/>
        <v>0</v>
      </c>
      <c r="R30" s="165">
        <f t="shared" si="23"/>
        <v>0</v>
      </c>
      <c r="S30" s="165">
        <f t="shared" si="24"/>
        <v>0</v>
      </c>
      <c r="T30" s="281">
        <f>IF('7. WAMKK'!C30=0,0,+S30/'7. WAMKK'!C30)</f>
        <v>0</v>
      </c>
      <c r="U30" s="120"/>
      <c r="V30" s="195">
        <f t="shared" si="16"/>
        <v>0</v>
      </c>
    </row>
    <row r="31" spans="1:22" ht="12.75" customHeight="1" x14ac:dyDescent="0.25">
      <c r="A31" s="14"/>
      <c r="B31" s="14"/>
      <c r="C31" s="572"/>
      <c r="D31" s="165"/>
      <c r="E31" s="165"/>
      <c r="F31" s="165"/>
      <c r="G31" s="165"/>
      <c r="H31" s="165"/>
      <c r="I31" s="165"/>
      <c r="J31" s="165"/>
      <c r="K31" s="165"/>
      <c r="L31" s="602"/>
      <c r="M31" s="602"/>
      <c r="N31" s="602"/>
      <c r="O31" s="165"/>
      <c r="P31" s="165">
        <f t="shared" si="21"/>
        <v>0</v>
      </c>
      <c r="Q31" s="165">
        <f t="shared" si="22"/>
        <v>0</v>
      </c>
      <c r="R31" s="165">
        <f t="shared" si="23"/>
        <v>0</v>
      </c>
      <c r="S31" s="165">
        <f t="shared" si="24"/>
        <v>0</v>
      </c>
      <c r="T31" s="281">
        <f>IF('7. WAMKK'!C31=0,0,+S31/'7. WAMKK'!C31)</f>
        <v>0</v>
      </c>
      <c r="U31" s="120"/>
      <c r="V31" s="195">
        <f t="shared" si="16"/>
        <v>0</v>
      </c>
    </row>
    <row r="32" spans="1:22" ht="12.75" customHeight="1" x14ac:dyDescent="0.25">
      <c r="A32" s="7" t="s">
        <v>29</v>
      </c>
      <c r="B32" s="5" t="s">
        <v>30</v>
      </c>
      <c r="C32" s="271">
        <f t="shared" ref="C32:F32" si="30">+C33+C41+C48+C66+C71</f>
        <v>73070000</v>
      </c>
      <c r="D32" s="271">
        <f t="shared" si="30"/>
        <v>73070000</v>
      </c>
      <c r="E32" s="271">
        <f t="shared" si="30"/>
        <v>72394766</v>
      </c>
      <c r="F32" s="271">
        <f t="shared" si="30"/>
        <v>0</v>
      </c>
      <c r="G32" s="312"/>
      <c r="H32" s="271">
        <f t="shared" ref="H32:I32" si="31">+H33+H41+H48+H66+H71</f>
        <v>41796581</v>
      </c>
      <c r="I32" s="271">
        <f t="shared" si="31"/>
        <v>55559780</v>
      </c>
      <c r="J32" s="312">
        <f>SUM(J33:J81)</f>
        <v>0</v>
      </c>
      <c r="K32" s="312"/>
      <c r="L32" s="600">
        <f t="shared" si="25"/>
        <v>0.57200740385931303</v>
      </c>
      <c r="M32" s="600">
        <f t="shared" si="26"/>
        <v>0.76036376077733681</v>
      </c>
      <c r="N32" s="600">
        <f t="shared" si="26"/>
        <v>0</v>
      </c>
      <c r="O32" s="312"/>
      <c r="P32" s="312">
        <f t="shared" si="21"/>
        <v>0</v>
      </c>
      <c r="Q32" s="312">
        <f t="shared" si="22"/>
        <v>-675234</v>
      </c>
      <c r="R32" s="312">
        <f t="shared" si="23"/>
        <v>0</v>
      </c>
      <c r="S32" s="312">
        <f t="shared" si="24"/>
        <v>-675234</v>
      </c>
      <c r="T32" s="282">
        <f>IF('7. WAMKK'!C32=0,0,+S32/'7. WAMKK'!C32)</f>
        <v>-3.6267805349661619E-2</v>
      </c>
      <c r="U32" s="120"/>
      <c r="V32" s="195">
        <f t="shared" si="16"/>
        <v>0</v>
      </c>
    </row>
    <row r="33" spans="1:22" s="42" customFormat="1" ht="12.75" customHeight="1" x14ac:dyDescent="0.25">
      <c r="A33" s="38" t="s">
        <v>31</v>
      </c>
      <c r="B33" s="39" t="s">
        <v>32</v>
      </c>
      <c r="C33" s="275">
        <f>SUM(C34:C40)</f>
        <v>55006000</v>
      </c>
      <c r="D33" s="275">
        <f t="shared" ref="D33:F33" si="32">SUM(D34:D40)</f>
        <v>54801000</v>
      </c>
      <c r="E33" s="275">
        <f t="shared" si="32"/>
        <v>54027225</v>
      </c>
      <c r="F33" s="275">
        <f t="shared" si="32"/>
        <v>0</v>
      </c>
      <c r="G33" s="555"/>
      <c r="H33" s="275">
        <f>SUM(H34:H40)</f>
        <v>32344765</v>
      </c>
      <c r="I33" s="275">
        <f>SUM(I34:I40)</f>
        <v>42227135</v>
      </c>
      <c r="J33" s="555"/>
      <c r="K33" s="555"/>
      <c r="L33" s="602">
        <f t="shared" ref="L33:L42" si="33">IF(H33&gt;0,H33/C33,0)</f>
        <v>0.58802248845580485</v>
      </c>
      <c r="M33" s="602">
        <f t="shared" ref="M33:M42" si="34">IF(I33&gt;0,I33/D33,0)</f>
        <v>0.77055409572818012</v>
      </c>
      <c r="N33" s="602">
        <f t="shared" ref="N33:N42" si="35">IF(J33&gt;0,J33/E33,0)</f>
        <v>0</v>
      </c>
      <c r="O33" s="555"/>
      <c r="P33" s="555">
        <f t="shared" si="21"/>
        <v>-205000</v>
      </c>
      <c r="Q33" s="555">
        <f t="shared" si="22"/>
        <v>-773775</v>
      </c>
      <c r="R33" s="555">
        <f t="shared" si="23"/>
        <v>0</v>
      </c>
      <c r="S33" s="555">
        <f t="shared" si="24"/>
        <v>-978775</v>
      </c>
      <c r="T33" s="281">
        <f>IF('7. WAMKK'!C33=0,0,+S33/'7. WAMKK'!C33)</f>
        <v>-0.37819744976816072</v>
      </c>
      <c r="U33" s="121"/>
      <c r="V33" s="556">
        <f t="shared" si="16"/>
        <v>0</v>
      </c>
    </row>
    <row r="34" spans="1:22" ht="12.75" customHeight="1" x14ac:dyDescent="0.25">
      <c r="A34" s="14" t="s">
        <v>33</v>
      </c>
      <c r="B34" s="20" t="s">
        <v>35</v>
      </c>
      <c r="C34" s="165">
        <v>6000</v>
      </c>
      <c r="D34" s="165">
        <v>6000</v>
      </c>
      <c r="E34" s="165">
        <v>6000</v>
      </c>
      <c r="F34" s="165"/>
      <c r="G34" s="165"/>
      <c r="H34" s="165">
        <v>0</v>
      </c>
      <c r="I34" s="165">
        <v>0</v>
      </c>
      <c r="J34" s="165"/>
      <c r="K34" s="165"/>
      <c r="L34" s="603">
        <f t="shared" si="33"/>
        <v>0</v>
      </c>
      <c r="M34" s="603">
        <f t="shared" si="34"/>
        <v>0</v>
      </c>
      <c r="N34" s="603">
        <f t="shared" si="35"/>
        <v>0</v>
      </c>
      <c r="O34" s="165"/>
      <c r="P34" s="165">
        <f t="shared" si="21"/>
        <v>0</v>
      </c>
      <c r="Q34" s="165">
        <f t="shared" si="22"/>
        <v>0</v>
      </c>
      <c r="R34" s="165">
        <f t="shared" si="23"/>
        <v>0</v>
      </c>
      <c r="S34" s="165">
        <f t="shared" si="24"/>
        <v>0</v>
      </c>
      <c r="T34" s="281">
        <f>IF('7. WAMKK'!C34=0,0,+S34/'7. WAMKK'!C34)</f>
        <v>0</v>
      </c>
      <c r="U34" s="120"/>
      <c r="V34" s="195">
        <f t="shared" si="16"/>
        <v>0</v>
      </c>
    </row>
    <row r="35" spans="1:22" ht="12.75" customHeight="1" x14ac:dyDescent="0.25">
      <c r="A35" s="14"/>
      <c r="B35" s="20" t="s">
        <v>89</v>
      </c>
      <c r="C35" s="165"/>
      <c r="D35" s="165"/>
      <c r="E35" s="165"/>
      <c r="F35" s="165"/>
      <c r="G35" s="165"/>
      <c r="H35" s="165"/>
      <c r="I35" s="165"/>
      <c r="J35" s="165"/>
      <c r="K35" s="165"/>
      <c r="L35" s="603">
        <f t="shared" si="33"/>
        <v>0</v>
      </c>
      <c r="M35" s="603">
        <f t="shared" si="34"/>
        <v>0</v>
      </c>
      <c r="N35" s="603">
        <f t="shared" si="35"/>
        <v>0</v>
      </c>
      <c r="O35" s="165"/>
      <c r="P35" s="165">
        <f t="shared" si="21"/>
        <v>0</v>
      </c>
      <c r="Q35" s="165">
        <f t="shared" si="22"/>
        <v>0</v>
      </c>
      <c r="R35" s="165">
        <f t="shared" si="23"/>
        <v>0</v>
      </c>
      <c r="S35" s="165">
        <f t="shared" si="24"/>
        <v>0</v>
      </c>
      <c r="T35" s="281">
        <f>IF('7. WAMKK'!C35=0,0,+S35/'7. WAMKK'!C35)</f>
        <v>0</v>
      </c>
      <c r="U35" s="120"/>
      <c r="V35" s="195">
        <f t="shared" si="16"/>
        <v>0</v>
      </c>
    </row>
    <row r="36" spans="1:22" ht="12.75" customHeight="1" x14ac:dyDescent="0.25">
      <c r="A36" s="14" t="s">
        <v>34</v>
      </c>
      <c r="B36" s="20" t="s">
        <v>36</v>
      </c>
      <c r="C36" s="568">
        <v>55000000</v>
      </c>
      <c r="D36" s="553">
        <v>54795000</v>
      </c>
      <c r="E36" s="165">
        <v>54021225</v>
      </c>
      <c r="F36" s="165"/>
      <c r="G36" s="165"/>
      <c r="H36" s="165">
        <v>32344765</v>
      </c>
      <c r="I36" s="165">
        <v>42227135</v>
      </c>
      <c r="J36" s="165"/>
      <c r="K36" s="165"/>
      <c r="L36" s="603">
        <f t="shared" si="33"/>
        <v>0.58808663636363634</v>
      </c>
      <c r="M36" s="603">
        <f t="shared" si="34"/>
        <v>0.77063847066338165</v>
      </c>
      <c r="N36" s="603">
        <f t="shared" si="35"/>
        <v>0</v>
      </c>
      <c r="O36" s="165"/>
      <c r="P36" s="165">
        <f t="shared" si="21"/>
        <v>-205000</v>
      </c>
      <c r="Q36" s="165">
        <f t="shared" si="22"/>
        <v>-773775</v>
      </c>
      <c r="R36" s="165">
        <f t="shared" si="23"/>
        <v>0</v>
      </c>
      <c r="S36" s="165">
        <f t="shared" si="24"/>
        <v>-978775</v>
      </c>
      <c r="T36" s="281">
        <f>IF('7. WAMKK'!C36=0,0,+S36/'7. WAMKK'!C36)</f>
        <v>-0.61635705289672549</v>
      </c>
      <c r="U36" s="120"/>
      <c r="V36" s="195">
        <f t="shared" si="16"/>
        <v>0</v>
      </c>
    </row>
    <row r="37" spans="1:22" ht="12.75" customHeight="1" x14ac:dyDescent="0.25">
      <c r="A37" s="14"/>
      <c r="B37" s="20" t="s">
        <v>105</v>
      </c>
      <c r="C37" s="165"/>
      <c r="D37" s="165"/>
      <c r="E37" s="165"/>
      <c r="F37" s="165"/>
      <c r="G37" s="165"/>
      <c r="H37" s="165"/>
      <c r="I37" s="165"/>
      <c r="J37" s="165"/>
      <c r="K37" s="165"/>
      <c r="L37" s="603">
        <f t="shared" si="33"/>
        <v>0</v>
      </c>
      <c r="M37" s="603">
        <f t="shared" si="34"/>
        <v>0</v>
      </c>
      <c r="N37" s="603">
        <f t="shared" si="35"/>
        <v>0</v>
      </c>
      <c r="O37" s="165"/>
      <c r="P37" s="165">
        <f t="shared" si="21"/>
        <v>0</v>
      </c>
      <c r="Q37" s="165">
        <f t="shared" si="22"/>
        <v>0</v>
      </c>
      <c r="R37" s="165">
        <f t="shared" si="23"/>
        <v>0</v>
      </c>
      <c r="S37" s="165">
        <f t="shared" si="24"/>
        <v>0</v>
      </c>
      <c r="T37" s="281">
        <f>IF('7. WAMKK'!C37=0,0,+S37/'7. WAMKK'!C37)</f>
        <v>0</v>
      </c>
      <c r="U37" s="120"/>
      <c r="V37" s="195">
        <f t="shared" si="16"/>
        <v>0</v>
      </c>
    </row>
    <row r="38" spans="1:22" ht="12.75" customHeight="1" x14ac:dyDescent="0.25">
      <c r="A38" s="14"/>
      <c r="B38" s="20" t="s">
        <v>95</v>
      </c>
      <c r="C38" s="165"/>
      <c r="D38" s="165"/>
      <c r="E38" s="165"/>
      <c r="F38" s="165"/>
      <c r="G38" s="165"/>
      <c r="H38" s="165"/>
      <c r="I38" s="165"/>
      <c r="J38" s="165"/>
      <c r="K38" s="165"/>
      <c r="L38" s="603">
        <f t="shared" si="33"/>
        <v>0</v>
      </c>
      <c r="M38" s="603">
        <f t="shared" si="34"/>
        <v>0</v>
      </c>
      <c r="N38" s="603">
        <f t="shared" si="35"/>
        <v>0</v>
      </c>
      <c r="O38" s="165"/>
      <c r="P38" s="165">
        <f t="shared" si="21"/>
        <v>0</v>
      </c>
      <c r="Q38" s="165">
        <f t="shared" si="22"/>
        <v>0</v>
      </c>
      <c r="R38" s="165">
        <f t="shared" si="23"/>
        <v>0</v>
      </c>
      <c r="S38" s="165">
        <f t="shared" si="24"/>
        <v>0</v>
      </c>
      <c r="T38" s="281">
        <f>IF('7. WAMKK'!C38=0,0,+S38/'7. WAMKK'!C38)</f>
        <v>0</v>
      </c>
      <c r="U38" s="120"/>
      <c r="V38" s="195">
        <f t="shared" si="16"/>
        <v>0</v>
      </c>
    </row>
    <row r="39" spans="1:22" ht="12.75" customHeight="1" x14ac:dyDescent="0.25">
      <c r="A39" s="14"/>
      <c r="B39" s="20" t="s">
        <v>94</v>
      </c>
      <c r="C39" s="165"/>
      <c r="D39" s="165"/>
      <c r="E39" s="165"/>
      <c r="F39" s="165"/>
      <c r="G39" s="165"/>
      <c r="H39" s="165"/>
      <c r="I39" s="165"/>
      <c r="J39" s="165"/>
      <c r="K39" s="165"/>
      <c r="L39" s="603">
        <f t="shared" si="33"/>
        <v>0</v>
      </c>
      <c r="M39" s="603">
        <f t="shared" si="34"/>
        <v>0</v>
      </c>
      <c r="N39" s="603">
        <f t="shared" si="35"/>
        <v>0</v>
      </c>
      <c r="O39" s="165"/>
      <c r="P39" s="165">
        <f t="shared" si="21"/>
        <v>0</v>
      </c>
      <c r="Q39" s="165">
        <f t="shared" si="22"/>
        <v>0</v>
      </c>
      <c r="R39" s="165">
        <f t="shared" si="23"/>
        <v>0</v>
      </c>
      <c r="S39" s="165">
        <f t="shared" si="24"/>
        <v>0</v>
      </c>
      <c r="T39" s="281">
        <f>IF('7. WAMKK'!C39=0,0,+S39/'7. WAMKK'!C39)</f>
        <v>0</v>
      </c>
      <c r="U39" s="120"/>
      <c r="V39" s="195">
        <f t="shared" si="16"/>
        <v>0</v>
      </c>
    </row>
    <row r="40" spans="1:22" ht="12.75" customHeight="1" x14ac:dyDescent="0.25">
      <c r="A40" s="14"/>
      <c r="B40" s="20" t="s">
        <v>93</v>
      </c>
      <c r="C40" s="165"/>
      <c r="D40" s="165"/>
      <c r="E40" s="165"/>
      <c r="F40" s="165"/>
      <c r="G40" s="165"/>
      <c r="H40" s="165"/>
      <c r="I40" s="165"/>
      <c r="J40" s="165"/>
      <c r="K40" s="165"/>
      <c r="L40" s="603">
        <f t="shared" si="33"/>
        <v>0</v>
      </c>
      <c r="M40" s="603">
        <f t="shared" si="34"/>
        <v>0</v>
      </c>
      <c r="N40" s="603">
        <f t="shared" si="35"/>
        <v>0</v>
      </c>
      <c r="O40" s="165"/>
      <c r="P40" s="165">
        <f t="shared" si="21"/>
        <v>0</v>
      </c>
      <c r="Q40" s="165">
        <f t="shared" si="22"/>
        <v>0</v>
      </c>
      <c r="R40" s="165">
        <f t="shared" si="23"/>
        <v>0</v>
      </c>
      <c r="S40" s="165">
        <f t="shared" si="24"/>
        <v>0</v>
      </c>
      <c r="T40" s="281">
        <f>IF('7. WAMKK'!C40=0,0,+S40/'7. WAMKK'!C40)</f>
        <v>0</v>
      </c>
      <c r="U40" s="120"/>
      <c r="V40" s="195">
        <f t="shared" si="16"/>
        <v>0</v>
      </c>
    </row>
    <row r="41" spans="1:22" s="42" customFormat="1" ht="12.75" customHeight="1" x14ac:dyDescent="0.25">
      <c r="A41" s="38" t="s">
        <v>37</v>
      </c>
      <c r="B41" s="39" t="s">
        <v>38</v>
      </c>
      <c r="C41" s="275">
        <f>SUM(C42:C47)</f>
        <v>50000</v>
      </c>
      <c r="D41" s="275">
        <f t="shared" ref="D41:F41" si="36">SUM(D42:D47)</f>
        <v>50000</v>
      </c>
      <c r="E41" s="275">
        <f t="shared" si="36"/>
        <v>50000</v>
      </c>
      <c r="F41" s="275">
        <f t="shared" si="36"/>
        <v>0</v>
      </c>
      <c r="G41" s="555"/>
      <c r="H41" s="275">
        <f>SUM(H42:H47)</f>
        <v>18788</v>
      </c>
      <c r="I41" s="275">
        <f>SUM(I42:I47)</f>
        <v>30582</v>
      </c>
      <c r="J41" s="555"/>
      <c r="K41" s="555"/>
      <c r="L41" s="604">
        <f t="shared" si="33"/>
        <v>0.37575999999999998</v>
      </c>
      <c r="M41" s="604">
        <f t="shared" si="34"/>
        <v>0.61163999999999996</v>
      </c>
      <c r="N41" s="604">
        <f t="shared" si="35"/>
        <v>0</v>
      </c>
      <c r="O41" s="555"/>
      <c r="P41" s="555">
        <f t="shared" si="21"/>
        <v>0</v>
      </c>
      <c r="Q41" s="555">
        <f t="shared" si="22"/>
        <v>0</v>
      </c>
      <c r="R41" s="555">
        <f t="shared" si="23"/>
        <v>0</v>
      </c>
      <c r="S41" s="555">
        <f t="shared" si="24"/>
        <v>0</v>
      </c>
      <c r="T41" s="281">
        <f>IF('7. WAMKK'!C41=0,0,+S41/'7. WAMKK'!C41)</f>
        <v>0</v>
      </c>
      <c r="U41" s="121"/>
      <c r="V41" s="556">
        <f t="shared" si="16"/>
        <v>0</v>
      </c>
    </row>
    <row r="42" spans="1:22" ht="12.75" customHeight="1" x14ac:dyDescent="0.25">
      <c r="A42" s="14" t="s">
        <v>39</v>
      </c>
      <c r="B42" s="20" t="s">
        <v>40</v>
      </c>
      <c r="C42" s="165">
        <v>0</v>
      </c>
      <c r="D42" s="165">
        <v>0</v>
      </c>
      <c r="E42" s="165">
        <v>0</v>
      </c>
      <c r="F42" s="165"/>
      <c r="G42" s="165"/>
      <c r="H42" s="165">
        <v>0</v>
      </c>
      <c r="I42" s="165">
        <v>0</v>
      </c>
      <c r="J42" s="165"/>
      <c r="K42" s="165"/>
      <c r="L42" s="603">
        <f t="shared" si="33"/>
        <v>0</v>
      </c>
      <c r="M42" s="603">
        <f t="shared" si="34"/>
        <v>0</v>
      </c>
      <c r="N42" s="603">
        <f t="shared" si="35"/>
        <v>0</v>
      </c>
      <c r="O42" s="165"/>
      <c r="P42" s="165">
        <f t="shared" si="21"/>
        <v>0</v>
      </c>
      <c r="Q42" s="165">
        <f t="shared" si="22"/>
        <v>0</v>
      </c>
      <c r="R42" s="165">
        <f t="shared" si="23"/>
        <v>0</v>
      </c>
      <c r="S42" s="165">
        <f t="shared" si="24"/>
        <v>0</v>
      </c>
      <c r="T42" s="281">
        <f>IF('7. WAMKK'!C42=0,0,+S42/'7. WAMKK'!C42)</f>
        <v>0</v>
      </c>
      <c r="U42" s="120"/>
      <c r="V42" s="195">
        <f t="shared" si="16"/>
        <v>0</v>
      </c>
    </row>
    <row r="43" spans="1:22" ht="25.5" customHeight="1" x14ac:dyDescent="0.25">
      <c r="A43" s="14"/>
      <c r="B43" s="20" t="s">
        <v>41</v>
      </c>
      <c r="C43" s="165"/>
      <c r="D43" s="165"/>
      <c r="E43" s="165"/>
      <c r="F43" s="165"/>
      <c r="G43" s="165"/>
      <c r="H43" s="165"/>
      <c r="I43" s="165"/>
      <c r="J43" s="165"/>
      <c r="K43" s="165"/>
      <c r="L43" s="603">
        <f t="shared" ref="L43:L50" si="37">IF(H43&gt;0,H43/C43,0)</f>
        <v>0</v>
      </c>
      <c r="M43" s="603">
        <f t="shared" ref="M43:M50" si="38">IF(I43&gt;0,I43/D43,0)</f>
        <v>0</v>
      </c>
      <c r="N43" s="603">
        <f t="shared" ref="N43:N50" si="39">IF(J43&gt;0,J43/E43,0)</f>
        <v>0</v>
      </c>
      <c r="O43" s="165"/>
      <c r="P43" s="165">
        <f t="shared" si="21"/>
        <v>0</v>
      </c>
      <c r="Q43" s="165">
        <f t="shared" si="22"/>
        <v>0</v>
      </c>
      <c r="R43" s="165">
        <f t="shared" si="23"/>
        <v>0</v>
      </c>
      <c r="S43" s="165">
        <f t="shared" si="24"/>
        <v>0</v>
      </c>
      <c r="T43" s="281">
        <f>IF('7. WAMKK'!C43=0,0,+S43/'7. WAMKK'!C43)</f>
        <v>0</v>
      </c>
      <c r="U43" s="120"/>
      <c r="V43" s="195">
        <f t="shared" si="16"/>
        <v>0</v>
      </c>
    </row>
    <row r="44" spans="1:22" ht="12.75" customHeight="1" x14ac:dyDescent="0.25">
      <c r="A44" s="14"/>
      <c r="B44" s="20" t="s">
        <v>42</v>
      </c>
      <c r="C44" s="165"/>
      <c r="D44" s="165"/>
      <c r="E44" s="165"/>
      <c r="F44" s="165"/>
      <c r="G44" s="165"/>
      <c r="H44" s="165"/>
      <c r="I44" s="165"/>
      <c r="J44" s="165"/>
      <c r="K44" s="165"/>
      <c r="L44" s="603">
        <f t="shared" si="37"/>
        <v>0</v>
      </c>
      <c r="M44" s="603">
        <f t="shared" si="38"/>
        <v>0</v>
      </c>
      <c r="N44" s="603">
        <f t="shared" si="39"/>
        <v>0</v>
      </c>
      <c r="O44" s="165"/>
      <c r="P44" s="165">
        <f t="shared" si="21"/>
        <v>0</v>
      </c>
      <c r="Q44" s="165">
        <f t="shared" si="22"/>
        <v>0</v>
      </c>
      <c r="R44" s="165">
        <f t="shared" si="23"/>
        <v>0</v>
      </c>
      <c r="S44" s="165">
        <f t="shared" si="24"/>
        <v>0</v>
      </c>
      <c r="T44" s="281">
        <f>IF('7. WAMKK'!C44=0,0,+S44/'7. WAMKK'!C44)</f>
        <v>0</v>
      </c>
      <c r="U44" s="120"/>
      <c r="V44" s="195">
        <f t="shared" si="16"/>
        <v>0</v>
      </c>
    </row>
    <row r="45" spans="1:22" ht="12.75" customHeight="1" x14ac:dyDescent="0.25">
      <c r="A45" s="14"/>
      <c r="B45" s="20" t="s">
        <v>43</v>
      </c>
      <c r="C45" s="165"/>
      <c r="D45" s="165"/>
      <c r="E45" s="165"/>
      <c r="F45" s="165"/>
      <c r="G45" s="165"/>
      <c r="H45" s="165"/>
      <c r="I45" s="165"/>
      <c r="J45" s="165"/>
      <c r="K45" s="165"/>
      <c r="L45" s="603">
        <f t="shared" si="37"/>
        <v>0</v>
      </c>
      <c r="M45" s="603">
        <f t="shared" si="38"/>
        <v>0</v>
      </c>
      <c r="N45" s="603">
        <f t="shared" si="39"/>
        <v>0</v>
      </c>
      <c r="O45" s="165"/>
      <c r="P45" s="165">
        <f t="shared" si="21"/>
        <v>0</v>
      </c>
      <c r="Q45" s="165">
        <f t="shared" si="22"/>
        <v>0</v>
      </c>
      <c r="R45" s="165">
        <f t="shared" si="23"/>
        <v>0</v>
      </c>
      <c r="S45" s="165">
        <f t="shared" si="24"/>
        <v>0</v>
      </c>
      <c r="T45" s="281">
        <f>IF('7. WAMKK'!C45=0,0,+S45/'7. WAMKK'!C45)</f>
        <v>0</v>
      </c>
      <c r="U45" s="120"/>
      <c r="V45" s="195">
        <f t="shared" si="16"/>
        <v>0</v>
      </c>
    </row>
    <row r="46" spans="1:22" ht="12.75" customHeight="1" x14ac:dyDescent="0.25">
      <c r="A46" s="14" t="s">
        <v>44</v>
      </c>
      <c r="B46" s="20" t="s">
        <v>45</v>
      </c>
      <c r="C46" s="165">
        <v>50000</v>
      </c>
      <c r="D46" s="165">
        <v>50000</v>
      </c>
      <c r="E46" s="165">
        <v>50000</v>
      </c>
      <c r="F46" s="165"/>
      <c r="G46" s="165"/>
      <c r="H46" s="165">
        <v>18788</v>
      </c>
      <c r="I46" s="165">
        <v>30582</v>
      </c>
      <c r="J46" s="165"/>
      <c r="K46" s="165"/>
      <c r="L46" s="603">
        <f t="shared" si="37"/>
        <v>0.37575999999999998</v>
      </c>
      <c r="M46" s="603">
        <f t="shared" si="38"/>
        <v>0.61163999999999996</v>
      </c>
      <c r="N46" s="603">
        <f t="shared" si="39"/>
        <v>0</v>
      </c>
      <c r="O46" s="165"/>
      <c r="P46" s="165">
        <f t="shared" si="21"/>
        <v>0</v>
      </c>
      <c r="Q46" s="165">
        <f t="shared" si="22"/>
        <v>0</v>
      </c>
      <c r="R46" s="165">
        <f t="shared" si="23"/>
        <v>0</v>
      </c>
      <c r="S46" s="165">
        <f t="shared" si="24"/>
        <v>0</v>
      </c>
      <c r="T46" s="281">
        <f>IF('7. WAMKK'!C46=0,0,+S46/'7. WAMKK'!C46)</f>
        <v>0</v>
      </c>
      <c r="U46" s="120"/>
      <c r="V46" s="195">
        <f t="shared" si="16"/>
        <v>0</v>
      </c>
    </row>
    <row r="47" spans="1:22" ht="12.75" customHeight="1" x14ac:dyDescent="0.25">
      <c r="A47" s="14"/>
      <c r="B47" s="20" t="s">
        <v>46</v>
      </c>
      <c r="C47" s="165"/>
      <c r="D47" s="165"/>
      <c r="E47" s="165"/>
      <c r="F47" s="165"/>
      <c r="G47" s="165"/>
      <c r="H47" s="165"/>
      <c r="I47" s="165"/>
      <c r="J47" s="165"/>
      <c r="K47" s="165"/>
      <c r="L47" s="603">
        <f t="shared" si="37"/>
        <v>0</v>
      </c>
      <c r="M47" s="603">
        <f t="shared" si="38"/>
        <v>0</v>
      </c>
      <c r="N47" s="603">
        <f t="shared" si="39"/>
        <v>0</v>
      </c>
      <c r="O47" s="165"/>
      <c r="P47" s="165">
        <f t="shared" si="21"/>
        <v>0</v>
      </c>
      <c r="Q47" s="165">
        <f t="shared" si="22"/>
        <v>0</v>
      </c>
      <c r="R47" s="165">
        <f t="shared" si="23"/>
        <v>0</v>
      </c>
      <c r="S47" s="165">
        <f t="shared" si="24"/>
        <v>0</v>
      </c>
      <c r="T47" s="281">
        <f>IF('7. WAMKK'!C47=0,0,+S47/'7. WAMKK'!C47)</f>
        <v>0</v>
      </c>
      <c r="U47" s="120"/>
      <c r="V47" s="195">
        <f t="shared" si="16"/>
        <v>0</v>
      </c>
    </row>
    <row r="48" spans="1:22" s="42" customFormat="1" ht="12.75" customHeight="1" x14ac:dyDescent="0.25">
      <c r="A48" s="38" t="s">
        <v>47</v>
      </c>
      <c r="B48" s="39" t="s">
        <v>48</v>
      </c>
      <c r="C48" s="275">
        <f>SUM(C49:C65)</f>
        <v>3200000</v>
      </c>
      <c r="D48" s="275">
        <f t="shared" ref="D48:F48" si="40">SUM(D49:D65)</f>
        <v>3405000</v>
      </c>
      <c r="E48" s="275">
        <f t="shared" si="40"/>
        <v>3605000</v>
      </c>
      <c r="F48" s="275">
        <f t="shared" si="40"/>
        <v>0</v>
      </c>
      <c r="G48" s="555"/>
      <c r="H48" s="275">
        <f>SUM(H49:H65)</f>
        <v>1741954</v>
      </c>
      <c r="I48" s="275">
        <f>SUM(I49:I65)</f>
        <v>2537486</v>
      </c>
      <c r="J48" s="555"/>
      <c r="K48" s="555"/>
      <c r="L48" s="611">
        <f t="shared" si="37"/>
        <v>0.54436062500000004</v>
      </c>
      <c r="M48" s="611">
        <f t="shared" si="38"/>
        <v>0.74522349486049921</v>
      </c>
      <c r="N48" s="611">
        <f t="shared" si="39"/>
        <v>0</v>
      </c>
      <c r="O48" s="555"/>
      <c r="P48" s="555">
        <f t="shared" ref="P48:R48" si="41">SUM(P49:P65)</f>
        <v>205000</v>
      </c>
      <c r="Q48" s="555">
        <f t="shared" si="41"/>
        <v>200000</v>
      </c>
      <c r="R48" s="555">
        <f t="shared" si="41"/>
        <v>0</v>
      </c>
      <c r="S48" s="555">
        <f t="shared" si="24"/>
        <v>405000</v>
      </c>
      <c r="T48" s="281">
        <f>IF('7. WAMKK'!C48=0,0,+S48/'7. WAMKK'!C48)</f>
        <v>2.7711255559356825E-2</v>
      </c>
      <c r="U48" s="121"/>
      <c r="V48" s="556">
        <f t="shared" si="16"/>
        <v>0</v>
      </c>
    </row>
    <row r="49" spans="1:22" ht="12.75" customHeight="1" x14ac:dyDescent="0.25">
      <c r="A49" s="14" t="s">
        <v>49</v>
      </c>
      <c r="B49" s="20" t="s">
        <v>50</v>
      </c>
      <c r="C49" s="165">
        <v>600000</v>
      </c>
      <c r="D49" s="165">
        <v>805000</v>
      </c>
      <c r="E49" s="165">
        <v>1005000</v>
      </c>
      <c r="F49" s="165"/>
      <c r="G49" s="165"/>
      <c r="H49" s="165">
        <v>609397</v>
      </c>
      <c r="I49" s="165">
        <v>813870</v>
      </c>
      <c r="J49" s="165"/>
      <c r="K49" s="165"/>
      <c r="L49" s="603">
        <f t="shared" si="37"/>
        <v>1.0156616666666667</v>
      </c>
      <c r="M49" s="603">
        <f t="shared" si="38"/>
        <v>1.0110186335403726</v>
      </c>
      <c r="N49" s="603">
        <f t="shared" si="39"/>
        <v>0</v>
      </c>
      <c r="O49" s="165"/>
      <c r="P49" s="165">
        <f t="shared" si="21"/>
        <v>205000</v>
      </c>
      <c r="Q49" s="165">
        <f t="shared" si="22"/>
        <v>200000</v>
      </c>
      <c r="R49" s="165">
        <f t="shared" si="23"/>
        <v>0</v>
      </c>
      <c r="S49" s="165">
        <f t="shared" si="24"/>
        <v>405000</v>
      </c>
      <c r="T49" s="281">
        <f>IF('7. WAMKK'!C49=0,0,+S49/'7. WAMKK'!C49)</f>
        <v>0.17608695652173914</v>
      </c>
      <c r="U49" s="120"/>
      <c r="V49" s="195">
        <f t="shared" si="16"/>
        <v>0</v>
      </c>
    </row>
    <row r="50" spans="1:22" ht="12.75" customHeight="1" x14ac:dyDescent="0.25">
      <c r="A50" s="14" t="s">
        <v>103</v>
      </c>
      <c r="B50" s="20" t="s">
        <v>97</v>
      </c>
      <c r="C50" s="165"/>
      <c r="D50" s="165"/>
      <c r="E50" s="165"/>
      <c r="F50" s="165"/>
      <c r="G50" s="165"/>
      <c r="H50" s="165"/>
      <c r="I50" s="165"/>
      <c r="J50" s="165"/>
      <c r="K50" s="165"/>
      <c r="L50" s="603">
        <f t="shared" si="37"/>
        <v>0</v>
      </c>
      <c r="M50" s="603">
        <f t="shared" si="38"/>
        <v>0</v>
      </c>
      <c r="N50" s="603">
        <f t="shared" si="39"/>
        <v>0</v>
      </c>
      <c r="O50" s="165"/>
      <c r="P50" s="165">
        <f t="shared" si="21"/>
        <v>0</v>
      </c>
      <c r="Q50" s="165">
        <f t="shared" si="22"/>
        <v>0</v>
      </c>
      <c r="R50" s="165">
        <f t="shared" si="23"/>
        <v>0</v>
      </c>
      <c r="S50" s="165">
        <f t="shared" si="24"/>
        <v>0</v>
      </c>
      <c r="T50" s="281">
        <f>IF('7. WAMKK'!C50=0,0,+S50/'7. WAMKK'!C50)</f>
        <v>0</v>
      </c>
      <c r="U50" s="120"/>
      <c r="V50" s="195">
        <f t="shared" si="16"/>
        <v>0</v>
      </c>
    </row>
    <row r="51" spans="1:22" ht="12.75" customHeight="1" x14ac:dyDescent="0.25">
      <c r="A51" s="14"/>
      <c r="B51" s="20" t="s">
        <v>98</v>
      </c>
      <c r="C51" s="165"/>
      <c r="D51" s="165"/>
      <c r="E51" s="165"/>
      <c r="F51" s="165"/>
      <c r="G51" s="165"/>
      <c r="H51" s="165"/>
      <c r="I51" s="165"/>
      <c r="J51" s="165"/>
      <c r="K51" s="165"/>
      <c r="L51" s="603">
        <f t="shared" ref="L51:L65" si="42">IF(H51&gt;0,H51/C51,0)</f>
        <v>0</v>
      </c>
      <c r="M51" s="603">
        <f t="shared" ref="M51:M65" si="43">IF(I51&gt;0,I51/D51,0)</f>
        <v>0</v>
      </c>
      <c r="N51" s="603">
        <f t="shared" ref="N51:N65" si="44">IF(J51&gt;0,J51/E51,0)</f>
        <v>0</v>
      </c>
      <c r="O51" s="165"/>
      <c r="P51" s="165">
        <f t="shared" si="21"/>
        <v>0</v>
      </c>
      <c r="Q51" s="165">
        <f t="shared" si="22"/>
        <v>0</v>
      </c>
      <c r="R51" s="165">
        <f t="shared" si="23"/>
        <v>0</v>
      </c>
      <c r="S51" s="165">
        <f t="shared" si="24"/>
        <v>0</v>
      </c>
      <c r="T51" s="281">
        <f>IF('7. WAMKK'!C51=0,0,+S51/'7. WAMKK'!C51)</f>
        <v>0</v>
      </c>
      <c r="U51" s="120"/>
      <c r="V51" s="195">
        <f t="shared" si="16"/>
        <v>0</v>
      </c>
    </row>
    <row r="52" spans="1:22" ht="12.75" customHeight="1" x14ac:dyDescent="0.25">
      <c r="A52" s="14"/>
      <c r="B52" s="20" t="s">
        <v>99</v>
      </c>
      <c r="C52" s="165"/>
      <c r="D52" s="165"/>
      <c r="E52" s="165"/>
      <c r="F52" s="165"/>
      <c r="G52" s="165"/>
      <c r="H52" s="165"/>
      <c r="I52" s="165"/>
      <c r="J52" s="165"/>
      <c r="K52" s="165"/>
      <c r="L52" s="603">
        <f t="shared" si="42"/>
        <v>0</v>
      </c>
      <c r="M52" s="603">
        <f t="shared" si="43"/>
        <v>0</v>
      </c>
      <c r="N52" s="603">
        <f t="shared" si="44"/>
        <v>0</v>
      </c>
      <c r="O52" s="165"/>
      <c r="P52" s="165">
        <f t="shared" si="21"/>
        <v>0</v>
      </c>
      <c r="Q52" s="165">
        <f t="shared" si="22"/>
        <v>0</v>
      </c>
      <c r="R52" s="165">
        <f t="shared" si="23"/>
        <v>0</v>
      </c>
      <c r="S52" s="165">
        <f t="shared" si="24"/>
        <v>0</v>
      </c>
      <c r="T52" s="281">
        <f>IF('7. WAMKK'!C52=0,0,+S52/'7. WAMKK'!C52)</f>
        <v>0</v>
      </c>
      <c r="U52" s="120"/>
      <c r="V52" s="195">
        <f t="shared" si="16"/>
        <v>0</v>
      </c>
    </row>
    <row r="53" spans="1:22" ht="12.75" customHeight="1" x14ac:dyDescent="0.25">
      <c r="A53" s="14" t="s">
        <v>51</v>
      </c>
      <c r="B53" s="20" t="s">
        <v>52</v>
      </c>
      <c r="C53" s="165"/>
      <c r="D53" s="165"/>
      <c r="E53" s="165"/>
      <c r="F53" s="165"/>
      <c r="G53" s="165"/>
      <c r="H53" s="165"/>
      <c r="I53" s="165"/>
      <c r="J53" s="165"/>
      <c r="K53" s="165"/>
      <c r="L53" s="603">
        <f t="shared" si="42"/>
        <v>0</v>
      </c>
      <c r="M53" s="603">
        <f t="shared" si="43"/>
        <v>0</v>
      </c>
      <c r="N53" s="603">
        <f t="shared" si="44"/>
        <v>0</v>
      </c>
      <c r="O53" s="165"/>
      <c r="P53" s="165">
        <f t="shared" si="21"/>
        <v>0</v>
      </c>
      <c r="Q53" s="165">
        <f t="shared" si="22"/>
        <v>0</v>
      </c>
      <c r="R53" s="165">
        <f t="shared" si="23"/>
        <v>0</v>
      </c>
      <c r="S53" s="165">
        <f t="shared" si="24"/>
        <v>0</v>
      </c>
      <c r="T53" s="281">
        <f>IF('7. WAMKK'!C53=0,0,+S53/'7. WAMKK'!C53)</f>
        <v>0</v>
      </c>
      <c r="U53" s="120"/>
      <c r="V53" s="195">
        <f t="shared" si="16"/>
        <v>0</v>
      </c>
    </row>
    <row r="54" spans="1:22" ht="12.75" customHeight="1" x14ac:dyDescent="0.25">
      <c r="A54" s="14"/>
      <c r="B54" s="20" t="s">
        <v>90</v>
      </c>
      <c r="C54" s="165"/>
      <c r="D54" s="165"/>
      <c r="E54" s="165"/>
      <c r="F54" s="165"/>
      <c r="G54" s="165"/>
      <c r="H54" s="165"/>
      <c r="I54" s="165"/>
      <c r="J54" s="165"/>
      <c r="K54" s="165"/>
      <c r="L54" s="603">
        <f t="shared" si="42"/>
        <v>0</v>
      </c>
      <c r="M54" s="603">
        <f t="shared" si="43"/>
        <v>0</v>
      </c>
      <c r="N54" s="603">
        <f t="shared" si="44"/>
        <v>0</v>
      </c>
      <c r="O54" s="165"/>
      <c r="P54" s="165">
        <f t="shared" si="21"/>
        <v>0</v>
      </c>
      <c r="Q54" s="165">
        <f t="shared" si="22"/>
        <v>0</v>
      </c>
      <c r="R54" s="165">
        <f t="shared" si="23"/>
        <v>0</v>
      </c>
      <c r="S54" s="165">
        <f t="shared" si="24"/>
        <v>0</v>
      </c>
      <c r="T54" s="281">
        <f>IF('7. WAMKK'!C54=0,0,+S54/'7. WAMKK'!C54)</f>
        <v>0</v>
      </c>
      <c r="U54" s="120"/>
      <c r="V54" s="195">
        <f t="shared" si="16"/>
        <v>0</v>
      </c>
    </row>
    <row r="55" spans="1:22" ht="12.75" customHeight="1" x14ac:dyDescent="0.25">
      <c r="A55" s="14"/>
      <c r="B55" s="20" t="s">
        <v>53</v>
      </c>
      <c r="C55" s="165"/>
      <c r="D55" s="165"/>
      <c r="E55" s="165"/>
      <c r="F55" s="165"/>
      <c r="G55" s="165"/>
      <c r="H55" s="165"/>
      <c r="I55" s="165"/>
      <c r="J55" s="165"/>
      <c r="K55" s="165"/>
      <c r="L55" s="603">
        <f t="shared" si="42"/>
        <v>0</v>
      </c>
      <c r="M55" s="603">
        <f t="shared" si="43"/>
        <v>0</v>
      </c>
      <c r="N55" s="603">
        <f t="shared" si="44"/>
        <v>0</v>
      </c>
      <c r="O55" s="165"/>
      <c r="P55" s="165">
        <f t="shared" si="21"/>
        <v>0</v>
      </c>
      <c r="Q55" s="165">
        <f t="shared" si="22"/>
        <v>0</v>
      </c>
      <c r="R55" s="165">
        <f t="shared" si="23"/>
        <v>0</v>
      </c>
      <c r="S55" s="165">
        <f t="shared" si="24"/>
        <v>0</v>
      </c>
      <c r="T55" s="281">
        <f>IF('7. WAMKK'!C55=0,0,+S55/'7. WAMKK'!C55)</f>
        <v>0</v>
      </c>
      <c r="U55" s="120"/>
      <c r="V55" s="195">
        <f t="shared" si="16"/>
        <v>0</v>
      </c>
    </row>
    <row r="56" spans="1:22" ht="12.75" customHeight="1" x14ac:dyDescent="0.25">
      <c r="A56" s="14" t="s">
        <v>54</v>
      </c>
      <c r="B56" s="20" t="s">
        <v>55</v>
      </c>
      <c r="C56" s="165"/>
      <c r="D56" s="165"/>
      <c r="E56" s="165"/>
      <c r="F56" s="165"/>
      <c r="G56" s="165"/>
      <c r="H56" s="165"/>
      <c r="I56" s="165"/>
      <c r="J56" s="165"/>
      <c r="K56" s="165"/>
      <c r="L56" s="603">
        <f t="shared" si="42"/>
        <v>0</v>
      </c>
      <c r="M56" s="603">
        <f t="shared" si="43"/>
        <v>0</v>
      </c>
      <c r="N56" s="603">
        <f t="shared" si="44"/>
        <v>0</v>
      </c>
      <c r="O56" s="165"/>
      <c r="P56" s="165">
        <f t="shared" si="21"/>
        <v>0</v>
      </c>
      <c r="Q56" s="165">
        <f t="shared" si="22"/>
        <v>0</v>
      </c>
      <c r="R56" s="165">
        <f t="shared" si="23"/>
        <v>0</v>
      </c>
      <c r="S56" s="165">
        <f t="shared" si="24"/>
        <v>0</v>
      </c>
      <c r="T56" s="281">
        <f>IF('7. WAMKK'!C56=0,0,+S56/'7. WAMKK'!C56)</f>
        <v>0</v>
      </c>
      <c r="U56" s="120"/>
      <c r="V56" s="195">
        <f t="shared" si="16"/>
        <v>0</v>
      </c>
    </row>
    <row r="57" spans="1:22" ht="12.75" customHeight="1" x14ac:dyDescent="0.25">
      <c r="A57" s="14"/>
      <c r="B57" s="20" t="s">
        <v>56</v>
      </c>
      <c r="C57" s="165"/>
      <c r="D57" s="165"/>
      <c r="E57" s="165"/>
      <c r="F57" s="165"/>
      <c r="G57" s="165"/>
      <c r="H57" s="165"/>
      <c r="I57" s="165"/>
      <c r="J57" s="165"/>
      <c r="K57" s="165"/>
      <c r="L57" s="603">
        <f t="shared" si="42"/>
        <v>0</v>
      </c>
      <c r="M57" s="603">
        <f t="shared" si="43"/>
        <v>0</v>
      </c>
      <c r="N57" s="603">
        <f t="shared" si="44"/>
        <v>0</v>
      </c>
      <c r="O57" s="165"/>
      <c r="P57" s="165">
        <f t="shared" si="21"/>
        <v>0</v>
      </c>
      <c r="Q57" s="165">
        <f t="shared" si="22"/>
        <v>0</v>
      </c>
      <c r="R57" s="165">
        <f t="shared" si="23"/>
        <v>0</v>
      </c>
      <c r="S57" s="165">
        <f t="shared" si="24"/>
        <v>0</v>
      </c>
      <c r="T57" s="281">
        <f>IF('7. WAMKK'!C57=0,0,+S57/'7. WAMKK'!C57)</f>
        <v>0</v>
      </c>
      <c r="U57" s="120"/>
      <c r="V57" s="195">
        <f t="shared" si="16"/>
        <v>0</v>
      </c>
    </row>
    <row r="58" spans="1:22" ht="12.75" customHeight="1" x14ac:dyDescent="0.25">
      <c r="A58" s="14" t="s">
        <v>57</v>
      </c>
      <c r="B58" s="20" t="s">
        <v>91</v>
      </c>
      <c r="C58" s="165">
        <v>800000</v>
      </c>
      <c r="D58" s="165">
        <v>800000</v>
      </c>
      <c r="E58" s="165">
        <v>800000</v>
      </c>
      <c r="F58" s="165"/>
      <c r="G58" s="165"/>
      <c r="H58" s="165">
        <v>183660</v>
      </c>
      <c r="I58" s="165">
        <v>521262</v>
      </c>
      <c r="J58" s="165"/>
      <c r="K58" s="165"/>
      <c r="L58" s="603">
        <f t="shared" si="42"/>
        <v>0.229575</v>
      </c>
      <c r="M58" s="603">
        <f t="shared" si="43"/>
        <v>0.65157750000000003</v>
      </c>
      <c r="N58" s="603">
        <f t="shared" si="44"/>
        <v>0</v>
      </c>
      <c r="O58" s="165"/>
      <c r="P58" s="165">
        <f t="shared" si="21"/>
        <v>0</v>
      </c>
      <c r="Q58" s="165">
        <f t="shared" si="22"/>
        <v>0</v>
      </c>
      <c r="R58" s="165">
        <f t="shared" si="23"/>
        <v>0</v>
      </c>
      <c r="S58" s="165">
        <f t="shared" si="24"/>
        <v>0</v>
      </c>
      <c r="T58" s="281">
        <f>IF('7. WAMKK'!C58=0,0,+S58/'7. WAMKK'!C58)</f>
        <v>0</v>
      </c>
      <c r="U58" s="120"/>
      <c r="V58" s="195">
        <f t="shared" si="16"/>
        <v>0</v>
      </c>
    </row>
    <row r="59" spans="1:22" ht="12.75" customHeight="1" x14ac:dyDescent="0.25">
      <c r="A59" s="14"/>
      <c r="B59" s="20" t="s">
        <v>58</v>
      </c>
      <c r="C59" s="313"/>
      <c r="D59" s="313"/>
      <c r="E59" s="165"/>
      <c r="F59" s="165"/>
      <c r="G59" s="165"/>
      <c r="H59" s="165"/>
      <c r="I59" s="165"/>
      <c r="J59" s="165"/>
      <c r="K59" s="165"/>
      <c r="L59" s="603">
        <f t="shared" si="42"/>
        <v>0</v>
      </c>
      <c r="M59" s="603">
        <f t="shared" si="43"/>
        <v>0</v>
      </c>
      <c r="N59" s="603">
        <f t="shared" si="44"/>
        <v>0</v>
      </c>
      <c r="O59" s="165"/>
      <c r="P59" s="165">
        <f t="shared" si="21"/>
        <v>0</v>
      </c>
      <c r="Q59" s="165">
        <f t="shared" si="22"/>
        <v>0</v>
      </c>
      <c r="R59" s="165">
        <f t="shared" si="23"/>
        <v>0</v>
      </c>
      <c r="S59" s="165">
        <f t="shared" si="24"/>
        <v>0</v>
      </c>
      <c r="T59" s="281">
        <f>IF('7. WAMKK'!C59=0,0,+S59/'7. WAMKK'!C59)</f>
        <v>0</v>
      </c>
      <c r="U59" s="120"/>
      <c r="V59" s="195">
        <f t="shared" si="16"/>
        <v>0</v>
      </c>
    </row>
    <row r="60" spans="1:22" ht="12.75" customHeight="1" x14ac:dyDescent="0.25">
      <c r="A60" s="14" t="s">
        <v>59</v>
      </c>
      <c r="B60" s="20" t="s">
        <v>60</v>
      </c>
      <c r="C60" s="165"/>
      <c r="D60" s="165"/>
      <c r="E60" s="165"/>
      <c r="F60" s="165"/>
      <c r="G60" s="165"/>
      <c r="H60" s="165"/>
      <c r="I60" s="165"/>
      <c r="J60" s="165"/>
      <c r="K60" s="165"/>
      <c r="L60" s="603">
        <f t="shared" si="42"/>
        <v>0</v>
      </c>
      <c r="M60" s="603">
        <f t="shared" si="43"/>
        <v>0</v>
      </c>
      <c r="N60" s="603">
        <f t="shared" si="44"/>
        <v>0</v>
      </c>
      <c r="O60" s="165"/>
      <c r="P60" s="165">
        <f t="shared" si="21"/>
        <v>0</v>
      </c>
      <c r="Q60" s="165">
        <f t="shared" si="22"/>
        <v>0</v>
      </c>
      <c r="R60" s="165">
        <f t="shared" si="23"/>
        <v>0</v>
      </c>
      <c r="S60" s="165">
        <f t="shared" si="24"/>
        <v>0</v>
      </c>
      <c r="T60" s="281">
        <f>IF('7. WAMKK'!C60=0,0,+S60/'7. WAMKK'!C60)</f>
        <v>0</v>
      </c>
      <c r="U60" s="120"/>
      <c r="V60" s="195">
        <f t="shared" si="16"/>
        <v>0</v>
      </c>
    </row>
    <row r="61" spans="1:22" ht="24.75" customHeight="1" x14ac:dyDescent="0.25">
      <c r="A61" s="20"/>
      <c r="B61" s="20" t="s">
        <v>61</v>
      </c>
      <c r="C61" s="165"/>
      <c r="D61" s="165"/>
      <c r="E61" s="165"/>
      <c r="F61" s="165"/>
      <c r="G61" s="165"/>
      <c r="H61" s="165"/>
      <c r="I61" s="165"/>
      <c r="J61" s="165"/>
      <c r="K61" s="165"/>
      <c r="L61" s="603">
        <f t="shared" si="42"/>
        <v>0</v>
      </c>
      <c r="M61" s="603">
        <f t="shared" si="43"/>
        <v>0</v>
      </c>
      <c r="N61" s="603">
        <f t="shared" si="44"/>
        <v>0</v>
      </c>
      <c r="O61" s="165"/>
      <c r="P61" s="165">
        <f t="shared" si="21"/>
        <v>0</v>
      </c>
      <c r="Q61" s="165">
        <f t="shared" si="22"/>
        <v>0</v>
      </c>
      <c r="R61" s="165">
        <f t="shared" si="23"/>
        <v>0</v>
      </c>
      <c r="S61" s="165">
        <f t="shared" si="24"/>
        <v>0</v>
      </c>
      <c r="T61" s="281">
        <f>IF('7. WAMKK'!C61=0,0,+S61/'7. WAMKK'!C61)</f>
        <v>0</v>
      </c>
      <c r="U61" s="120"/>
      <c r="V61" s="195">
        <f t="shared" si="16"/>
        <v>0</v>
      </c>
    </row>
    <row r="62" spans="1:22" ht="12.75" customHeight="1" x14ac:dyDescent="0.25">
      <c r="A62" s="14" t="s">
        <v>62</v>
      </c>
      <c r="B62" s="482" t="s">
        <v>63</v>
      </c>
      <c r="C62" s="165">
        <v>300000</v>
      </c>
      <c r="D62" s="165">
        <v>300000</v>
      </c>
      <c r="E62" s="165">
        <v>300000</v>
      </c>
      <c r="F62" s="165"/>
      <c r="G62" s="165"/>
      <c r="H62" s="165">
        <v>50700</v>
      </c>
      <c r="I62" s="165">
        <v>50700</v>
      </c>
      <c r="J62" s="165"/>
      <c r="K62" s="165"/>
      <c r="L62" s="603">
        <f t="shared" si="42"/>
        <v>0.16900000000000001</v>
      </c>
      <c r="M62" s="603">
        <f t="shared" si="43"/>
        <v>0.16900000000000001</v>
      </c>
      <c r="N62" s="603">
        <f t="shared" si="44"/>
        <v>0</v>
      </c>
      <c r="O62" s="165"/>
      <c r="P62" s="165">
        <f t="shared" si="21"/>
        <v>0</v>
      </c>
      <c r="Q62" s="165">
        <f t="shared" si="22"/>
        <v>0</v>
      </c>
      <c r="R62" s="165">
        <f t="shared" si="23"/>
        <v>0</v>
      </c>
      <c r="S62" s="165">
        <f t="shared" si="24"/>
        <v>0</v>
      </c>
      <c r="T62" s="281">
        <f>IF('7. WAMKK'!C62=0,0,+S62/'7. WAMKK'!C62)</f>
        <v>0</v>
      </c>
      <c r="U62" s="120"/>
      <c r="V62" s="195">
        <f t="shared" si="16"/>
        <v>0</v>
      </c>
    </row>
    <row r="63" spans="1:22" ht="39.75" customHeight="1" x14ac:dyDescent="0.25">
      <c r="A63" s="14"/>
      <c r="B63" s="20" t="s">
        <v>102</v>
      </c>
      <c r="C63" s="165"/>
      <c r="D63" s="165"/>
      <c r="E63" s="165"/>
      <c r="F63" s="165"/>
      <c r="G63" s="165"/>
      <c r="H63" s="165"/>
      <c r="I63" s="165"/>
      <c r="J63" s="165"/>
      <c r="K63" s="165"/>
      <c r="L63" s="603">
        <f t="shared" si="42"/>
        <v>0</v>
      </c>
      <c r="M63" s="603">
        <f t="shared" si="43"/>
        <v>0</v>
      </c>
      <c r="N63" s="603">
        <f t="shared" si="44"/>
        <v>0</v>
      </c>
      <c r="O63" s="165"/>
      <c r="P63" s="165">
        <f t="shared" si="21"/>
        <v>0</v>
      </c>
      <c r="Q63" s="165">
        <f t="shared" si="22"/>
        <v>0</v>
      </c>
      <c r="R63" s="165">
        <f t="shared" si="23"/>
        <v>0</v>
      </c>
      <c r="S63" s="165">
        <f t="shared" si="24"/>
        <v>0</v>
      </c>
      <c r="T63" s="281">
        <f>IF('7. WAMKK'!C63=0,0,+S63/'7. WAMKK'!C63)</f>
        <v>0</v>
      </c>
      <c r="U63" s="120"/>
      <c r="V63" s="195">
        <f t="shared" si="16"/>
        <v>0</v>
      </c>
    </row>
    <row r="64" spans="1:22" ht="12.75" customHeight="1" x14ac:dyDescent="0.25">
      <c r="A64" s="14" t="s">
        <v>64</v>
      </c>
      <c r="B64" s="20" t="s">
        <v>65</v>
      </c>
      <c r="C64" s="165">
        <v>1500000</v>
      </c>
      <c r="D64" s="165">
        <v>1500000</v>
      </c>
      <c r="E64" s="165">
        <v>1500000</v>
      </c>
      <c r="F64" s="165"/>
      <c r="G64" s="165"/>
      <c r="H64" s="165">
        <v>898197</v>
      </c>
      <c r="I64" s="165">
        <v>1151654</v>
      </c>
      <c r="J64" s="165"/>
      <c r="K64" s="165"/>
      <c r="L64" s="603">
        <f t="shared" si="42"/>
        <v>0.59879800000000005</v>
      </c>
      <c r="M64" s="603">
        <f t="shared" si="43"/>
        <v>0.7677693333333333</v>
      </c>
      <c r="N64" s="603">
        <f t="shared" si="44"/>
        <v>0</v>
      </c>
      <c r="O64" s="165"/>
      <c r="P64" s="165">
        <f t="shared" si="21"/>
        <v>0</v>
      </c>
      <c r="Q64" s="165">
        <f t="shared" si="22"/>
        <v>0</v>
      </c>
      <c r="R64" s="165">
        <f t="shared" si="23"/>
        <v>0</v>
      </c>
      <c r="S64" s="165">
        <f t="shared" si="24"/>
        <v>0</v>
      </c>
      <c r="T64" s="281">
        <f>IF('7. WAMKK'!C64=0,0,+S64/'7. WAMKK'!C64)</f>
        <v>0</v>
      </c>
      <c r="U64" s="120"/>
      <c r="V64" s="195">
        <f t="shared" si="16"/>
        <v>0</v>
      </c>
    </row>
    <row r="65" spans="1:22" ht="39" customHeight="1" x14ac:dyDescent="0.25">
      <c r="A65" s="14"/>
      <c r="B65" s="20" t="s">
        <v>66</v>
      </c>
      <c r="C65" s="165"/>
      <c r="D65" s="165"/>
      <c r="E65" s="165"/>
      <c r="F65" s="165"/>
      <c r="G65" s="165"/>
      <c r="H65" s="165"/>
      <c r="I65" s="165"/>
      <c r="J65" s="165"/>
      <c r="K65" s="165"/>
      <c r="L65" s="603">
        <f t="shared" si="42"/>
        <v>0</v>
      </c>
      <c r="M65" s="603">
        <f t="shared" si="43"/>
        <v>0</v>
      </c>
      <c r="N65" s="603">
        <f t="shared" si="44"/>
        <v>0</v>
      </c>
      <c r="O65" s="165"/>
      <c r="P65" s="165">
        <f t="shared" si="21"/>
        <v>0</v>
      </c>
      <c r="Q65" s="165">
        <f t="shared" si="22"/>
        <v>0</v>
      </c>
      <c r="R65" s="165">
        <f t="shared" si="23"/>
        <v>0</v>
      </c>
      <c r="S65" s="165">
        <f t="shared" si="24"/>
        <v>0</v>
      </c>
      <c r="T65" s="281">
        <f>IF('7. WAMKK'!C65=0,0,+S65/'7. WAMKK'!C65)</f>
        <v>0</v>
      </c>
      <c r="U65" s="120"/>
      <c r="V65" s="195">
        <f t="shared" si="16"/>
        <v>0</v>
      </c>
    </row>
    <row r="66" spans="1:22" s="42" customFormat="1" ht="12.75" customHeight="1" x14ac:dyDescent="0.25">
      <c r="A66" s="38" t="s">
        <v>67</v>
      </c>
      <c r="B66" s="39" t="s">
        <v>68</v>
      </c>
      <c r="C66" s="275">
        <f>+C67+C69</f>
        <v>300000</v>
      </c>
      <c r="D66" s="275">
        <f t="shared" ref="D66:F66" si="45">+D67+D69</f>
        <v>300000</v>
      </c>
      <c r="E66" s="275">
        <f t="shared" si="45"/>
        <v>300000</v>
      </c>
      <c r="F66" s="275">
        <f t="shared" si="45"/>
        <v>0</v>
      </c>
      <c r="G66" s="555"/>
      <c r="H66" s="275">
        <f>+H67+H69</f>
        <v>139890</v>
      </c>
      <c r="I66" s="275">
        <f>+I67+I69</f>
        <v>199860</v>
      </c>
      <c r="J66" s="555"/>
      <c r="K66" s="555"/>
      <c r="L66" s="604">
        <f t="shared" ref="L66:L70" si="46">IF(H66&gt;0,H66/C66,0)</f>
        <v>0.46629999999999999</v>
      </c>
      <c r="M66" s="604">
        <f t="shared" ref="M66:M70" si="47">IF(I66&gt;0,I66/D66,0)</f>
        <v>0.66620000000000001</v>
      </c>
      <c r="N66" s="604">
        <f t="shared" ref="N66:N70" si="48">IF(J66&gt;0,J66/E66,0)</f>
        <v>0</v>
      </c>
      <c r="O66" s="555"/>
      <c r="P66" s="555">
        <f t="shared" ref="P66:R66" si="49">+P67+P69</f>
        <v>0</v>
      </c>
      <c r="Q66" s="555">
        <f t="shared" si="49"/>
        <v>0</v>
      </c>
      <c r="R66" s="555">
        <f t="shared" si="49"/>
        <v>0</v>
      </c>
      <c r="S66" s="555">
        <f t="shared" si="24"/>
        <v>0</v>
      </c>
      <c r="T66" s="281">
        <f>IF('7. WAMKK'!C66=0,0,+S66/'7. WAMKK'!C66)</f>
        <v>0</v>
      </c>
      <c r="U66" s="121"/>
      <c r="V66" s="556">
        <f t="shared" si="16"/>
        <v>0</v>
      </c>
    </row>
    <row r="67" spans="1:22" ht="12.75" customHeight="1" x14ac:dyDescent="0.25">
      <c r="A67" s="14" t="s">
        <v>69</v>
      </c>
      <c r="B67" s="20" t="s">
        <v>70</v>
      </c>
      <c r="C67" s="165">
        <v>300000</v>
      </c>
      <c r="D67" s="165">
        <v>300000</v>
      </c>
      <c r="E67" s="165">
        <v>300000</v>
      </c>
      <c r="F67" s="165"/>
      <c r="G67" s="165"/>
      <c r="H67" s="165">
        <v>139890</v>
      </c>
      <c r="I67" s="165">
        <v>199860</v>
      </c>
      <c r="J67" s="165"/>
      <c r="K67" s="165"/>
      <c r="L67" s="603">
        <f t="shared" si="46"/>
        <v>0.46629999999999999</v>
      </c>
      <c r="M67" s="603">
        <f t="shared" si="47"/>
        <v>0.66620000000000001</v>
      </c>
      <c r="N67" s="603">
        <f t="shared" si="48"/>
        <v>0</v>
      </c>
      <c r="O67" s="165"/>
      <c r="P67" s="165">
        <f t="shared" si="21"/>
        <v>0</v>
      </c>
      <c r="Q67" s="165">
        <f t="shared" si="22"/>
        <v>0</v>
      </c>
      <c r="R67" s="165">
        <f t="shared" si="23"/>
        <v>0</v>
      </c>
      <c r="S67" s="165">
        <f t="shared" si="24"/>
        <v>0</v>
      </c>
      <c r="T67" s="281">
        <f>IF('7. WAMKK'!C67=0,0,+S67/'7. WAMKK'!C67)</f>
        <v>0</v>
      </c>
      <c r="U67" s="120"/>
      <c r="V67" s="195">
        <f t="shared" si="16"/>
        <v>0</v>
      </c>
    </row>
    <row r="68" spans="1:22" ht="12.75" customHeight="1" x14ac:dyDescent="0.25">
      <c r="A68" s="14"/>
      <c r="B68" s="20" t="s">
        <v>71</v>
      </c>
      <c r="C68" s="165"/>
      <c r="D68" s="165"/>
      <c r="E68" s="165"/>
      <c r="F68" s="165"/>
      <c r="G68" s="165"/>
      <c r="H68" s="165"/>
      <c r="I68" s="165"/>
      <c r="J68" s="165"/>
      <c r="K68" s="165"/>
      <c r="L68" s="603">
        <f t="shared" si="46"/>
        <v>0</v>
      </c>
      <c r="M68" s="603">
        <f t="shared" si="47"/>
        <v>0</v>
      </c>
      <c r="N68" s="603">
        <f t="shared" si="48"/>
        <v>0</v>
      </c>
      <c r="O68" s="165"/>
      <c r="P68" s="165">
        <f t="shared" si="21"/>
        <v>0</v>
      </c>
      <c r="Q68" s="165">
        <f t="shared" si="22"/>
        <v>0</v>
      </c>
      <c r="R68" s="165">
        <f t="shared" si="23"/>
        <v>0</v>
      </c>
      <c r="S68" s="165">
        <f t="shared" si="24"/>
        <v>0</v>
      </c>
      <c r="T68" s="281">
        <f>IF('7. WAMKK'!C68=0,0,+S68/'7. WAMKK'!C68)</f>
        <v>0</v>
      </c>
      <c r="U68" s="120"/>
      <c r="V68" s="195">
        <f t="shared" si="16"/>
        <v>0</v>
      </c>
    </row>
    <row r="69" spans="1:22" ht="12.75" customHeight="1" x14ac:dyDescent="0.25">
      <c r="A69" s="14" t="s">
        <v>72</v>
      </c>
      <c r="B69" s="20" t="s">
        <v>100</v>
      </c>
      <c r="C69" s="165"/>
      <c r="D69" s="165"/>
      <c r="E69" s="165"/>
      <c r="F69" s="165"/>
      <c r="G69" s="165"/>
      <c r="H69" s="165"/>
      <c r="I69" s="165"/>
      <c r="J69" s="165"/>
      <c r="K69" s="165"/>
      <c r="L69" s="603">
        <f t="shared" si="46"/>
        <v>0</v>
      </c>
      <c r="M69" s="603">
        <f t="shared" si="47"/>
        <v>0</v>
      </c>
      <c r="N69" s="603">
        <f t="shared" si="48"/>
        <v>0</v>
      </c>
      <c r="O69" s="165"/>
      <c r="P69" s="165">
        <f t="shared" si="21"/>
        <v>0</v>
      </c>
      <c r="Q69" s="165">
        <f t="shared" si="22"/>
        <v>0</v>
      </c>
      <c r="R69" s="165">
        <f t="shared" si="23"/>
        <v>0</v>
      </c>
      <c r="S69" s="165">
        <f t="shared" si="24"/>
        <v>0</v>
      </c>
      <c r="T69" s="281">
        <f>IF('7. WAMKK'!C69=0,0,+S69/'7. WAMKK'!C69)</f>
        <v>0</v>
      </c>
      <c r="U69" s="120"/>
      <c r="V69" s="195">
        <f t="shared" si="16"/>
        <v>0</v>
      </c>
    </row>
    <row r="70" spans="1:22" ht="12.75" customHeight="1" x14ac:dyDescent="0.25">
      <c r="A70" s="14"/>
      <c r="B70" s="20" t="s">
        <v>73</v>
      </c>
      <c r="C70" s="165"/>
      <c r="D70" s="165"/>
      <c r="E70" s="165"/>
      <c r="F70" s="165"/>
      <c r="G70" s="165"/>
      <c r="H70" s="165"/>
      <c r="I70" s="165"/>
      <c r="J70" s="165"/>
      <c r="K70" s="165"/>
      <c r="L70" s="603">
        <f t="shared" si="46"/>
        <v>0</v>
      </c>
      <c r="M70" s="603">
        <f t="shared" si="47"/>
        <v>0</v>
      </c>
      <c r="N70" s="603">
        <f t="shared" si="48"/>
        <v>0</v>
      </c>
      <c r="O70" s="165"/>
      <c r="P70" s="165">
        <f t="shared" si="21"/>
        <v>0</v>
      </c>
      <c r="Q70" s="165">
        <f t="shared" si="22"/>
        <v>0</v>
      </c>
      <c r="R70" s="165">
        <f t="shared" si="23"/>
        <v>0</v>
      </c>
      <c r="S70" s="165">
        <f t="shared" si="24"/>
        <v>0</v>
      </c>
      <c r="T70" s="281">
        <f>IF('7. WAMKK'!C70=0,0,+S70/'7. WAMKK'!C70)</f>
        <v>0</v>
      </c>
      <c r="U70" s="120"/>
      <c r="V70" s="195">
        <f t="shared" si="16"/>
        <v>0</v>
      </c>
    </row>
    <row r="71" spans="1:22" s="42" customFormat="1" ht="12.75" customHeight="1" x14ac:dyDescent="0.25">
      <c r="A71" s="38" t="s">
        <v>74</v>
      </c>
      <c r="B71" s="39" t="s">
        <v>75</v>
      </c>
      <c r="C71" s="275">
        <f>SUM(C72:C81)</f>
        <v>14514000</v>
      </c>
      <c r="D71" s="275">
        <f t="shared" ref="D71:F71" si="50">SUM(D72:D81)</f>
        <v>14514000</v>
      </c>
      <c r="E71" s="275">
        <f t="shared" si="50"/>
        <v>14412541</v>
      </c>
      <c r="F71" s="275">
        <f t="shared" si="50"/>
        <v>0</v>
      </c>
      <c r="G71" s="555"/>
      <c r="H71" s="275">
        <f>SUM(H72:H81)</f>
        <v>7551184</v>
      </c>
      <c r="I71" s="275">
        <f>SUM(I72:I81)</f>
        <v>10564717</v>
      </c>
      <c r="J71" s="555"/>
      <c r="K71" s="555"/>
      <c r="L71" s="604">
        <f t="shared" ref="L71:L80" si="51">IF(H71&gt;0,H71/C71,0)</f>
        <v>0.52026898167286761</v>
      </c>
      <c r="M71" s="604">
        <f t="shared" ref="M71:M80" si="52">IF(I71&gt;0,I71/D71,0)</f>
        <v>0.7278983739837398</v>
      </c>
      <c r="N71" s="604">
        <f t="shared" ref="N71:N80" si="53">IF(J71&gt;0,J71/E71,0)</f>
        <v>0</v>
      </c>
      <c r="O71" s="555"/>
      <c r="P71" s="555">
        <f t="shared" ref="P71:R71" si="54">SUM(P72:P81)</f>
        <v>0</v>
      </c>
      <c r="Q71" s="555">
        <f t="shared" si="54"/>
        <v>-101459</v>
      </c>
      <c r="R71" s="555">
        <f t="shared" si="54"/>
        <v>0</v>
      </c>
      <c r="S71" s="555">
        <f t="shared" si="24"/>
        <v>-101459</v>
      </c>
      <c r="T71" s="281">
        <f>IF('7. WAMKK'!C71=0,0,+S71/'7. WAMKK'!C71)</f>
        <v>-8.9391189427312778E-2</v>
      </c>
      <c r="U71" s="121"/>
      <c r="V71" s="556">
        <f t="shared" si="16"/>
        <v>0</v>
      </c>
    </row>
    <row r="72" spans="1:22" ht="12.75" customHeight="1" x14ac:dyDescent="0.25">
      <c r="A72" s="14" t="s">
        <v>76</v>
      </c>
      <c r="B72" s="20" t="s">
        <v>77</v>
      </c>
      <c r="C72" s="165">
        <f>11000000</f>
        <v>11000000</v>
      </c>
      <c r="D72" s="165">
        <f>11000000</f>
        <v>11000000</v>
      </c>
      <c r="E72" s="165">
        <v>10898541</v>
      </c>
      <c r="F72" s="165"/>
      <c r="G72" s="165"/>
      <c r="H72" s="165">
        <v>6545978</v>
      </c>
      <c r="I72" s="165">
        <v>8609685</v>
      </c>
      <c r="J72" s="165"/>
      <c r="K72" s="165"/>
      <c r="L72" s="603">
        <f t="shared" si="51"/>
        <v>0.59508890909090906</v>
      </c>
      <c r="M72" s="603">
        <f t="shared" si="52"/>
        <v>0.78269863636363635</v>
      </c>
      <c r="N72" s="603">
        <f t="shared" si="53"/>
        <v>0</v>
      </c>
      <c r="O72" s="165"/>
      <c r="P72" s="165">
        <f t="shared" si="21"/>
        <v>0</v>
      </c>
      <c r="Q72" s="165">
        <f t="shared" si="22"/>
        <v>-101459</v>
      </c>
      <c r="R72" s="165">
        <f t="shared" si="23"/>
        <v>0</v>
      </c>
      <c r="S72" s="165">
        <f t="shared" si="24"/>
        <v>-101459</v>
      </c>
      <c r="T72" s="281">
        <f>IF('7. WAMKK'!C72=0,0,+S72/'7. WAMKK'!C72)</f>
        <v>-9.2235454545454551E-2</v>
      </c>
      <c r="U72" s="120"/>
      <c r="V72" s="195">
        <f t="shared" ref="V72:V101" si="55">+S72-E72+C72</f>
        <v>0</v>
      </c>
    </row>
    <row r="73" spans="1:22" ht="12.75" customHeight="1" x14ac:dyDescent="0.25">
      <c r="A73" s="14"/>
      <c r="B73" s="20" t="s">
        <v>78</v>
      </c>
      <c r="C73" s="165">
        <v>0</v>
      </c>
      <c r="D73" s="165">
        <v>0</v>
      </c>
      <c r="E73" s="165">
        <v>0</v>
      </c>
      <c r="F73" s="165"/>
      <c r="G73" s="165"/>
      <c r="H73" s="165">
        <v>0</v>
      </c>
      <c r="I73" s="165"/>
      <c r="J73" s="165"/>
      <c r="K73" s="165"/>
      <c r="L73" s="603">
        <f t="shared" si="51"/>
        <v>0</v>
      </c>
      <c r="M73" s="603">
        <f t="shared" si="52"/>
        <v>0</v>
      </c>
      <c r="N73" s="603">
        <f t="shared" si="53"/>
        <v>0</v>
      </c>
      <c r="O73" s="165"/>
      <c r="P73" s="165">
        <f t="shared" si="21"/>
        <v>0</v>
      </c>
      <c r="Q73" s="165">
        <f t="shared" si="22"/>
        <v>0</v>
      </c>
      <c r="R73" s="165">
        <f t="shared" si="23"/>
        <v>0</v>
      </c>
      <c r="S73" s="165">
        <f t="shared" si="24"/>
        <v>0</v>
      </c>
      <c r="T73" s="281">
        <f>IF('7. WAMKK'!C73=0,0,+S73/'7. WAMKK'!C73)</f>
        <v>0</v>
      </c>
      <c r="U73" s="120"/>
      <c r="V73" s="195">
        <f t="shared" si="55"/>
        <v>0</v>
      </c>
    </row>
    <row r="74" spans="1:22" ht="12.75" customHeight="1" x14ac:dyDescent="0.25">
      <c r="A74" s="14" t="s">
        <v>79</v>
      </c>
      <c r="B74" s="20" t="s">
        <v>80</v>
      </c>
      <c r="C74" s="165">
        <v>3500000</v>
      </c>
      <c r="D74" s="165">
        <v>3500000</v>
      </c>
      <c r="E74" s="165">
        <v>3500000</v>
      </c>
      <c r="F74" s="165"/>
      <c r="G74" s="165"/>
      <c r="H74" s="165">
        <v>1002000</v>
      </c>
      <c r="I74" s="165">
        <v>1950000</v>
      </c>
      <c r="J74" s="165"/>
      <c r="K74" s="165"/>
      <c r="L74" s="603">
        <f t="shared" si="51"/>
        <v>0.28628571428571431</v>
      </c>
      <c r="M74" s="603">
        <f t="shared" si="52"/>
        <v>0.55714285714285716</v>
      </c>
      <c r="N74" s="603">
        <f t="shared" si="53"/>
        <v>0</v>
      </c>
      <c r="O74" s="165"/>
      <c r="P74" s="165">
        <f t="shared" si="21"/>
        <v>0</v>
      </c>
      <c r="Q74" s="165">
        <f t="shared" si="22"/>
        <v>0</v>
      </c>
      <c r="R74" s="165">
        <f t="shared" si="23"/>
        <v>0</v>
      </c>
      <c r="S74" s="165">
        <f t="shared" si="24"/>
        <v>0</v>
      </c>
      <c r="T74" s="281">
        <f>IF('7. WAMKK'!C74=0,0,+S74/'7. WAMKK'!C74)</f>
        <v>0</v>
      </c>
      <c r="U74" s="120"/>
      <c r="V74" s="195">
        <f t="shared" si="55"/>
        <v>0</v>
      </c>
    </row>
    <row r="75" spans="1:22" ht="12.75" customHeight="1" x14ac:dyDescent="0.25">
      <c r="A75" s="14"/>
      <c r="B75" s="20" t="s">
        <v>101</v>
      </c>
      <c r="C75" s="165"/>
      <c r="D75" s="165"/>
      <c r="E75" s="165"/>
      <c r="F75" s="165"/>
      <c r="G75" s="165"/>
      <c r="H75" s="165"/>
      <c r="I75" s="165"/>
      <c r="J75" s="165"/>
      <c r="K75" s="165"/>
      <c r="L75" s="603">
        <f t="shared" si="51"/>
        <v>0</v>
      </c>
      <c r="M75" s="603">
        <f t="shared" si="52"/>
        <v>0</v>
      </c>
      <c r="N75" s="603">
        <f t="shared" si="53"/>
        <v>0</v>
      </c>
      <c r="O75" s="165"/>
      <c r="P75" s="165">
        <f t="shared" si="21"/>
        <v>0</v>
      </c>
      <c r="Q75" s="165">
        <f t="shared" si="22"/>
        <v>0</v>
      </c>
      <c r="R75" s="165">
        <f t="shared" si="23"/>
        <v>0</v>
      </c>
      <c r="S75" s="165">
        <f t="shared" si="24"/>
        <v>0</v>
      </c>
      <c r="T75" s="281">
        <f>IF('7. WAMKK'!C75=0,0,+S75/'7. WAMKK'!C75)</f>
        <v>0</v>
      </c>
      <c r="U75" s="120"/>
      <c r="V75" s="195">
        <f t="shared" si="55"/>
        <v>0</v>
      </c>
    </row>
    <row r="76" spans="1:22" ht="12.75" customHeight="1" x14ac:dyDescent="0.25">
      <c r="A76" s="14" t="s">
        <v>81</v>
      </c>
      <c r="B76" s="20" t="s">
        <v>82</v>
      </c>
      <c r="C76" s="165"/>
      <c r="D76" s="165"/>
      <c r="E76" s="165"/>
      <c r="F76" s="165"/>
      <c r="G76" s="165"/>
      <c r="H76" s="165"/>
      <c r="I76" s="165"/>
      <c r="J76" s="165"/>
      <c r="K76" s="165"/>
      <c r="L76" s="603">
        <f t="shared" si="51"/>
        <v>0</v>
      </c>
      <c r="M76" s="603">
        <f t="shared" si="52"/>
        <v>0</v>
      </c>
      <c r="N76" s="603">
        <f t="shared" si="53"/>
        <v>0</v>
      </c>
      <c r="O76" s="165"/>
      <c r="P76" s="165">
        <f t="shared" si="21"/>
        <v>0</v>
      </c>
      <c r="Q76" s="165">
        <f t="shared" si="22"/>
        <v>0</v>
      </c>
      <c r="R76" s="165">
        <f t="shared" si="23"/>
        <v>0</v>
      </c>
      <c r="S76" s="165">
        <f t="shared" si="24"/>
        <v>0</v>
      </c>
      <c r="T76" s="281">
        <f>IF('7. WAMKK'!C76=0,0,+S76/'7. WAMKK'!C76)</f>
        <v>0</v>
      </c>
      <c r="U76" s="120"/>
      <c r="V76" s="195">
        <f t="shared" si="55"/>
        <v>0</v>
      </c>
    </row>
    <row r="77" spans="1:22" ht="12.75" customHeight="1" x14ac:dyDescent="0.25">
      <c r="A77" s="14"/>
      <c r="B77" s="20" t="s">
        <v>106</v>
      </c>
      <c r="C77" s="165"/>
      <c r="D77" s="165"/>
      <c r="E77" s="165"/>
      <c r="F77" s="165"/>
      <c r="G77" s="165"/>
      <c r="H77" s="165"/>
      <c r="I77" s="165"/>
      <c r="J77" s="165"/>
      <c r="K77" s="165"/>
      <c r="L77" s="603">
        <f t="shared" si="51"/>
        <v>0</v>
      </c>
      <c r="M77" s="603">
        <f t="shared" si="52"/>
        <v>0</v>
      </c>
      <c r="N77" s="603">
        <f t="shared" si="53"/>
        <v>0</v>
      </c>
      <c r="O77" s="165"/>
      <c r="P77" s="165">
        <f t="shared" si="21"/>
        <v>0</v>
      </c>
      <c r="Q77" s="165">
        <f t="shared" si="22"/>
        <v>0</v>
      </c>
      <c r="R77" s="165">
        <f t="shared" si="23"/>
        <v>0</v>
      </c>
      <c r="S77" s="165">
        <f t="shared" si="24"/>
        <v>0</v>
      </c>
      <c r="T77" s="281">
        <f>IF('7. WAMKK'!C77=0,0,+S77/'7. WAMKK'!C77)</f>
        <v>0</v>
      </c>
      <c r="U77" s="120"/>
      <c r="V77" s="195">
        <f t="shared" si="55"/>
        <v>0</v>
      </c>
    </row>
    <row r="78" spans="1:22" ht="12.75" customHeight="1" x14ac:dyDescent="0.25">
      <c r="A78" s="14" t="s">
        <v>84</v>
      </c>
      <c r="B78" s="20" t="s">
        <v>85</v>
      </c>
      <c r="C78" s="165"/>
      <c r="D78" s="165"/>
      <c r="E78" s="165"/>
      <c r="F78" s="165"/>
      <c r="G78" s="165"/>
      <c r="H78" s="165"/>
      <c r="I78" s="165"/>
      <c r="J78" s="165"/>
      <c r="K78" s="165"/>
      <c r="L78" s="603">
        <f t="shared" si="51"/>
        <v>0</v>
      </c>
      <c r="M78" s="603">
        <f t="shared" si="52"/>
        <v>0</v>
      </c>
      <c r="N78" s="603">
        <f t="shared" si="53"/>
        <v>0</v>
      </c>
      <c r="O78" s="165"/>
      <c r="P78" s="165">
        <f t="shared" si="21"/>
        <v>0</v>
      </c>
      <c r="Q78" s="165">
        <f t="shared" si="22"/>
        <v>0</v>
      </c>
      <c r="R78" s="165">
        <f t="shared" si="23"/>
        <v>0</v>
      </c>
      <c r="S78" s="165">
        <f t="shared" si="24"/>
        <v>0</v>
      </c>
      <c r="T78" s="281">
        <f>IF('7. WAMKK'!C78=0,0,+S78/'7. WAMKK'!C78)</f>
        <v>0</v>
      </c>
      <c r="U78" s="120"/>
      <c r="V78" s="195">
        <f t="shared" si="55"/>
        <v>0</v>
      </c>
    </row>
    <row r="79" spans="1:22" ht="12.75" customHeight="1" x14ac:dyDescent="0.25">
      <c r="A79" s="14"/>
      <c r="B79" s="20" t="s">
        <v>86</v>
      </c>
      <c r="C79" s="165"/>
      <c r="D79" s="165"/>
      <c r="E79" s="165"/>
      <c r="F79" s="165"/>
      <c r="G79" s="165"/>
      <c r="H79" s="165"/>
      <c r="I79" s="165"/>
      <c r="J79" s="165"/>
      <c r="K79" s="165"/>
      <c r="L79" s="603">
        <f t="shared" si="51"/>
        <v>0</v>
      </c>
      <c r="M79" s="603">
        <f t="shared" si="52"/>
        <v>0</v>
      </c>
      <c r="N79" s="603">
        <f t="shared" si="53"/>
        <v>0</v>
      </c>
      <c r="O79" s="165"/>
      <c r="P79" s="165">
        <f t="shared" si="21"/>
        <v>0</v>
      </c>
      <c r="Q79" s="165">
        <f t="shared" si="22"/>
        <v>0</v>
      </c>
      <c r="R79" s="165">
        <f t="shared" si="23"/>
        <v>0</v>
      </c>
      <c r="S79" s="165">
        <f t="shared" si="24"/>
        <v>0</v>
      </c>
      <c r="T79" s="281">
        <f>IF('7. WAMKK'!C79=0,0,+S79/'7. WAMKK'!C79)</f>
        <v>0</v>
      </c>
      <c r="U79" s="120"/>
      <c r="V79" s="195">
        <f t="shared" si="55"/>
        <v>0</v>
      </c>
    </row>
    <row r="80" spans="1:22" ht="12.75" customHeight="1" x14ac:dyDescent="0.25">
      <c r="A80" s="14" t="s">
        <v>87</v>
      </c>
      <c r="B80" s="20" t="s">
        <v>88</v>
      </c>
      <c r="C80" s="165">
        <v>14000</v>
      </c>
      <c r="D80" s="165">
        <v>14000</v>
      </c>
      <c r="E80" s="165">
        <v>14000</v>
      </c>
      <c r="F80" s="165"/>
      <c r="G80" s="165"/>
      <c r="H80" s="165">
        <v>3206</v>
      </c>
      <c r="I80" s="165">
        <v>5032</v>
      </c>
      <c r="J80" s="165"/>
      <c r="K80" s="165"/>
      <c r="L80" s="603">
        <f t="shared" si="51"/>
        <v>0.22900000000000001</v>
      </c>
      <c r="M80" s="603">
        <f t="shared" si="52"/>
        <v>0.35942857142857143</v>
      </c>
      <c r="N80" s="603">
        <f t="shared" si="53"/>
        <v>0</v>
      </c>
      <c r="O80" s="165"/>
      <c r="P80" s="165">
        <f t="shared" ref="P80:P102" si="56">+(D80-C80)*P$10</f>
        <v>0</v>
      </c>
      <c r="Q80" s="165">
        <f t="shared" ref="Q80:Q102" si="57">+(E80-D80)*Q$10</f>
        <v>0</v>
      </c>
      <c r="R80" s="165">
        <f t="shared" ref="R80:R102" si="58">+(F80-E80)*R$10</f>
        <v>0</v>
      </c>
      <c r="S80" s="165">
        <f t="shared" ref="S80:S83" si="59">+P80*P$10+Q80*Q$10+R80*R$10</f>
        <v>0</v>
      </c>
      <c r="T80" s="281">
        <f>IF('7. WAMKK'!C80=0,0,+S80/'7. WAMKK'!C80)</f>
        <v>0</v>
      </c>
      <c r="U80" s="120"/>
      <c r="V80" s="195">
        <f t="shared" si="55"/>
        <v>0</v>
      </c>
    </row>
    <row r="81" spans="1:24" ht="12.75" customHeight="1" x14ac:dyDescent="0.25">
      <c r="A81" s="14"/>
      <c r="B81" s="20" t="s">
        <v>92</v>
      </c>
      <c r="C81" s="165"/>
      <c r="D81" s="165"/>
      <c r="E81" s="165"/>
      <c r="F81" s="165"/>
      <c r="G81" s="165"/>
      <c r="H81" s="165"/>
      <c r="I81" s="165"/>
      <c r="J81" s="165"/>
      <c r="K81" s="165"/>
      <c r="L81" s="599"/>
      <c r="M81" s="599"/>
      <c r="N81" s="599"/>
      <c r="O81" s="165"/>
      <c r="P81" s="165">
        <f t="shared" si="56"/>
        <v>0</v>
      </c>
      <c r="Q81" s="165">
        <f t="shared" si="57"/>
        <v>0</v>
      </c>
      <c r="R81" s="165">
        <f t="shared" si="58"/>
        <v>0</v>
      </c>
      <c r="S81" s="165">
        <f t="shared" si="59"/>
        <v>0</v>
      </c>
      <c r="T81" s="281">
        <f>IF('7. WAMKK'!C81=0,0,+S81/'7. WAMKK'!C81)</f>
        <v>0</v>
      </c>
      <c r="U81" s="120"/>
      <c r="V81" s="195">
        <f t="shared" si="55"/>
        <v>0</v>
      </c>
    </row>
    <row r="82" spans="1:24" ht="12.75" customHeight="1" x14ac:dyDescent="0.25">
      <c r="A82" s="29"/>
      <c r="B82" s="21"/>
      <c r="C82" s="165"/>
      <c r="D82" s="165"/>
      <c r="E82" s="165"/>
      <c r="F82" s="165"/>
      <c r="G82" s="165"/>
      <c r="H82" s="165"/>
      <c r="I82" s="165"/>
      <c r="J82" s="165"/>
      <c r="K82" s="165"/>
      <c r="L82" s="602"/>
      <c r="M82" s="602"/>
      <c r="N82" s="602"/>
      <c r="O82" s="165"/>
      <c r="P82" s="165">
        <f t="shared" si="56"/>
        <v>0</v>
      </c>
      <c r="Q82" s="165">
        <f t="shared" si="57"/>
        <v>0</v>
      </c>
      <c r="R82" s="165">
        <f t="shared" si="58"/>
        <v>0</v>
      </c>
      <c r="S82" s="165">
        <f t="shared" si="59"/>
        <v>0</v>
      </c>
      <c r="T82" s="281">
        <f>IF('7. WAMKK'!C82=0,0,+S82/'7. WAMKK'!C82)</f>
        <v>0</v>
      </c>
      <c r="U82" s="120"/>
      <c r="V82" s="195">
        <f t="shared" si="55"/>
        <v>0</v>
      </c>
    </row>
    <row r="83" spans="1:24" s="42" customFormat="1" ht="12.75" customHeight="1" x14ac:dyDescent="0.25">
      <c r="A83" s="4" t="s">
        <v>158</v>
      </c>
      <c r="B83" s="48" t="s">
        <v>159</v>
      </c>
      <c r="C83" s="314">
        <f>SUM(C84:C85)</f>
        <v>0</v>
      </c>
      <c r="D83" s="314">
        <f t="shared" ref="D83:F83" si="60">SUM(D84:D85)</f>
        <v>0</v>
      </c>
      <c r="E83" s="314">
        <f t="shared" si="60"/>
        <v>477234</v>
      </c>
      <c r="F83" s="314">
        <f t="shared" si="60"/>
        <v>0</v>
      </c>
      <c r="G83" s="314"/>
      <c r="H83" s="314">
        <f t="shared" ref="H83:J83" si="61">SUM(H84:H85)</f>
        <v>0</v>
      </c>
      <c r="I83" s="314">
        <f t="shared" si="61"/>
        <v>477234</v>
      </c>
      <c r="J83" s="314">
        <f t="shared" si="61"/>
        <v>0</v>
      </c>
      <c r="K83" s="315"/>
      <c r="L83" s="600">
        <f t="shared" ref="L83" si="62">IF(H83&gt;0,H83/C83,0)</f>
        <v>0</v>
      </c>
      <c r="M83" s="600" t="e">
        <f t="shared" ref="M83" si="63">IF(I83&gt;0,I83/D83,0)</f>
        <v>#DIV/0!</v>
      </c>
      <c r="N83" s="600">
        <f t="shared" ref="N83" si="64">IF(J83&gt;0,J83/E83,0)</f>
        <v>0</v>
      </c>
      <c r="O83" s="315"/>
      <c r="P83" s="315">
        <f t="shared" si="56"/>
        <v>0</v>
      </c>
      <c r="Q83" s="315">
        <f t="shared" si="57"/>
        <v>477234</v>
      </c>
      <c r="R83" s="315">
        <f t="shared" si="58"/>
        <v>0</v>
      </c>
      <c r="S83" s="315">
        <f t="shared" si="59"/>
        <v>477234</v>
      </c>
      <c r="T83" s="282">
        <f>IF('7. WAMKK'!C80=0,0,+S83/'7. WAMKK'!C80)</f>
        <v>95.446799999999996</v>
      </c>
      <c r="U83" s="120"/>
      <c r="V83" s="195">
        <f t="shared" si="55"/>
        <v>0</v>
      </c>
    </row>
    <row r="84" spans="1:24" ht="12.75" customHeight="1" x14ac:dyDescent="0.25">
      <c r="A84" s="43"/>
      <c r="B84" s="20"/>
      <c r="C84" s="165">
        <v>0</v>
      </c>
      <c r="D84" s="165">
        <v>0</v>
      </c>
      <c r="E84" s="165">
        <v>477234</v>
      </c>
      <c r="F84" s="165"/>
      <c r="G84" s="165"/>
      <c r="H84" s="165">
        <v>0</v>
      </c>
      <c r="I84" s="165">
        <v>477234</v>
      </c>
      <c r="J84" s="165"/>
      <c r="K84" s="316"/>
      <c r="L84" s="603">
        <f t="shared" ref="L84" si="65">IF(H84&gt;0,H84/C84,0)</f>
        <v>0</v>
      </c>
      <c r="M84" s="603" t="e">
        <f t="shared" ref="M84" si="66">IF(I84&gt;0,I84/D84,0)</f>
        <v>#DIV/0!</v>
      </c>
      <c r="N84" s="603">
        <f t="shared" ref="N84" si="67">IF(J84&gt;0,J84/E84,0)</f>
        <v>0</v>
      </c>
      <c r="O84" s="316"/>
      <c r="P84" s="165"/>
      <c r="Q84" s="165"/>
      <c r="R84" s="165"/>
      <c r="S84" s="165"/>
      <c r="T84" s="281"/>
      <c r="U84" s="120"/>
      <c r="V84" s="195"/>
      <c r="W84" s="2"/>
    </row>
    <row r="85" spans="1:24" ht="12.75" customHeight="1" x14ac:dyDescent="0.25">
      <c r="A85" s="14"/>
      <c r="B85" s="20"/>
      <c r="C85" s="316"/>
      <c r="D85" s="165"/>
      <c r="E85" s="165"/>
      <c r="F85" s="165"/>
      <c r="G85" s="165"/>
      <c r="H85" s="165"/>
      <c r="I85" s="165"/>
      <c r="J85" s="165"/>
      <c r="K85" s="165"/>
      <c r="L85" s="602"/>
      <c r="M85" s="602"/>
      <c r="N85" s="602"/>
      <c r="O85" s="165"/>
      <c r="P85" s="165">
        <f t="shared" si="56"/>
        <v>0</v>
      </c>
      <c r="Q85" s="165">
        <f t="shared" si="57"/>
        <v>0</v>
      </c>
      <c r="R85" s="165">
        <f t="shared" si="58"/>
        <v>0</v>
      </c>
      <c r="S85" s="165">
        <f t="shared" ref="S85:S86" si="68">+P85*P$10+Q85*Q$10+R85*R$10</f>
        <v>0</v>
      </c>
      <c r="T85" s="281">
        <f>IF('7. WAMKK'!C82=0,0,+S85/'7. WAMKK'!C82)</f>
        <v>0</v>
      </c>
      <c r="U85" s="120"/>
      <c r="V85" s="195">
        <f t="shared" si="55"/>
        <v>0</v>
      </c>
    </row>
    <row r="86" spans="1:24" s="42" customFormat="1" ht="12.75" customHeight="1" x14ac:dyDescent="0.25">
      <c r="A86" s="4" t="s">
        <v>173</v>
      </c>
      <c r="B86" s="48" t="s">
        <v>174</v>
      </c>
      <c r="C86" s="314">
        <f>SUM(C87:C88)</f>
        <v>0</v>
      </c>
      <c r="D86" s="314">
        <f t="shared" ref="D86:F86" si="69">SUM(D87:D88)</f>
        <v>0</v>
      </c>
      <c r="E86" s="314">
        <f t="shared" si="69"/>
        <v>0</v>
      </c>
      <c r="F86" s="314">
        <f t="shared" si="69"/>
        <v>0</v>
      </c>
      <c r="G86" s="314"/>
      <c r="H86" s="314">
        <f t="shared" ref="H86:J86" si="70">SUM(H87:H88)</f>
        <v>0</v>
      </c>
      <c r="I86" s="314">
        <f t="shared" si="70"/>
        <v>0</v>
      </c>
      <c r="J86" s="314">
        <f t="shared" si="70"/>
        <v>0</v>
      </c>
      <c r="K86" s="315"/>
      <c r="L86" s="600">
        <f t="shared" ref="L86" si="71">IF(H86&gt;0,H86/C86,0)</f>
        <v>0</v>
      </c>
      <c r="M86" s="600">
        <f t="shared" ref="M86" si="72">IF(I86&gt;0,I86/D86,0)</f>
        <v>0</v>
      </c>
      <c r="N86" s="600">
        <f t="shared" ref="N86" si="73">IF(J86&gt;0,J86/E86,0)</f>
        <v>0</v>
      </c>
      <c r="O86" s="315"/>
      <c r="P86" s="315">
        <f t="shared" ref="P86:P88" si="74">+(D86-C86)*P$10</f>
        <v>0</v>
      </c>
      <c r="Q86" s="315">
        <f t="shared" ref="Q86:Q88" si="75">+(E86-D86)*Q$10</f>
        <v>0</v>
      </c>
      <c r="R86" s="315">
        <f t="shared" ref="R86:R88" si="76">+(F86-E86)*R$10</f>
        <v>0</v>
      </c>
      <c r="S86" s="315">
        <f t="shared" si="68"/>
        <v>0</v>
      </c>
      <c r="T86" s="282">
        <f>IF('7. WAMKK'!C83=0,0,+S86/'7. WAMKK'!C83)</f>
        <v>0</v>
      </c>
      <c r="U86" s="120"/>
      <c r="V86" s="195">
        <f t="shared" ref="V86:V88" si="77">+S86-E86+C86</f>
        <v>0</v>
      </c>
    </row>
    <row r="87" spans="1:24" ht="12.75" customHeight="1" x14ac:dyDescent="0.25">
      <c r="A87" s="43"/>
      <c r="B87" s="20"/>
      <c r="C87" s="316"/>
      <c r="D87" s="316"/>
      <c r="E87" s="316"/>
      <c r="F87" s="316"/>
      <c r="G87" s="316"/>
      <c r="H87" s="165"/>
      <c r="I87" s="165"/>
      <c r="J87" s="165"/>
      <c r="K87" s="316"/>
      <c r="L87" s="603"/>
      <c r="M87" s="603"/>
      <c r="N87" s="603"/>
      <c r="O87" s="316"/>
      <c r="P87" s="165"/>
      <c r="Q87" s="165"/>
      <c r="R87" s="165"/>
      <c r="S87" s="165"/>
      <c r="T87" s="281"/>
      <c r="U87" s="120"/>
      <c r="V87" s="195"/>
      <c r="W87" s="2"/>
    </row>
    <row r="88" spans="1:24" ht="12.75" hidden="1" customHeight="1" x14ac:dyDescent="0.25">
      <c r="A88" s="14"/>
      <c r="B88" s="20"/>
      <c r="C88" s="316"/>
      <c r="D88" s="165"/>
      <c r="E88" s="165"/>
      <c r="F88" s="165"/>
      <c r="G88" s="165"/>
      <c r="H88" s="165"/>
      <c r="I88" s="165"/>
      <c r="J88" s="165"/>
      <c r="K88" s="165"/>
      <c r="L88" s="602" t="e">
        <f t="shared" ref="L88" si="78">+H88/C88</f>
        <v>#DIV/0!</v>
      </c>
      <c r="M88" s="602" t="e">
        <f t="shared" ref="M88" si="79">+I88/D88</f>
        <v>#DIV/0!</v>
      </c>
      <c r="N88" s="602" t="e">
        <f t="shared" ref="N88" si="80">+J88/E88</f>
        <v>#DIV/0!</v>
      </c>
      <c r="O88" s="165"/>
      <c r="P88" s="165">
        <f t="shared" si="74"/>
        <v>0</v>
      </c>
      <c r="Q88" s="165">
        <f t="shared" si="75"/>
        <v>0</v>
      </c>
      <c r="R88" s="165">
        <f t="shared" si="76"/>
        <v>0</v>
      </c>
      <c r="S88" s="165">
        <f t="shared" ref="S88" si="81">SUM(P88:R88)</f>
        <v>0</v>
      </c>
      <c r="T88" s="281">
        <f>IF('7. WAMKK'!C85=0,0,+S88/'7. WAMKK'!C85)</f>
        <v>0</v>
      </c>
      <c r="U88" s="120"/>
      <c r="V88" s="195">
        <f t="shared" si="77"/>
        <v>0</v>
      </c>
    </row>
    <row r="89" spans="1:24" ht="17.25" customHeight="1" x14ac:dyDescent="0.25">
      <c r="A89" s="481"/>
      <c r="B89" s="471" t="s">
        <v>373</v>
      </c>
      <c r="C89" s="478">
        <f>C13+C29+C32+C83+C86</f>
        <v>115545000</v>
      </c>
      <c r="D89" s="478">
        <f t="shared" ref="D89:J89" si="82">D13+D29+D32+D83+D86</f>
        <v>115545000</v>
      </c>
      <c r="E89" s="478">
        <f t="shared" si="82"/>
        <v>115545000</v>
      </c>
      <c r="F89" s="478">
        <f t="shared" si="82"/>
        <v>0</v>
      </c>
      <c r="G89" s="478"/>
      <c r="H89" s="478">
        <f t="shared" si="82"/>
        <v>63729284</v>
      </c>
      <c r="I89" s="478">
        <f t="shared" si="82"/>
        <v>88844117</v>
      </c>
      <c r="J89" s="478">
        <f t="shared" si="82"/>
        <v>0</v>
      </c>
      <c r="K89" s="312"/>
      <c r="L89" s="606">
        <f t="shared" ref="L89" si="83">IF(H89&gt;0,H89/C89,0)</f>
        <v>0.55155380154917999</v>
      </c>
      <c r="M89" s="606">
        <f t="shared" ref="M89" si="84">IF(I89&gt;0,I89/D89,0)</f>
        <v>0.76891355748842438</v>
      </c>
      <c r="N89" s="606">
        <f t="shared" ref="N89" si="85">IF(J89&gt;0,J89/E89,0)</f>
        <v>0</v>
      </c>
      <c r="O89" s="312"/>
      <c r="P89" s="478">
        <f t="shared" si="56"/>
        <v>0</v>
      </c>
      <c r="Q89" s="478">
        <f t="shared" si="57"/>
        <v>0</v>
      </c>
      <c r="R89" s="478">
        <f t="shared" si="58"/>
        <v>0</v>
      </c>
      <c r="S89" s="478">
        <f>+P89*P$10+Q89*Q$10+R89*R$10</f>
        <v>0</v>
      </c>
      <c r="T89" s="475">
        <f>IF('7. WAMKK'!C89=0,0,+S89/'7. WAMKK'!C89)</f>
        <v>0</v>
      </c>
      <c r="U89" s="120"/>
      <c r="V89" s="195">
        <f t="shared" si="55"/>
        <v>0</v>
      </c>
    </row>
    <row r="90" spans="1:24" ht="10.35" customHeight="1" x14ac:dyDescent="0.25">
      <c r="A90" s="25"/>
      <c r="B90" s="25"/>
      <c r="C90" s="97"/>
      <c r="D90" s="98"/>
      <c r="E90" s="98"/>
      <c r="F90" s="98"/>
      <c r="G90" s="98"/>
      <c r="H90" s="98"/>
      <c r="I90" s="98"/>
      <c r="J90" s="98"/>
      <c r="K90" s="98"/>
      <c r="L90" s="607"/>
      <c r="M90" s="607"/>
      <c r="N90" s="607"/>
      <c r="O90" s="98"/>
      <c r="P90" s="98"/>
      <c r="Q90" s="98"/>
      <c r="R90" s="98"/>
      <c r="S90" s="98"/>
      <c r="T90" s="98"/>
      <c r="U90" s="22"/>
      <c r="V90" s="195">
        <f t="shared" si="55"/>
        <v>0</v>
      </c>
      <c r="W90" s="122"/>
      <c r="X90" s="122"/>
    </row>
    <row r="91" spans="1:24" ht="10.35" customHeight="1" x14ac:dyDescent="0.25">
      <c r="A91" s="466"/>
      <c r="B91" s="466"/>
      <c r="C91" s="467"/>
      <c r="D91" s="468"/>
      <c r="E91" s="468"/>
      <c r="F91" s="468"/>
      <c r="G91" s="468"/>
      <c r="H91" s="468"/>
      <c r="I91" s="468"/>
      <c r="J91" s="468"/>
      <c r="K91" s="468"/>
      <c r="L91" s="608"/>
      <c r="M91" s="608"/>
      <c r="N91" s="608"/>
      <c r="O91" s="468"/>
      <c r="P91" s="468"/>
      <c r="Q91" s="468"/>
      <c r="R91" s="468"/>
      <c r="S91" s="468"/>
      <c r="T91" s="468"/>
      <c r="U91" s="469"/>
      <c r="V91" s="470"/>
      <c r="W91" s="122"/>
      <c r="X91" s="122"/>
    </row>
    <row r="92" spans="1:24" ht="10.35" customHeight="1" x14ac:dyDescent="0.25">
      <c r="A92" s="25"/>
      <c r="B92" s="25"/>
      <c r="C92" s="97"/>
      <c r="D92" s="98"/>
      <c r="E92" s="98"/>
      <c r="F92" s="98"/>
      <c r="G92" s="98"/>
      <c r="H92" s="98"/>
      <c r="I92" s="98"/>
      <c r="J92" s="98"/>
      <c r="K92" s="98"/>
      <c r="L92" s="607"/>
      <c r="M92" s="607"/>
      <c r="N92" s="607"/>
      <c r="O92" s="98"/>
      <c r="P92" s="98"/>
      <c r="Q92" s="98"/>
      <c r="R92" s="98"/>
      <c r="S92" s="98"/>
      <c r="T92" s="98"/>
      <c r="U92" s="22"/>
      <c r="V92" s="195"/>
      <c r="W92" s="122"/>
      <c r="X92" s="122"/>
    </row>
    <row r="93" spans="1:24" s="42" customFormat="1" ht="12.75" customHeight="1" x14ac:dyDescent="0.25">
      <c r="A93" s="4" t="s">
        <v>240</v>
      </c>
      <c r="B93" s="48" t="s">
        <v>241</v>
      </c>
      <c r="C93" s="314">
        <f>SUM(C94:C94)</f>
        <v>0</v>
      </c>
      <c r="D93" s="314">
        <f>SUM(D94:D94)</f>
        <v>0</v>
      </c>
      <c r="E93" s="314">
        <f>SUM(E94:E94)</f>
        <v>0</v>
      </c>
      <c r="F93" s="314">
        <f>SUM(F94:F94)</f>
        <v>0</v>
      </c>
      <c r="G93" s="314"/>
      <c r="H93" s="314">
        <f>SUM(H94:H94)</f>
        <v>0</v>
      </c>
      <c r="I93" s="314">
        <f>SUM(I94:I94)</f>
        <v>0</v>
      </c>
      <c r="J93" s="314">
        <f>SUM(J94:J94)</f>
        <v>0</v>
      </c>
      <c r="K93" s="315"/>
      <c r="L93" s="600">
        <f t="shared" ref="L93" si="86">IF(H93&gt;0,H93/C93,0)</f>
        <v>0</v>
      </c>
      <c r="M93" s="600">
        <f t="shared" ref="M93" si="87">IF(I93&gt;0,I93/D93,0)</f>
        <v>0</v>
      </c>
      <c r="N93" s="600">
        <f t="shared" ref="N93" si="88">IF(J93&gt;0,J93/E93,0)</f>
        <v>0</v>
      </c>
      <c r="O93" s="315"/>
      <c r="P93" s="315">
        <f t="shared" ref="P93:P94" si="89">+(D93-C93)*P$10</f>
        <v>0</v>
      </c>
      <c r="Q93" s="315">
        <f t="shared" ref="Q93:Q94" si="90">+(E93-D93)*Q$10</f>
        <v>0</v>
      </c>
      <c r="R93" s="315">
        <f t="shared" ref="R93:R94" si="91">+(F93-E93)*R$10</f>
        <v>0</v>
      </c>
      <c r="S93" s="315">
        <f t="shared" ref="S93:S102" si="92">+P93*P$10+Q93*Q$10+R93*R$10</f>
        <v>0</v>
      </c>
      <c r="T93" s="282">
        <f>IF('7. WAMKK'!C90=0,0,+S93/'7. WAMKK'!C90)</f>
        <v>0</v>
      </c>
      <c r="U93" s="120"/>
      <c r="V93" s="195">
        <f t="shared" ref="V93:V94" si="93">+S93-E93+C93</f>
        <v>0</v>
      </c>
    </row>
    <row r="94" spans="1:24" ht="12.75" customHeight="1" x14ac:dyDescent="0.25">
      <c r="A94" s="43"/>
      <c r="B94" s="20"/>
      <c r="C94" s="316"/>
      <c r="D94" s="316"/>
      <c r="E94" s="316"/>
      <c r="F94" s="316"/>
      <c r="G94" s="316"/>
      <c r="H94" s="165"/>
      <c r="I94" s="165"/>
      <c r="J94" s="165"/>
      <c r="K94" s="316"/>
      <c r="L94" s="603"/>
      <c r="M94" s="603"/>
      <c r="N94" s="603"/>
      <c r="O94" s="316"/>
      <c r="P94" s="165">
        <f t="shared" si="89"/>
        <v>0</v>
      </c>
      <c r="Q94" s="165">
        <f t="shared" si="90"/>
        <v>0</v>
      </c>
      <c r="R94" s="165">
        <f t="shared" si="91"/>
        <v>0</v>
      </c>
      <c r="S94" s="165">
        <f t="shared" si="92"/>
        <v>0</v>
      </c>
      <c r="T94" s="281">
        <f>IF('7. WAMKK'!C91=0,0,+S94/'7. WAMKK'!C91)</f>
        <v>0</v>
      </c>
      <c r="U94" s="120"/>
      <c r="V94" s="195">
        <f t="shared" si="93"/>
        <v>0</v>
      </c>
      <c r="W94" s="2"/>
    </row>
    <row r="95" spans="1:24" s="42" customFormat="1" ht="12.75" customHeight="1" x14ac:dyDescent="0.25">
      <c r="A95" s="4" t="s">
        <v>282</v>
      </c>
      <c r="B95" s="3" t="s">
        <v>283</v>
      </c>
      <c r="C95" s="314">
        <f>SUM(C96:C98)</f>
        <v>34300000</v>
      </c>
      <c r="D95" s="314">
        <f t="shared" ref="D95:J95" si="94">SUM(D96:D98)</f>
        <v>34300000</v>
      </c>
      <c r="E95" s="314">
        <f t="shared" si="94"/>
        <v>34300000</v>
      </c>
      <c r="F95" s="314">
        <f t="shared" si="94"/>
        <v>0</v>
      </c>
      <c r="G95" s="314"/>
      <c r="H95" s="314">
        <f t="shared" si="94"/>
        <v>20067858</v>
      </c>
      <c r="I95" s="314">
        <f t="shared" si="94"/>
        <v>30177769</v>
      </c>
      <c r="J95" s="314">
        <f t="shared" si="94"/>
        <v>0</v>
      </c>
      <c r="K95" s="315"/>
      <c r="L95" s="600">
        <f t="shared" ref="L95:L102" si="95">IF(H95&gt;0,H95/C95,0)</f>
        <v>0.58506874635568518</v>
      </c>
      <c r="M95" s="600">
        <f t="shared" ref="M95:M102" si="96">IF(I95&gt;0,I95/D95,0)</f>
        <v>0.87981833819241984</v>
      </c>
      <c r="N95" s="600">
        <f t="shared" ref="N95:N102" si="97">IF(J95&gt;0,J95/E95,0)</f>
        <v>0</v>
      </c>
      <c r="O95" s="315"/>
      <c r="P95" s="315">
        <f t="shared" si="56"/>
        <v>0</v>
      </c>
      <c r="Q95" s="315">
        <f t="shared" si="57"/>
        <v>0</v>
      </c>
      <c r="R95" s="315">
        <f t="shared" si="58"/>
        <v>0</v>
      </c>
      <c r="S95" s="315">
        <f t="shared" si="92"/>
        <v>0</v>
      </c>
      <c r="T95" s="282">
        <f>IF('7. WAMKK'!C93=0,0,+S95/'7. WAMKK'!C93)</f>
        <v>0</v>
      </c>
      <c r="U95" s="120"/>
      <c r="V95" s="195">
        <f t="shared" si="55"/>
        <v>0</v>
      </c>
    </row>
    <row r="96" spans="1:24" ht="12.75" customHeight="1" x14ac:dyDescent="0.25">
      <c r="A96" s="14" t="s">
        <v>293</v>
      </c>
      <c r="B96" s="20" t="s">
        <v>294</v>
      </c>
      <c r="C96" s="316">
        <v>27000000</v>
      </c>
      <c r="D96" s="316">
        <v>27000000</v>
      </c>
      <c r="E96" s="165">
        <v>27000000</v>
      </c>
      <c r="F96" s="165"/>
      <c r="G96" s="165"/>
      <c r="H96" s="165">
        <v>15799663</v>
      </c>
      <c r="I96" s="165">
        <v>23765032</v>
      </c>
      <c r="J96" s="165"/>
      <c r="K96" s="165"/>
      <c r="L96" s="603">
        <f t="shared" si="95"/>
        <v>0.58517270370370367</v>
      </c>
      <c r="M96" s="603">
        <f t="shared" si="96"/>
        <v>0.8801863703703704</v>
      </c>
      <c r="N96" s="603">
        <f t="shared" si="97"/>
        <v>0</v>
      </c>
      <c r="O96" s="165"/>
      <c r="P96" s="165">
        <f t="shared" si="56"/>
        <v>0</v>
      </c>
      <c r="Q96" s="165">
        <f t="shared" si="57"/>
        <v>0</v>
      </c>
      <c r="R96" s="165">
        <f t="shared" si="58"/>
        <v>0</v>
      </c>
      <c r="S96" s="165">
        <f t="shared" si="92"/>
        <v>0</v>
      </c>
      <c r="T96" s="281">
        <f>IF('7. WAMKK'!C94=0,0,+S96/'7. WAMKK'!C94)</f>
        <v>0</v>
      </c>
      <c r="U96" s="120"/>
      <c r="V96" s="195">
        <f t="shared" si="55"/>
        <v>0</v>
      </c>
    </row>
    <row r="97" spans="1:23" ht="12.75" customHeight="1" x14ac:dyDescent="0.25">
      <c r="A97" s="14" t="s">
        <v>296</v>
      </c>
      <c r="B97" s="20" t="s">
        <v>297</v>
      </c>
      <c r="C97" s="316">
        <f>C96*0.27</f>
        <v>7290000.0000000009</v>
      </c>
      <c r="D97" s="316">
        <f>D96*0.27</f>
        <v>7290000.0000000009</v>
      </c>
      <c r="E97" s="165">
        <v>7290000</v>
      </c>
      <c r="F97" s="165"/>
      <c r="G97" s="165"/>
      <c r="H97" s="165">
        <v>4265776</v>
      </c>
      <c r="I97" s="553">
        <v>6408017</v>
      </c>
      <c r="J97" s="165"/>
      <c r="K97" s="165"/>
      <c r="L97" s="603">
        <f t="shared" si="95"/>
        <v>0.58515445816186551</v>
      </c>
      <c r="M97" s="603">
        <f t="shared" si="96"/>
        <v>0.87901467764060348</v>
      </c>
      <c r="N97" s="603">
        <f t="shared" si="97"/>
        <v>0</v>
      </c>
      <c r="O97" s="165"/>
      <c r="P97" s="165">
        <f t="shared" si="56"/>
        <v>0</v>
      </c>
      <c r="Q97" s="165">
        <f t="shared" si="57"/>
        <v>-9.3132257461547852E-10</v>
      </c>
      <c r="R97" s="165">
        <f t="shared" si="58"/>
        <v>0</v>
      </c>
      <c r="S97" s="165">
        <f t="shared" si="92"/>
        <v>-9.3132257461547852E-10</v>
      </c>
      <c r="T97" s="281">
        <f>IF('7. WAMKK'!C95=0,0,+S97/'7. WAMKK'!C95)</f>
        <v>-1.1343758521504002E-15</v>
      </c>
      <c r="U97" s="120"/>
      <c r="V97" s="195">
        <f t="shared" si="55"/>
        <v>0</v>
      </c>
    </row>
    <row r="98" spans="1:23" ht="12.75" customHeight="1" x14ac:dyDescent="0.25">
      <c r="A98" s="529" t="s">
        <v>457</v>
      </c>
      <c r="B98" s="482" t="s">
        <v>459</v>
      </c>
      <c r="C98" s="316">
        <v>10000</v>
      </c>
      <c r="D98" s="316">
        <v>10000</v>
      </c>
      <c r="E98" s="165">
        <v>10000</v>
      </c>
      <c r="F98" s="165"/>
      <c r="G98" s="165"/>
      <c r="H98" s="165">
        <f>150+2269</f>
        <v>2419</v>
      </c>
      <c r="I98" s="165">
        <f>252+4468</f>
        <v>4720</v>
      </c>
      <c r="J98" s="165"/>
      <c r="K98" s="165"/>
      <c r="L98" s="609">
        <f t="shared" si="95"/>
        <v>0.2419</v>
      </c>
      <c r="M98" s="609">
        <f t="shared" si="96"/>
        <v>0.47199999999999998</v>
      </c>
      <c r="N98" s="609">
        <f t="shared" si="97"/>
        <v>0</v>
      </c>
      <c r="O98" s="165"/>
      <c r="P98" s="165">
        <f t="shared" si="56"/>
        <v>0</v>
      </c>
      <c r="Q98" s="165">
        <f t="shared" si="57"/>
        <v>0</v>
      </c>
      <c r="R98" s="165">
        <f t="shared" si="58"/>
        <v>0</v>
      </c>
      <c r="S98" s="165">
        <f t="shared" si="92"/>
        <v>0</v>
      </c>
      <c r="T98" s="281">
        <f>IF('7. WAMKK'!C96=0,0,+S98/'7. WAMKK'!C96)</f>
        <v>0</v>
      </c>
      <c r="U98" s="120"/>
      <c r="V98" s="195">
        <f t="shared" si="55"/>
        <v>0</v>
      </c>
    </row>
    <row r="99" spans="1:23" s="42" customFormat="1" ht="12.75" customHeight="1" x14ac:dyDescent="0.25">
      <c r="A99" s="4" t="s">
        <v>328</v>
      </c>
      <c r="B99" s="3" t="s">
        <v>329</v>
      </c>
      <c r="C99" s="314">
        <f>SUM(C100:C101)</f>
        <v>81245000</v>
      </c>
      <c r="D99" s="314">
        <f t="shared" ref="D99:J99" si="98">SUM(D100:D101)</f>
        <v>81245000</v>
      </c>
      <c r="E99" s="314">
        <f t="shared" si="98"/>
        <v>81245000</v>
      </c>
      <c r="F99" s="314">
        <f t="shared" si="98"/>
        <v>0</v>
      </c>
      <c r="G99" s="314"/>
      <c r="H99" s="314">
        <f t="shared" si="98"/>
        <v>45327974</v>
      </c>
      <c r="I99" s="314">
        <f t="shared" si="98"/>
        <v>61650682</v>
      </c>
      <c r="J99" s="314">
        <f t="shared" si="98"/>
        <v>0</v>
      </c>
      <c r="K99" s="315"/>
      <c r="L99" s="600">
        <f t="shared" si="95"/>
        <v>0.55791709028247893</v>
      </c>
      <c r="M99" s="600">
        <f t="shared" si="96"/>
        <v>0.75882432149670753</v>
      </c>
      <c r="N99" s="600">
        <f t="shared" si="97"/>
        <v>0</v>
      </c>
      <c r="O99" s="315"/>
      <c r="P99" s="315">
        <f t="shared" si="56"/>
        <v>0</v>
      </c>
      <c r="Q99" s="315">
        <f t="shared" si="57"/>
        <v>0</v>
      </c>
      <c r="R99" s="315">
        <f t="shared" si="58"/>
        <v>0</v>
      </c>
      <c r="S99" s="315">
        <f t="shared" si="92"/>
        <v>0</v>
      </c>
      <c r="T99" s="282">
        <f>IF('7. WAMKK'!C97=0,0,+S99/'7. WAMKK'!C97)</f>
        <v>0</v>
      </c>
      <c r="U99" s="120"/>
      <c r="V99" s="195">
        <f t="shared" si="55"/>
        <v>0</v>
      </c>
    </row>
    <row r="100" spans="1:23" ht="12.75" customHeight="1" x14ac:dyDescent="0.25">
      <c r="A100" s="43" t="s">
        <v>354</v>
      </c>
      <c r="B100" s="20" t="s">
        <v>383</v>
      </c>
      <c r="C100" s="316">
        <f>+C104</f>
        <v>77932268</v>
      </c>
      <c r="D100" s="316">
        <v>77932268</v>
      </c>
      <c r="E100" s="316">
        <v>77932268</v>
      </c>
      <c r="F100" s="316"/>
      <c r="G100" s="316"/>
      <c r="H100" s="165">
        <v>42015242</v>
      </c>
      <c r="I100" s="165">
        <v>58337950</v>
      </c>
      <c r="J100" s="165"/>
      <c r="K100" s="316"/>
      <c r="L100" s="603">
        <f t="shared" si="95"/>
        <v>0.53912510283930148</v>
      </c>
      <c r="M100" s="603">
        <f t="shared" si="96"/>
        <v>0.74857246551582457</v>
      </c>
      <c r="N100" s="603">
        <f t="shared" si="97"/>
        <v>0</v>
      </c>
      <c r="O100" s="316"/>
      <c r="P100" s="165">
        <f t="shared" si="56"/>
        <v>0</v>
      </c>
      <c r="Q100" s="165">
        <f t="shared" si="57"/>
        <v>0</v>
      </c>
      <c r="R100" s="165">
        <f t="shared" si="58"/>
        <v>0</v>
      </c>
      <c r="S100" s="165">
        <f t="shared" si="92"/>
        <v>0</v>
      </c>
      <c r="T100" s="281">
        <f>IF('7. WAMKK'!C98=0,0,+S100/'7. WAMKK'!C98)</f>
        <v>0</v>
      </c>
      <c r="U100" s="120"/>
      <c r="V100" s="195">
        <f t="shared" si="55"/>
        <v>0</v>
      </c>
      <c r="W100" s="2"/>
    </row>
    <row r="101" spans="1:23" ht="12.75" customHeight="1" x14ac:dyDescent="0.25">
      <c r="A101" s="14" t="s">
        <v>342</v>
      </c>
      <c r="B101" s="20" t="s">
        <v>343</v>
      </c>
      <c r="C101" s="570">
        <v>3312732</v>
      </c>
      <c r="D101" s="570">
        <v>3312732</v>
      </c>
      <c r="E101" s="165">
        <v>3312732</v>
      </c>
      <c r="F101" s="165"/>
      <c r="G101" s="165"/>
      <c r="H101" s="165">
        <v>3312732</v>
      </c>
      <c r="I101" s="165">
        <v>3312732</v>
      </c>
      <c r="J101" s="165"/>
      <c r="K101" s="165"/>
      <c r="L101" s="602">
        <f t="shared" si="95"/>
        <v>1</v>
      </c>
      <c r="M101" s="602">
        <f t="shared" si="96"/>
        <v>1</v>
      </c>
      <c r="N101" s="602">
        <f t="shared" si="97"/>
        <v>0</v>
      </c>
      <c r="O101" s="165"/>
      <c r="P101" s="165">
        <f t="shared" si="56"/>
        <v>0</v>
      </c>
      <c r="Q101" s="165">
        <f t="shared" si="57"/>
        <v>0</v>
      </c>
      <c r="R101" s="165">
        <f t="shared" si="58"/>
        <v>0</v>
      </c>
      <c r="S101" s="165">
        <f t="shared" si="92"/>
        <v>0</v>
      </c>
      <c r="T101" s="281">
        <f>IF('7. WAMKK'!C99=0,0,+S101/'7. WAMKK'!C99)</f>
        <v>0</v>
      </c>
      <c r="U101" s="120"/>
      <c r="V101" s="195">
        <f t="shared" si="55"/>
        <v>0</v>
      </c>
    </row>
    <row r="102" spans="1:23" ht="21.75" customHeight="1" x14ac:dyDescent="0.25">
      <c r="A102" s="471"/>
      <c r="B102" s="471" t="s">
        <v>371</v>
      </c>
      <c r="C102" s="478">
        <f>+C95+C99+C93</f>
        <v>115545000</v>
      </c>
      <c r="D102" s="478">
        <f>+D95+D99+D93</f>
        <v>115545000</v>
      </c>
      <c r="E102" s="478">
        <f>+E95+E99+E93</f>
        <v>115545000</v>
      </c>
      <c r="F102" s="478">
        <f>+F95+F99+F93</f>
        <v>0</v>
      </c>
      <c r="G102" s="478"/>
      <c r="H102" s="478">
        <f>+H95+H99+H93</f>
        <v>65395832</v>
      </c>
      <c r="I102" s="478">
        <f>+I95+I99+I93</f>
        <v>91828451</v>
      </c>
      <c r="J102" s="478">
        <f>+J95+J99+J93</f>
        <v>0</v>
      </c>
      <c r="K102" s="312"/>
      <c r="L102" s="606">
        <f t="shared" si="95"/>
        <v>0.5659771690683284</v>
      </c>
      <c r="M102" s="606">
        <f t="shared" si="96"/>
        <v>0.79474188411441427</v>
      </c>
      <c r="N102" s="606">
        <f t="shared" si="97"/>
        <v>0</v>
      </c>
      <c r="O102" s="312"/>
      <c r="P102" s="478">
        <f t="shared" si="56"/>
        <v>0</v>
      </c>
      <c r="Q102" s="478">
        <f t="shared" si="57"/>
        <v>0</v>
      </c>
      <c r="R102" s="478">
        <f t="shared" si="58"/>
        <v>0</v>
      </c>
      <c r="S102" s="478">
        <f t="shared" si="92"/>
        <v>0</v>
      </c>
      <c r="T102" s="475">
        <f>IF('7. WAMKK'!C100=0,0,+S102/'7. WAMKK'!C100)</f>
        <v>0</v>
      </c>
      <c r="U102" s="120"/>
      <c r="V102" s="195">
        <f>+S102-E102+C102</f>
        <v>0</v>
      </c>
    </row>
    <row r="103" spans="1:23" ht="12.75" customHeight="1" x14ac:dyDescent="0.25">
      <c r="C103" s="317"/>
      <c r="D103" s="317"/>
      <c r="E103" s="317"/>
      <c r="F103" s="317"/>
      <c r="G103" s="317"/>
      <c r="H103" s="317"/>
      <c r="I103" s="317"/>
      <c r="J103" s="317"/>
      <c r="K103" s="317"/>
      <c r="L103" s="610"/>
      <c r="M103" s="610"/>
      <c r="N103" s="610"/>
      <c r="O103" s="317"/>
      <c r="P103" s="317"/>
      <c r="Q103" s="317"/>
      <c r="R103" s="317"/>
      <c r="S103" s="317"/>
    </row>
    <row r="104" spans="1:23" ht="12.75" customHeight="1" x14ac:dyDescent="0.25">
      <c r="C104" s="317">
        <f>+C89-C95-C101</f>
        <v>77932268</v>
      </c>
      <c r="D104" s="317"/>
      <c r="E104" s="317"/>
      <c r="F104" s="317"/>
      <c r="G104" s="317"/>
      <c r="H104" s="317"/>
      <c r="I104" s="317"/>
      <c r="J104" s="317"/>
      <c r="K104" s="317"/>
      <c r="L104" s="610"/>
      <c r="M104" s="610"/>
      <c r="N104" s="610"/>
      <c r="O104" s="317"/>
      <c r="P104" s="317"/>
      <c r="Q104" s="317"/>
      <c r="R104" s="317"/>
      <c r="S104" s="317"/>
    </row>
    <row r="105" spans="1:23" ht="12.75" customHeight="1" x14ac:dyDescent="0.25">
      <c r="L105" s="610"/>
      <c r="M105" s="610"/>
      <c r="N105" s="610"/>
    </row>
    <row r="106" spans="1:23" ht="12.75" customHeight="1" x14ac:dyDescent="0.25">
      <c r="L106" s="610"/>
      <c r="M106" s="610"/>
      <c r="N106" s="610"/>
    </row>
    <row r="107" spans="1:23" ht="12.75" customHeight="1" x14ac:dyDescent="0.25">
      <c r="A107" s="59"/>
      <c r="B107" s="59" t="s">
        <v>471</v>
      </c>
      <c r="C107" s="17">
        <f>+'12_B11'!F24+'12_B11'!F25</f>
        <v>72436429</v>
      </c>
      <c r="D107" s="19"/>
      <c r="L107" s="610"/>
      <c r="M107" s="610"/>
      <c r="N107" s="610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4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E15"/>
  <sheetViews>
    <sheetView view="pageBreakPreview" zoomScale="130" zoomScaleNormal="100" zoomScaleSheetLayoutView="130" workbookViewId="0">
      <selection activeCell="C23" sqref="C23"/>
    </sheetView>
  </sheetViews>
  <sheetFormatPr defaultColWidth="9.33203125" defaultRowHeight="13.2" x14ac:dyDescent="0.25"/>
  <cols>
    <col min="1" max="1" width="9.33203125" style="560" customWidth="1"/>
    <col min="2" max="2" width="28.33203125" style="560" customWidth="1"/>
    <col min="3" max="3" width="61.6640625" style="560" customWidth="1"/>
    <col min="4" max="4" width="20.5546875" style="560" customWidth="1"/>
    <col min="5" max="5" width="16.88671875" style="560" customWidth="1"/>
    <col min="6" max="249" width="9.33203125" style="560"/>
    <col min="250" max="250" width="9.33203125" style="560" customWidth="1"/>
    <col min="251" max="251" width="55.5546875" style="560" customWidth="1"/>
    <col min="252" max="252" width="26.33203125" style="560" customWidth="1"/>
    <col min="253" max="253" width="0" style="560" hidden="1" customWidth="1"/>
    <col min="254" max="254" width="14.5546875" style="560" bestFit="1" customWidth="1"/>
    <col min="255" max="257" width="9.33203125" style="560" customWidth="1"/>
    <col min="258" max="258" width="14.5546875" style="560" bestFit="1" customWidth="1"/>
    <col min="259" max="505" width="9.33203125" style="560"/>
    <col min="506" max="506" width="9.33203125" style="560" customWidth="1"/>
    <col min="507" max="507" width="55.5546875" style="560" customWidth="1"/>
    <col min="508" max="508" width="26.33203125" style="560" customWidth="1"/>
    <col min="509" max="509" width="0" style="560" hidden="1" customWidth="1"/>
    <col min="510" max="510" width="14.5546875" style="560" bestFit="1" customWidth="1"/>
    <col min="511" max="513" width="9.33203125" style="560" customWidth="1"/>
    <col min="514" max="514" width="14.5546875" style="560" bestFit="1" customWidth="1"/>
    <col min="515" max="761" width="9.33203125" style="560"/>
    <col min="762" max="762" width="9.33203125" style="560" customWidth="1"/>
    <col min="763" max="763" width="55.5546875" style="560" customWidth="1"/>
    <col min="764" max="764" width="26.33203125" style="560" customWidth="1"/>
    <col min="765" max="765" width="0" style="560" hidden="1" customWidth="1"/>
    <col min="766" max="766" width="14.5546875" style="560" bestFit="1" customWidth="1"/>
    <col min="767" max="769" width="9.33203125" style="560" customWidth="1"/>
    <col min="770" max="770" width="14.5546875" style="560" bestFit="1" customWidth="1"/>
    <col min="771" max="1017" width="9.33203125" style="560"/>
    <col min="1018" max="1018" width="9.33203125" style="560" customWidth="1"/>
    <col min="1019" max="1019" width="55.5546875" style="560" customWidth="1"/>
    <col min="1020" max="1020" width="26.33203125" style="560" customWidth="1"/>
    <col min="1021" max="1021" width="0" style="560" hidden="1" customWidth="1"/>
    <col min="1022" max="1022" width="14.5546875" style="560" bestFit="1" customWidth="1"/>
    <col min="1023" max="1025" width="9.33203125" style="560" customWidth="1"/>
    <col min="1026" max="1026" width="14.5546875" style="560" bestFit="1" customWidth="1"/>
    <col min="1027" max="1273" width="9.33203125" style="560"/>
    <col min="1274" max="1274" width="9.33203125" style="560" customWidth="1"/>
    <col min="1275" max="1275" width="55.5546875" style="560" customWidth="1"/>
    <col min="1276" max="1276" width="26.33203125" style="560" customWidth="1"/>
    <col min="1277" max="1277" width="0" style="560" hidden="1" customWidth="1"/>
    <col min="1278" max="1278" width="14.5546875" style="560" bestFit="1" customWidth="1"/>
    <col min="1279" max="1281" width="9.33203125" style="560" customWidth="1"/>
    <col min="1282" max="1282" width="14.5546875" style="560" bestFit="1" customWidth="1"/>
    <col min="1283" max="1529" width="9.33203125" style="560"/>
    <col min="1530" max="1530" width="9.33203125" style="560" customWidth="1"/>
    <col min="1531" max="1531" width="55.5546875" style="560" customWidth="1"/>
    <col min="1532" max="1532" width="26.33203125" style="560" customWidth="1"/>
    <col min="1533" max="1533" width="0" style="560" hidden="1" customWidth="1"/>
    <col min="1534" max="1534" width="14.5546875" style="560" bestFit="1" customWidth="1"/>
    <col min="1535" max="1537" width="9.33203125" style="560" customWidth="1"/>
    <col min="1538" max="1538" width="14.5546875" style="560" bestFit="1" customWidth="1"/>
    <col min="1539" max="1785" width="9.33203125" style="560"/>
    <col min="1786" max="1786" width="9.33203125" style="560" customWidth="1"/>
    <col min="1787" max="1787" width="55.5546875" style="560" customWidth="1"/>
    <col min="1788" max="1788" width="26.33203125" style="560" customWidth="1"/>
    <col min="1789" max="1789" width="0" style="560" hidden="1" customWidth="1"/>
    <col min="1790" max="1790" width="14.5546875" style="560" bestFit="1" customWidth="1"/>
    <col min="1791" max="1793" width="9.33203125" style="560" customWidth="1"/>
    <col min="1794" max="1794" width="14.5546875" style="560" bestFit="1" customWidth="1"/>
    <col min="1795" max="2041" width="9.33203125" style="560"/>
    <col min="2042" max="2042" width="9.33203125" style="560" customWidth="1"/>
    <col min="2043" max="2043" width="55.5546875" style="560" customWidth="1"/>
    <col min="2044" max="2044" width="26.33203125" style="560" customWidth="1"/>
    <col min="2045" max="2045" width="0" style="560" hidden="1" customWidth="1"/>
    <col min="2046" max="2046" width="14.5546875" style="560" bestFit="1" customWidth="1"/>
    <col min="2047" max="2049" width="9.33203125" style="560" customWidth="1"/>
    <col min="2050" max="2050" width="14.5546875" style="560" bestFit="1" customWidth="1"/>
    <col min="2051" max="2297" width="9.33203125" style="560"/>
    <col min="2298" max="2298" width="9.33203125" style="560" customWidth="1"/>
    <col min="2299" max="2299" width="55.5546875" style="560" customWidth="1"/>
    <col min="2300" max="2300" width="26.33203125" style="560" customWidth="1"/>
    <col min="2301" max="2301" width="0" style="560" hidden="1" customWidth="1"/>
    <col min="2302" max="2302" width="14.5546875" style="560" bestFit="1" customWidth="1"/>
    <col min="2303" max="2305" width="9.33203125" style="560" customWidth="1"/>
    <col min="2306" max="2306" width="14.5546875" style="560" bestFit="1" customWidth="1"/>
    <col min="2307" max="2553" width="9.33203125" style="560"/>
    <col min="2554" max="2554" width="9.33203125" style="560" customWidth="1"/>
    <col min="2555" max="2555" width="55.5546875" style="560" customWidth="1"/>
    <col min="2556" max="2556" width="26.33203125" style="560" customWidth="1"/>
    <col min="2557" max="2557" width="0" style="560" hidden="1" customWidth="1"/>
    <col min="2558" max="2558" width="14.5546875" style="560" bestFit="1" customWidth="1"/>
    <col min="2559" max="2561" width="9.33203125" style="560" customWidth="1"/>
    <col min="2562" max="2562" width="14.5546875" style="560" bestFit="1" customWidth="1"/>
    <col min="2563" max="2809" width="9.33203125" style="560"/>
    <col min="2810" max="2810" width="9.33203125" style="560" customWidth="1"/>
    <col min="2811" max="2811" width="55.5546875" style="560" customWidth="1"/>
    <col min="2812" max="2812" width="26.33203125" style="560" customWidth="1"/>
    <col min="2813" max="2813" width="0" style="560" hidden="1" customWidth="1"/>
    <col min="2814" max="2814" width="14.5546875" style="560" bestFit="1" customWidth="1"/>
    <col min="2815" max="2817" width="9.33203125" style="560" customWidth="1"/>
    <col min="2818" max="2818" width="14.5546875" style="560" bestFit="1" customWidth="1"/>
    <col min="2819" max="3065" width="9.33203125" style="560"/>
    <col min="3066" max="3066" width="9.33203125" style="560" customWidth="1"/>
    <col min="3067" max="3067" width="55.5546875" style="560" customWidth="1"/>
    <col min="3068" max="3068" width="26.33203125" style="560" customWidth="1"/>
    <col min="3069" max="3069" width="0" style="560" hidden="1" customWidth="1"/>
    <col min="3070" max="3070" width="14.5546875" style="560" bestFit="1" customWidth="1"/>
    <col min="3071" max="3073" width="9.33203125" style="560" customWidth="1"/>
    <col min="3074" max="3074" width="14.5546875" style="560" bestFit="1" customWidth="1"/>
    <col min="3075" max="3321" width="9.33203125" style="560"/>
    <col min="3322" max="3322" width="9.33203125" style="560" customWidth="1"/>
    <col min="3323" max="3323" width="55.5546875" style="560" customWidth="1"/>
    <col min="3324" max="3324" width="26.33203125" style="560" customWidth="1"/>
    <col min="3325" max="3325" width="0" style="560" hidden="1" customWidth="1"/>
    <col min="3326" max="3326" width="14.5546875" style="560" bestFit="1" customWidth="1"/>
    <col min="3327" max="3329" width="9.33203125" style="560" customWidth="1"/>
    <col min="3330" max="3330" width="14.5546875" style="560" bestFit="1" customWidth="1"/>
    <col min="3331" max="3577" width="9.33203125" style="560"/>
    <col min="3578" max="3578" width="9.33203125" style="560" customWidth="1"/>
    <col min="3579" max="3579" width="55.5546875" style="560" customWidth="1"/>
    <col min="3580" max="3580" width="26.33203125" style="560" customWidth="1"/>
    <col min="3581" max="3581" width="0" style="560" hidden="1" customWidth="1"/>
    <col min="3582" max="3582" width="14.5546875" style="560" bestFit="1" customWidth="1"/>
    <col min="3583" max="3585" width="9.33203125" style="560" customWidth="1"/>
    <col min="3586" max="3586" width="14.5546875" style="560" bestFit="1" customWidth="1"/>
    <col min="3587" max="3833" width="9.33203125" style="560"/>
    <col min="3834" max="3834" width="9.33203125" style="560" customWidth="1"/>
    <col min="3835" max="3835" width="55.5546875" style="560" customWidth="1"/>
    <col min="3836" max="3836" width="26.33203125" style="560" customWidth="1"/>
    <col min="3837" max="3837" width="0" style="560" hidden="1" customWidth="1"/>
    <col min="3838" max="3838" width="14.5546875" style="560" bestFit="1" customWidth="1"/>
    <col min="3839" max="3841" width="9.33203125" style="560" customWidth="1"/>
    <col min="3842" max="3842" width="14.5546875" style="560" bestFit="1" customWidth="1"/>
    <col min="3843" max="4089" width="9.33203125" style="560"/>
    <col min="4090" max="4090" width="9.33203125" style="560" customWidth="1"/>
    <col min="4091" max="4091" width="55.5546875" style="560" customWidth="1"/>
    <col min="4092" max="4092" width="26.33203125" style="560" customWidth="1"/>
    <col min="4093" max="4093" width="0" style="560" hidden="1" customWidth="1"/>
    <col min="4094" max="4094" width="14.5546875" style="560" bestFit="1" customWidth="1"/>
    <col min="4095" max="4097" width="9.33203125" style="560" customWidth="1"/>
    <col min="4098" max="4098" width="14.5546875" style="560" bestFit="1" customWidth="1"/>
    <col min="4099" max="4345" width="9.33203125" style="560"/>
    <col min="4346" max="4346" width="9.33203125" style="560" customWidth="1"/>
    <col min="4347" max="4347" width="55.5546875" style="560" customWidth="1"/>
    <col min="4348" max="4348" width="26.33203125" style="560" customWidth="1"/>
    <col min="4349" max="4349" width="0" style="560" hidden="1" customWidth="1"/>
    <col min="4350" max="4350" width="14.5546875" style="560" bestFit="1" customWidth="1"/>
    <col min="4351" max="4353" width="9.33203125" style="560" customWidth="1"/>
    <col min="4354" max="4354" width="14.5546875" style="560" bestFit="1" customWidth="1"/>
    <col min="4355" max="4601" width="9.33203125" style="560"/>
    <col min="4602" max="4602" width="9.33203125" style="560" customWidth="1"/>
    <col min="4603" max="4603" width="55.5546875" style="560" customWidth="1"/>
    <col min="4604" max="4604" width="26.33203125" style="560" customWidth="1"/>
    <col min="4605" max="4605" width="0" style="560" hidden="1" customWidth="1"/>
    <col min="4606" max="4606" width="14.5546875" style="560" bestFit="1" customWidth="1"/>
    <col min="4607" max="4609" width="9.33203125" style="560" customWidth="1"/>
    <col min="4610" max="4610" width="14.5546875" style="560" bestFit="1" customWidth="1"/>
    <col min="4611" max="4857" width="9.33203125" style="560"/>
    <col min="4858" max="4858" width="9.33203125" style="560" customWidth="1"/>
    <col min="4859" max="4859" width="55.5546875" style="560" customWidth="1"/>
    <col min="4860" max="4860" width="26.33203125" style="560" customWidth="1"/>
    <col min="4861" max="4861" width="0" style="560" hidden="1" customWidth="1"/>
    <col min="4862" max="4862" width="14.5546875" style="560" bestFit="1" customWidth="1"/>
    <col min="4863" max="4865" width="9.33203125" style="560" customWidth="1"/>
    <col min="4866" max="4866" width="14.5546875" style="560" bestFit="1" customWidth="1"/>
    <col min="4867" max="5113" width="9.33203125" style="560"/>
    <col min="5114" max="5114" width="9.33203125" style="560" customWidth="1"/>
    <col min="5115" max="5115" width="55.5546875" style="560" customWidth="1"/>
    <col min="5116" max="5116" width="26.33203125" style="560" customWidth="1"/>
    <col min="5117" max="5117" width="0" style="560" hidden="1" customWidth="1"/>
    <col min="5118" max="5118" width="14.5546875" style="560" bestFit="1" customWidth="1"/>
    <col min="5119" max="5121" width="9.33203125" style="560" customWidth="1"/>
    <col min="5122" max="5122" width="14.5546875" style="560" bestFit="1" customWidth="1"/>
    <col min="5123" max="5369" width="9.33203125" style="560"/>
    <col min="5370" max="5370" width="9.33203125" style="560" customWidth="1"/>
    <col min="5371" max="5371" width="55.5546875" style="560" customWidth="1"/>
    <col min="5372" max="5372" width="26.33203125" style="560" customWidth="1"/>
    <col min="5373" max="5373" width="0" style="560" hidden="1" customWidth="1"/>
    <col min="5374" max="5374" width="14.5546875" style="560" bestFit="1" customWidth="1"/>
    <col min="5375" max="5377" width="9.33203125" style="560" customWidth="1"/>
    <col min="5378" max="5378" width="14.5546875" style="560" bestFit="1" customWidth="1"/>
    <col min="5379" max="5625" width="9.33203125" style="560"/>
    <col min="5626" max="5626" width="9.33203125" style="560" customWidth="1"/>
    <col min="5627" max="5627" width="55.5546875" style="560" customWidth="1"/>
    <col min="5628" max="5628" width="26.33203125" style="560" customWidth="1"/>
    <col min="5629" max="5629" width="0" style="560" hidden="1" customWidth="1"/>
    <col min="5630" max="5630" width="14.5546875" style="560" bestFit="1" customWidth="1"/>
    <col min="5631" max="5633" width="9.33203125" style="560" customWidth="1"/>
    <col min="5634" max="5634" width="14.5546875" style="560" bestFit="1" customWidth="1"/>
    <col min="5635" max="5881" width="9.33203125" style="560"/>
    <col min="5882" max="5882" width="9.33203125" style="560" customWidth="1"/>
    <col min="5883" max="5883" width="55.5546875" style="560" customWidth="1"/>
    <col min="5884" max="5884" width="26.33203125" style="560" customWidth="1"/>
    <col min="5885" max="5885" width="0" style="560" hidden="1" customWidth="1"/>
    <col min="5886" max="5886" width="14.5546875" style="560" bestFit="1" customWidth="1"/>
    <col min="5887" max="5889" width="9.33203125" style="560" customWidth="1"/>
    <col min="5890" max="5890" width="14.5546875" style="560" bestFit="1" customWidth="1"/>
    <col min="5891" max="6137" width="9.33203125" style="560"/>
    <col min="6138" max="6138" width="9.33203125" style="560" customWidth="1"/>
    <col min="6139" max="6139" width="55.5546875" style="560" customWidth="1"/>
    <col min="6140" max="6140" width="26.33203125" style="560" customWidth="1"/>
    <col min="6141" max="6141" width="0" style="560" hidden="1" customWidth="1"/>
    <col min="6142" max="6142" width="14.5546875" style="560" bestFit="1" customWidth="1"/>
    <col min="6143" max="6145" width="9.33203125" style="560" customWidth="1"/>
    <col min="6146" max="6146" width="14.5546875" style="560" bestFit="1" customWidth="1"/>
    <col min="6147" max="6393" width="9.33203125" style="560"/>
    <col min="6394" max="6394" width="9.33203125" style="560" customWidth="1"/>
    <col min="6395" max="6395" width="55.5546875" style="560" customWidth="1"/>
    <col min="6396" max="6396" width="26.33203125" style="560" customWidth="1"/>
    <col min="6397" max="6397" width="0" style="560" hidden="1" customWidth="1"/>
    <col min="6398" max="6398" width="14.5546875" style="560" bestFit="1" customWidth="1"/>
    <col min="6399" max="6401" width="9.33203125" style="560" customWidth="1"/>
    <col min="6402" max="6402" width="14.5546875" style="560" bestFit="1" customWidth="1"/>
    <col min="6403" max="6649" width="9.33203125" style="560"/>
    <col min="6650" max="6650" width="9.33203125" style="560" customWidth="1"/>
    <col min="6651" max="6651" width="55.5546875" style="560" customWidth="1"/>
    <col min="6652" max="6652" width="26.33203125" style="560" customWidth="1"/>
    <col min="6653" max="6653" width="0" style="560" hidden="1" customWidth="1"/>
    <col min="6654" max="6654" width="14.5546875" style="560" bestFit="1" customWidth="1"/>
    <col min="6655" max="6657" width="9.33203125" style="560" customWidth="1"/>
    <col min="6658" max="6658" width="14.5546875" style="560" bestFit="1" customWidth="1"/>
    <col min="6659" max="6905" width="9.33203125" style="560"/>
    <col min="6906" max="6906" width="9.33203125" style="560" customWidth="1"/>
    <col min="6907" max="6907" width="55.5546875" style="560" customWidth="1"/>
    <col min="6908" max="6908" width="26.33203125" style="560" customWidth="1"/>
    <col min="6909" max="6909" width="0" style="560" hidden="1" customWidth="1"/>
    <col min="6910" max="6910" width="14.5546875" style="560" bestFit="1" customWidth="1"/>
    <col min="6911" max="6913" width="9.33203125" style="560" customWidth="1"/>
    <col min="6914" max="6914" width="14.5546875" style="560" bestFit="1" customWidth="1"/>
    <col min="6915" max="7161" width="9.33203125" style="560"/>
    <col min="7162" max="7162" width="9.33203125" style="560" customWidth="1"/>
    <col min="7163" max="7163" width="55.5546875" style="560" customWidth="1"/>
    <col min="7164" max="7164" width="26.33203125" style="560" customWidth="1"/>
    <col min="7165" max="7165" width="0" style="560" hidden="1" customWidth="1"/>
    <col min="7166" max="7166" width="14.5546875" style="560" bestFit="1" customWidth="1"/>
    <col min="7167" max="7169" width="9.33203125" style="560" customWidth="1"/>
    <col min="7170" max="7170" width="14.5546875" style="560" bestFit="1" customWidth="1"/>
    <col min="7171" max="7417" width="9.33203125" style="560"/>
    <col min="7418" max="7418" width="9.33203125" style="560" customWidth="1"/>
    <col min="7419" max="7419" width="55.5546875" style="560" customWidth="1"/>
    <col min="7420" max="7420" width="26.33203125" style="560" customWidth="1"/>
    <col min="7421" max="7421" width="0" style="560" hidden="1" customWidth="1"/>
    <col min="7422" max="7422" width="14.5546875" style="560" bestFit="1" customWidth="1"/>
    <col min="7423" max="7425" width="9.33203125" style="560" customWidth="1"/>
    <col min="7426" max="7426" width="14.5546875" style="560" bestFit="1" customWidth="1"/>
    <col min="7427" max="7673" width="9.33203125" style="560"/>
    <col min="7674" max="7674" width="9.33203125" style="560" customWidth="1"/>
    <col min="7675" max="7675" width="55.5546875" style="560" customWidth="1"/>
    <col min="7676" max="7676" width="26.33203125" style="560" customWidth="1"/>
    <col min="7677" max="7677" width="0" style="560" hidden="1" customWidth="1"/>
    <col min="7678" max="7678" width="14.5546875" style="560" bestFit="1" customWidth="1"/>
    <col min="7679" max="7681" width="9.33203125" style="560" customWidth="1"/>
    <col min="7682" max="7682" width="14.5546875" style="560" bestFit="1" customWidth="1"/>
    <col min="7683" max="7929" width="9.33203125" style="560"/>
    <col min="7930" max="7930" width="9.33203125" style="560" customWidth="1"/>
    <col min="7931" max="7931" width="55.5546875" style="560" customWidth="1"/>
    <col min="7932" max="7932" width="26.33203125" style="560" customWidth="1"/>
    <col min="7933" max="7933" width="0" style="560" hidden="1" customWidth="1"/>
    <col min="7934" max="7934" width="14.5546875" style="560" bestFit="1" customWidth="1"/>
    <col min="7935" max="7937" width="9.33203125" style="560" customWidth="1"/>
    <col min="7938" max="7938" width="14.5546875" style="560" bestFit="1" customWidth="1"/>
    <col min="7939" max="8185" width="9.33203125" style="560"/>
    <col min="8186" max="8186" width="9.33203125" style="560" customWidth="1"/>
    <col min="8187" max="8187" width="55.5546875" style="560" customWidth="1"/>
    <col min="8188" max="8188" width="26.33203125" style="560" customWidth="1"/>
    <col min="8189" max="8189" width="0" style="560" hidden="1" customWidth="1"/>
    <col min="8190" max="8190" width="14.5546875" style="560" bestFit="1" customWidth="1"/>
    <col min="8191" max="8193" width="9.33203125" style="560" customWidth="1"/>
    <col min="8194" max="8194" width="14.5546875" style="560" bestFit="1" customWidth="1"/>
    <col min="8195" max="8441" width="9.33203125" style="560"/>
    <col min="8442" max="8442" width="9.33203125" style="560" customWidth="1"/>
    <col min="8443" max="8443" width="55.5546875" style="560" customWidth="1"/>
    <col min="8444" max="8444" width="26.33203125" style="560" customWidth="1"/>
    <col min="8445" max="8445" width="0" style="560" hidden="1" customWidth="1"/>
    <col min="8446" max="8446" width="14.5546875" style="560" bestFit="1" customWidth="1"/>
    <col min="8447" max="8449" width="9.33203125" style="560" customWidth="1"/>
    <col min="8450" max="8450" width="14.5546875" style="560" bestFit="1" customWidth="1"/>
    <col min="8451" max="8697" width="9.33203125" style="560"/>
    <col min="8698" max="8698" width="9.33203125" style="560" customWidth="1"/>
    <col min="8699" max="8699" width="55.5546875" style="560" customWidth="1"/>
    <col min="8700" max="8700" width="26.33203125" style="560" customWidth="1"/>
    <col min="8701" max="8701" width="0" style="560" hidden="1" customWidth="1"/>
    <col min="8702" max="8702" width="14.5546875" style="560" bestFit="1" customWidth="1"/>
    <col min="8703" max="8705" width="9.33203125" style="560" customWidth="1"/>
    <col min="8706" max="8706" width="14.5546875" style="560" bestFit="1" customWidth="1"/>
    <col min="8707" max="8953" width="9.33203125" style="560"/>
    <col min="8954" max="8954" width="9.33203125" style="560" customWidth="1"/>
    <col min="8955" max="8955" width="55.5546875" style="560" customWidth="1"/>
    <col min="8956" max="8956" width="26.33203125" style="560" customWidth="1"/>
    <col min="8957" max="8957" width="0" style="560" hidden="1" customWidth="1"/>
    <col min="8958" max="8958" width="14.5546875" style="560" bestFit="1" customWidth="1"/>
    <col min="8959" max="8961" width="9.33203125" style="560" customWidth="1"/>
    <col min="8962" max="8962" width="14.5546875" style="560" bestFit="1" customWidth="1"/>
    <col min="8963" max="9209" width="9.33203125" style="560"/>
    <col min="9210" max="9210" width="9.33203125" style="560" customWidth="1"/>
    <col min="9211" max="9211" width="55.5546875" style="560" customWidth="1"/>
    <col min="9212" max="9212" width="26.33203125" style="560" customWidth="1"/>
    <col min="9213" max="9213" width="0" style="560" hidden="1" customWidth="1"/>
    <col min="9214" max="9214" width="14.5546875" style="560" bestFit="1" customWidth="1"/>
    <col min="9215" max="9217" width="9.33203125" style="560" customWidth="1"/>
    <col min="9218" max="9218" width="14.5546875" style="560" bestFit="1" customWidth="1"/>
    <col min="9219" max="9465" width="9.33203125" style="560"/>
    <col min="9466" max="9466" width="9.33203125" style="560" customWidth="1"/>
    <col min="9467" max="9467" width="55.5546875" style="560" customWidth="1"/>
    <col min="9468" max="9468" width="26.33203125" style="560" customWidth="1"/>
    <col min="9469" max="9469" width="0" style="560" hidden="1" customWidth="1"/>
    <col min="9470" max="9470" width="14.5546875" style="560" bestFit="1" customWidth="1"/>
    <col min="9471" max="9473" width="9.33203125" style="560" customWidth="1"/>
    <col min="9474" max="9474" width="14.5546875" style="560" bestFit="1" customWidth="1"/>
    <col min="9475" max="9721" width="9.33203125" style="560"/>
    <col min="9722" max="9722" width="9.33203125" style="560" customWidth="1"/>
    <col min="9723" max="9723" width="55.5546875" style="560" customWidth="1"/>
    <col min="9724" max="9724" width="26.33203125" style="560" customWidth="1"/>
    <col min="9725" max="9725" width="0" style="560" hidden="1" customWidth="1"/>
    <col min="9726" max="9726" width="14.5546875" style="560" bestFit="1" customWidth="1"/>
    <col min="9727" max="9729" width="9.33203125" style="560" customWidth="1"/>
    <col min="9730" max="9730" width="14.5546875" style="560" bestFit="1" customWidth="1"/>
    <col min="9731" max="9977" width="9.33203125" style="560"/>
    <col min="9978" max="9978" width="9.33203125" style="560" customWidth="1"/>
    <col min="9979" max="9979" width="55.5546875" style="560" customWidth="1"/>
    <col min="9980" max="9980" width="26.33203125" style="560" customWidth="1"/>
    <col min="9981" max="9981" width="0" style="560" hidden="1" customWidth="1"/>
    <col min="9982" max="9982" width="14.5546875" style="560" bestFit="1" customWidth="1"/>
    <col min="9983" max="9985" width="9.33203125" style="560" customWidth="1"/>
    <col min="9986" max="9986" width="14.5546875" style="560" bestFit="1" customWidth="1"/>
    <col min="9987" max="10233" width="9.33203125" style="560"/>
    <col min="10234" max="10234" width="9.33203125" style="560" customWidth="1"/>
    <col min="10235" max="10235" width="55.5546875" style="560" customWidth="1"/>
    <col min="10236" max="10236" width="26.33203125" style="560" customWidth="1"/>
    <col min="10237" max="10237" width="0" style="560" hidden="1" customWidth="1"/>
    <col min="10238" max="10238" width="14.5546875" style="560" bestFit="1" customWidth="1"/>
    <col min="10239" max="10241" width="9.33203125" style="560" customWidth="1"/>
    <col min="10242" max="10242" width="14.5546875" style="560" bestFit="1" customWidth="1"/>
    <col min="10243" max="10489" width="9.33203125" style="560"/>
    <col min="10490" max="10490" width="9.33203125" style="560" customWidth="1"/>
    <col min="10491" max="10491" width="55.5546875" style="560" customWidth="1"/>
    <col min="10492" max="10492" width="26.33203125" style="560" customWidth="1"/>
    <col min="10493" max="10493" width="0" style="560" hidden="1" customWidth="1"/>
    <col min="10494" max="10494" width="14.5546875" style="560" bestFit="1" customWidth="1"/>
    <col min="10495" max="10497" width="9.33203125" style="560" customWidth="1"/>
    <col min="10498" max="10498" width="14.5546875" style="560" bestFit="1" customWidth="1"/>
    <col min="10499" max="10745" width="9.33203125" style="560"/>
    <col min="10746" max="10746" width="9.33203125" style="560" customWidth="1"/>
    <col min="10747" max="10747" width="55.5546875" style="560" customWidth="1"/>
    <col min="10748" max="10748" width="26.33203125" style="560" customWidth="1"/>
    <col min="10749" max="10749" width="0" style="560" hidden="1" customWidth="1"/>
    <col min="10750" max="10750" width="14.5546875" style="560" bestFit="1" customWidth="1"/>
    <col min="10751" max="10753" width="9.33203125" style="560" customWidth="1"/>
    <col min="10754" max="10754" width="14.5546875" style="560" bestFit="1" customWidth="1"/>
    <col min="10755" max="11001" width="9.33203125" style="560"/>
    <col min="11002" max="11002" width="9.33203125" style="560" customWidth="1"/>
    <col min="11003" max="11003" width="55.5546875" style="560" customWidth="1"/>
    <col min="11004" max="11004" width="26.33203125" style="560" customWidth="1"/>
    <col min="11005" max="11005" width="0" style="560" hidden="1" customWidth="1"/>
    <col min="11006" max="11006" width="14.5546875" style="560" bestFit="1" customWidth="1"/>
    <col min="11007" max="11009" width="9.33203125" style="560" customWidth="1"/>
    <col min="11010" max="11010" width="14.5546875" style="560" bestFit="1" customWidth="1"/>
    <col min="11011" max="11257" width="9.33203125" style="560"/>
    <col min="11258" max="11258" width="9.33203125" style="560" customWidth="1"/>
    <col min="11259" max="11259" width="55.5546875" style="560" customWidth="1"/>
    <col min="11260" max="11260" width="26.33203125" style="560" customWidth="1"/>
    <col min="11261" max="11261" width="0" style="560" hidden="1" customWidth="1"/>
    <col min="11262" max="11262" width="14.5546875" style="560" bestFit="1" customWidth="1"/>
    <col min="11263" max="11265" width="9.33203125" style="560" customWidth="1"/>
    <col min="11266" max="11266" width="14.5546875" style="560" bestFit="1" customWidth="1"/>
    <col min="11267" max="11513" width="9.33203125" style="560"/>
    <col min="11514" max="11514" width="9.33203125" style="560" customWidth="1"/>
    <col min="11515" max="11515" width="55.5546875" style="560" customWidth="1"/>
    <col min="11516" max="11516" width="26.33203125" style="560" customWidth="1"/>
    <col min="11517" max="11517" width="0" style="560" hidden="1" customWidth="1"/>
    <col min="11518" max="11518" width="14.5546875" style="560" bestFit="1" customWidth="1"/>
    <col min="11519" max="11521" width="9.33203125" style="560" customWidth="1"/>
    <col min="11522" max="11522" width="14.5546875" style="560" bestFit="1" customWidth="1"/>
    <col min="11523" max="11769" width="9.33203125" style="560"/>
    <col min="11770" max="11770" width="9.33203125" style="560" customWidth="1"/>
    <col min="11771" max="11771" width="55.5546875" style="560" customWidth="1"/>
    <col min="11772" max="11772" width="26.33203125" style="560" customWidth="1"/>
    <col min="11773" max="11773" width="0" style="560" hidden="1" customWidth="1"/>
    <col min="11774" max="11774" width="14.5546875" style="560" bestFit="1" customWidth="1"/>
    <col min="11775" max="11777" width="9.33203125" style="560" customWidth="1"/>
    <col min="11778" max="11778" width="14.5546875" style="560" bestFit="1" customWidth="1"/>
    <col min="11779" max="12025" width="9.33203125" style="560"/>
    <col min="12026" max="12026" width="9.33203125" style="560" customWidth="1"/>
    <col min="12027" max="12027" width="55.5546875" style="560" customWidth="1"/>
    <col min="12028" max="12028" width="26.33203125" style="560" customWidth="1"/>
    <col min="12029" max="12029" width="0" style="560" hidden="1" customWidth="1"/>
    <col min="12030" max="12030" width="14.5546875" style="560" bestFit="1" customWidth="1"/>
    <col min="12031" max="12033" width="9.33203125" style="560" customWidth="1"/>
    <col min="12034" max="12034" width="14.5546875" style="560" bestFit="1" customWidth="1"/>
    <col min="12035" max="12281" width="9.33203125" style="560"/>
    <col min="12282" max="12282" width="9.33203125" style="560" customWidth="1"/>
    <col min="12283" max="12283" width="55.5546875" style="560" customWidth="1"/>
    <col min="12284" max="12284" width="26.33203125" style="560" customWidth="1"/>
    <col min="12285" max="12285" width="0" style="560" hidden="1" customWidth="1"/>
    <col min="12286" max="12286" width="14.5546875" style="560" bestFit="1" customWidth="1"/>
    <col min="12287" max="12289" width="9.33203125" style="560" customWidth="1"/>
    <col min="12290" max="12290" width="14.5546875" style="560" bestFit="1" customWidth="1"/>
    <col min="12291" max="12537" width="9.33203125" style="560"/>
    <col min="12538" max="12538" width="9.33203125" style="560" customWidth="1"/>
    <col min="12539" max="12539" width="55.5546875" style="560" customWidth="1"/>
    <col min="12540" max="12540" width="26.33203125" style="560" customWidth="1"/>
    <col min="12541" max="12541" width="0" style="560" hidden="1" customWidth="1"/>
    <col min="12542" max="12542" width="14.5546875" style="560" bestFit="1" customWidth="1"/>
    <col min="12543" max="12545" width="9.33203125" style="560" customWidth="1"/>
    <col min="12546" max="12546" width="14.5546875" style="560" bestFit="1" customWidth="1"/>
    <col min="12547" max="12793" width="9.33203125" style="560"/>
    <col min="12794" max="12794" width="9.33203125" style="560" customWidth="1"/>
    <col min="12795" max="12795" width="55.5546875" style="560" customWidth="1"/>
    <col min="12796" max="12796" width="26.33203125" style="560" customWidth="1"/>
    <col min="12797" max="12797" width="0" style="560" hidden="1" customWidth="1"/>
    <col min="12798" max="12798" width="14.5546875" style="560" bestFit="1" customWidth="1"/>
    <col min="12799" max="12801" width="9.33203125" style="560" customWidth="1"/>
    <col min="12802" max="12802" width="14.5546875" style="560" bestFit="1" customWidth="1"/>
    <col min="12803" max="13049" width="9.33203125" style="560"/>
    <col min="13050" max="13050" width="9.33203125" style="560" customWidth="1"/>
    <col min="13051" max="13051" width="55.5546875" style="560" customWidth="1"/>
    <col min="13052" max="13052" width="26.33203125" style="560" customWidth="1"/>
    <col min="13053" max="13053" width="0" style="560" hidden="1" customWidth="1"/>
    <col min="13054" max="13054" width="14.5546875" style="560" bestFit="1" customWidth="1"/>
    <col min="13055" max="13057" width="9.33203125" style="560" customWidth="1"/>
    <col min="13058" max="13058" width="14.5546875" style="560" bestFit="1" customWidth="1"/>
    <col min="13059" max="13305" width="9.33203125" style="560"/>
    <col min="13306" max="13306" width="9.33203125" style="560" customWidth="1"/>
    <col min="13307" max="13307" width="55.5546875" style="560" customWidth="1"/>
    <col min="13308" max="13308" width="26.33203125" style="560" customWidth="1"/>
    <col min="13309" max="13309" width="0" style="560" hidden="1" customWidth="1"/>
    <col min="13310" max="13310" width="14.5546875" style="560" bestFit="1" customWidth="1"/>
    <col min="13311" max="13313" width="9.33203125" style="560" customWidth="1"/>
    <col min="13314" max="13314" width="14.5546875" style="560" bestFit="1" customWidth="1"/>
    <col min="13315" max="13561" width="9.33203125" style="560"/>
    <col min="13562" max="13562" width="9.33203125" style="560" customWidth="1"/>
    <col min="13563" max="13563" width="55.5546875" style="560" customWidth="1"/>
    <col min="13564" max="13564" width="26.33203125" style="560" customWidth="1"/>
    <col min="13565" max="13565" width="0" style="560" hidden="1" customWidth="1"/>
    <col min="13566" max="13566" width="14.5546875" style="560" bestFit="1" customWidth="1"/>
    <col min="13567" max="13569" width="9.33203125" style="560" customWidth="1"/>
    <col min="13570" max="13570" width="14.5546875" style="560" bestFit="1" customWidth="1"/>
    <col min="13571" max="13817" width="9.33203125" style="560"/>
    <col min="13818" max="13818" width="9.33203125" style="560" customWidth="1"/>
    <col min="13819" max="13819" width="55.5546875" style="560" customWidth="1"/>
    <col min="13820" max="13820" width="26.33203125" style="560" customWidth="1"/>
    <col min="13821" max="13821" width="0" style="560" hidden="1" customWidth="1"/>
    <col min="13822" max="13822" width="14.5546875" style="560" bestFit="1" customWidth="1"/>
    <col min="13823" max="13825" width="9.33203125" style="560" customWidth="1"/>
    <col min="13826" max="13826" width="14.5546875" style="560" bestFit="1" customWidth="1"/>
    <col min="13827" max="14073" width="9.33203125" style="560"/>
    <col min="14074" max="14074" width="9.33203125" style="560" customWidth="1"/>
    <col min="14075" max="14075" width="55.5546875" style="560" customWidth="1"/>
    <col min="14076" max="14076" width="26.33203125" style="560" customWidth="1"/>
    <col min="14077" max="14077" width="0" style="560" hidden="1" customWidth="1"/>
    <col min="14078" max="14078" width="14.5546875" style="560" bestFit="1" customWidth="1"/>
    <col min="14079" max="14081" width="9.33203125" style="560" customWidth="1"/>
    <col min="14082" max="14082" width="14.5546875" style="560" bestFit="1" customWidth="1"/>
    <col min="14083" max="14329" width="9.33203125" style="560"/>
    <col min="14330" max="14330" width="9.33203125" style="560" customWidth="1"/>
    <col min="14331" max="14331" width="55.5546875" style="560" customWidth="1"/>
    <col min="14332" max="14332" width="26.33203125" style="560" customWidth="1"/>
    <col min="14333" max="14333" width="0" style="560" hidden="1" customWidth="1"/>
    <col min="14334" max="14334" width="14.5546875" style="560" bestFit="1" customWidth="1"/>
    <col min="14335" max="14337" width="9.33203125" style="560" customWidth="1"/>
    <col min="14338" max="14338" width="14.5546875" style="560" bestFit="1" customWidth="1"/>
    <col min="14339" max="14585" width="9.33203125" style="560"/>
    <col min="14586" max="14586" width="9.33203125" style="560" customWidth="1"/>
    <col min="14587" max="14587" width="55.5546875" style="560" customWidth="1"/>
    <col min="14588" max="14588" width="26.33203125" style="560" customWidth="1"/>
    <col min="14589" max="14589" width="0" style="560" hidden="1" customWidth="1"/>
    <col min="14590" max="14590" width="14.5546875" style="560" bestFit="1" customWidth="1"/>
    <col min="14591" max="14593" width="9.33203125" style="560" customWidth="1"/>
    <col min="14594" max="14594" width="14.5546875" style="560" bestFit="1" customWidth="1"/>
    <col min="14595" max="14841" width="9.33203125" style="560"/>
    <col min="14842" max="14842" width="9.33203125" style="560" customWidth="1"/>
    <col min="14843" max="14843" width="55.5546875" style="560" customWidth="1"/>
    <col min="14844" max="14844" width="26.33203125" style="560" customWidth="1"/>
    <col min="14845" max="14845" width="0" style="560" hidden="1" customWidth="1"/>
    <col min="14846" max="14846" width="14.5546875" style="560" bestFit="1" customWidth="1"/>
    <col min="14847" max="14849" width="9.33203125" style="560" customWidth="1"/>
    <col min="14850" max="14850" width="14.5546875" style="560" bestFit="1" customWidth="1"/>
    <col min="14851" max="15097" width="9.33203125" style="560"/>
    <col min="15098" max="15098" width="9.33203125" style="560" customWidth="1"/>
    <col min="15099" max="15099" width="55.5546875" style="560" customWidth="1"/>
    <col min="15100" max="15100" width="26.33203125" style="560" customWidth="1"/>
    <col min="15101" max="15101" width="0" style="560" hidden="1" customWidth="1"/>
    <col min="15102" max="15102" width="14.5546875" style="560" bestFit="1" customWidth="1"/>
    <col min="15103" max="15105" width="9.33203125" style="560" customWidth="1"/>
    <col min="15106" max="15106" width="14.5546875" style="560" bestFit="1" customWidth="1"/>
    <col min="15107" max="15353" width="9.33203125" style="560"/>
    <col min="15354" max="15354" width="9.33203125" style="560" customWidth="1"/>
    <col min="15355" max="15355" width="55.5546875" style="560" customWidth="1"/>
    <col min="15356" max="15356" width="26.33203125" style="560" customWidth="1"/>
    <col min="15357" max="15357" width="0" style="560" hidden="1" customWidth="1"/>
    <col min="15358" max="15358" width="14.5546875" style="560" bestFit="1" customWidth="1"/>
    <col min="15359" max="15361" width="9.33203125" style="560" customWidth="1"/>
    <col min="15362" max="15362" width="14.5546875" style="560" bestFit="1" customWidth="1"/>
    <col min="15363" max="15609" width="9.33203125" style="560"/>
    <col min="15610" max="15610" width="9.33203125" style="560" customWidth="1"/>
    <col min="15611" max="15611" width="55.5546875" style="560" customWidth="1"/>
    <col min="15612" max="15612" width="26.33203125" style="560" customWidth="1"/>
    <col min="15613" max="15613" width="0" style="560" hidden="1" customWidth="1"/>
    <col min="15614" max="15614" width="14.5546875" style="560" bestFit="1" customWidth="1"/>
    <col min="15615" max="15617" width="9.33203125" style="560" customWidth="1"/>
    <col min="15618" max="15618" width="14.5546875" style="560" bestFit="1" customWidth="1"/>
    <col min="15619" max="15865" width="9.33203125" style="560"/>
    <col min="15866" max="15866" width="9.33203125" style="560" customWidth="1"/>
    <col min="15867" max="15867" width="55.5546875" style="560" customWidth="1"/>
    <col min="15868" max="15868" width="26.33203125" style="560" customWidth="1"/>
    <col min="15869" max="15869" width="0" style="560" hidden="1" customWidth="1"/>
    <col min="15870" max="15870" width="14.5546875" style="560" bestFit="1" customWidth="1"/>
    <col min="15871" max="15873" width="9.33203125" style="560" customWidth="1"/>
    <col min="15874" max="15874" width="14.5546875" style="560" bestFit="1" customWidth="1"/>
    <col min="15875" max="16121" width="9.33203125" style="560"/>
    <col min="16122" max="16122" width="9.33203125" style="560" customWidth="1"/>
    <col min="16123" max="16123" width="55.5546875" style="560" customWidth="1"/>
    <col min="16124" max="16124" width="26.33203125" style="560" customWidth="1"/>
    <col min="16125" max="16125" width="0" style="560" hidden="1" customWidth="1"/>
    <col min="16126" max="16126" width="14.5546875" style="560" bestFit="1" customWidth="1"/>
    <col min="16127" max="16129" width="9.33203125" style="560" customWidth="1"/>
    <col min="16130" max="16130" width="14.5546875" style="560" bestFit="1" customWidth="1"/>
    <col min="16131" max="16384" width="9.33203125" style="560"/>
  </cols>
  <sheetData>
    <row r="1" spans="1:5" ht="16.8" x14ac:dyDescent="0.3">
      <c r="A1" s="761" t="str">
        <f>+' 2. Önk. Bevételek'!A1</f>
        <v>Sülysáp Város Önkormányzata</v>
      </c>
    </row>
    <row r="2" spans="1:5" x14ac:dyDescent="0.25">
      <c r="A2" s="579"/>
    </row>
    <row r="3" spans="1:5" x14ac:dyDescent="0.25">
      <c r="A3" s="929" t="s">
        <v>588</v>
      </c>
      <c r="B3" s="929"/>
      <c r="C3" s="929"/>
      <c r="D3" s="929"/>
      <c r="E3" s="813"/>
    </row>
    <row r="4" spans="1:5" ht="13.8" thickBot="1" x14ac:dyDescent="0.3">
      <c r="A4" s="857"/>
      <c r="B4" s="857"/>
      <c r="C4" s="857"/>
      <c r="D4" s="857"/>
      <c r="E4" s="857"/>
    </row>
    <row r="5" spans="1:5" x14ac:dyDescent="0.25">
      <c r="A5" s="939"/>
      <c r="B5" s="940"/>
      <c r="C5" s="940"/>
      <c r="D5" s="941" t="s">
        <v>586</v>
      </c>
      <c r="E5" s="942" t="s">
        <v>585</v>
      </c>
    </row>
    <row r="6" spans="1:5" ht="28.2" customHeight="1" x14ac:dyDescent="0.25">
      <c r="A6" s="943" t="s">
        <v>364</v>
      </c>
      <c r="B6" s="861" t="s">
        <v>362</v>
      </c>
      <c r="C6" s="862" t="s">
        <v>464</v>
      </c>
      <c r="D6" s="858">
        <f>SUM(D7:D12)</f>
        <v>115830000</v>
      </c>
      <c r="E6" s="944">
        <f>SUM(E7:E12)</f>
        <v>125291665</v>
      </c>
    </row>
    <row r="7" spans="1:5" x14ac:dyDescent="0.25">
      <c r="A7" s="945"/>
      <c r="B7" s="770"/>
      <c r="C7" s="863" t="s">
        <v>465</v>
      </c>
      <c r="D7" s="859">
        <v>4830000</v>
      </c>
      <c r="E7" s="946">
        <f>3984150-500000</f>
        <v>3484150</v>
      </c>
    </row>
    <row r="8" spans="1:5" x14ac:dyDescent="0.25">
      <c r="A8" s="561"/>
      <c r="B8" s="558"/>
      <c r="C8" s="863" t="s">
        <v>584</v>
      </c>
      <c r="D8" s="859">
        <v>1000000</v>
      </c>
      <c r="E8" s="946">
        <v>500000</v>
      </c>
    </row>
    <row r="9" spans="1:5" x14ac:dyDescent="0.25">
      <c r="A9" s="561"/>
      <c r="B9" s="559"/>
      <c r="C9" s="864" t="s">
        <v>531</v>
      </c>
      <c r="D9" s="860">
        <v>1200000</v>
      </c>
      <c r="E9" s="947">
        <v>600000</v>
      </c>
    </row>
    <row r="10" spans="1:5" x14ac:dyDescent="0.25">
      <c r="A10" s="561"/>
      <c r="B10" s="559"/>
      <c r="C10" s="863" t="s">
        <v>532</v>
      </c>
      <c r="D10" s="859">
        <v>11300000</v>
      </c>
      <c r="E10" s="946">
        <f>16005828+16723837</f>
        <v>32729665</v>
      </c>
    </row>
    <row r="11" spans="1:5" x14ac:dyDescent="0.25">
      <c r="A11" s="561"/>
      <c r="B11" s="559"/>
      <c r="C11" s="863" t="s">
        <v>467</v>
      </c>
      <c r="D11" s="859">
        <v>96500000</v>
      </c>
      <c r="E11" s="946">
        <v>87977850</v>
      </c>
    </row>
    <row r="12" spans="1:5" ht="13.8" thickBot="1" x14ac:dyDescent="0.3">
      <c r="A12" s="562"/>
      <c r="B12" s="563"/>
      <c r="C12" s="948" t="s">
        <v>466</v>
      </c>
      <c r="D12" s="949">
        <v>1000000</v>
      </c>
      <c r="E12" s="950">
        <v>0</v>
      </c>
    </row>
    <row r="14" spans="1:5" ht="13.8" x14ac:dyDescent="0.3">
      <c r="A14" s="559"/>
      <c r="B14" s="559"/>
      <c r="C14" s="724"/>
      <c r="D14" s="724"/>
      <c r="E14" s="724"/>
    </row>
    <row r="15" spans="1:5" x14ac:dyDescent="0.25">
      <c r="A15" s="559"/>
      <c r="B15" s="559"/>
      <c r="C15" s="559"/>
      <c r="D15" s="559"/>
      <c r="E15" s="559"/>
    </row>
  </sheetData>
  <mergeCells count="1">
    <mergeCell ref="A3:D3"/>
  </mergeCells>
  <pageMargins left="0.7" right="0.7" top="0.75" bottom="0.75" header="0.3" footer="0.3"/>
  <pageSetup scale="6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zoomScaleNormal="100" zoomScaleSheetLayoutView="85" workbookViewId="0">
      <selection activeCell="E5" sqref="E5"/>
    </sheetView>
  </sheetViews>
  <sheetFormatPr defaultColWidth="9.33203125" defaultRowHeight="13.2" x14ac:dyDescent="0.25"/>
  <cols>
    <col min="1" max="1" width="9.33203125" customWidth="1"/>
    <col min="2" max="2" width="38" customWidth="1"/>
    <col min="3" max="3" width="47.109375" customWidth="1"/>
    <col min="4" max="4" width="20.5546875" customWidth="1"/>
    <col min="5" max="5" width="17.21875" style="46" customWidth="1"/>
    <col min="252" max="252" width="9.33203125" customWidth="1"/>
    <col min="253" max="253" width="55.5546875" customWidth="1"/>
    <col min="254" max="254" width="26.33203125" customWidth="1"/>
    <col min="255" max="255" width="0" hidden="1" customWidth="1"/>
    <col min="256" max="256" width="14.5546875" bestFit="1" customWidth="1"/>
    <col min="257" max="259" width="9.33203125" customWidth="1"/>
    <col min="260" max="260" width="14.5546875" bestFit="1" customWidth="1"/>
    <col min="508" max="508" width="9.33203125" customWidth="1"/>
    <col min="509" max="509" width="55.5546875" customWidth="1"/>
    <col min="510" max="510" width="26.33203125" customWidth="1"/>
    <col min="511" max="511" width="0" hidden="1" customWidth="1"/>
    <col min="512" max="512" width="14.5546875" bestFit="1" customWidth="1"/>
    <col min="513" max="515" width="9.33203125" customWidth="1"/>
    <col min="516" max="516" width="14.5546875" bestFit="1" customWidth="1"/>
    <col min="764" max="764" width="9.33203125" customWidth="1"/>
    <col min="765" max="765" width="55.5546875" customWidth="1"/>
    <col min="766" max="766" width="26.33203125" customWidth="1"/>
    <col min="767" max="767" width="0" hidden="1" customWidth="1"/>
    <col min="768" max="768" width="14.5546875" bestFit="1" customWidth="1"/>
    <col min="769" max="771" width="9.33203125" customWidth="1"/>
    <col min="772" max="772" width="14.5546875" bestFit="1" customWidth="1"/>
    <col min="1020" max="1020" width="9.33203125" customWidth="1"/>
    <col min="1021" max="1021" width="55.5546875" customWidth="1"/>
    <col min="1022" max="1022" width="26.33203125" customWidth="1"/>
    <col min="1023" max="1023" width="0" hidden="1" customWidth="1"/>
    <col min="1024" max="1024" width="14.5546875" bestFit="1" customWidth="1"/>
    <col min="1025" max="1027" width="9.33203125" customWidth="1"/>
    <col min="1028" max="1028" width="14.5546875" bestFit="1" customWidth="1"/>
    <col min="1276" max="1276" width="9.33203125" customWidth="1"/>
    <col min="1277" max="1277" width="55.5546875" customWidth="1"/>
    <col min="1278" max="1278" width="26.33203125" customWidth="1"/>
    <col min="1279" max="1279" width="0" hidden="1" customWidth="1"/>
    <col min="1280" max="1280" width="14.5546875" bestFit="1" customWidth="1"/>
    <col min="1281" max="1283" width="9.33203125" customWidth="1"/>
    <col min="1284" max="1284" width="14.5546875" bestFit="1" customWidth="1"/>
    <col min="1532" max="1532" width="9.33203125" customWidth="1"/>
    <col min="1533" max="1533" width="55.5546875" customWidth="1"/>
    <col min="1534" max="1534" width="26.33203125" customWidth="1"/>
    <col min="1535" max="1535" width="0" hidden="1" customWidth="1"/>
    <col min="1536" max="1536" width="14.5546875" bestFit="1" customWidth="1"/>
    <col min="1537" max="1539" width="9.33203125" customWidth="1"/>
    <col min="1540" max="1540" width="14.5546875" bestFit="1" customWidth="1"/>
    <col min="1788" max="1788" width="9.33203125" customWidth="1"/>
    <col min="1789" max="1789" width="55.5546875" customWidth="1"/>
    <col min="1790" max="1790" width="26.33203125" customWidth="1"/>
    <col min="1791" max="1791" width="0" hidden="1" customWidth="1"/>
    <col min="1792" max="1792" width="14.5546875" bestFit="1" customWidth="1"/>
    <col min="1793" max="1795" width="9.33203125" customWidth="1"/>
    <col min="1796" max="1796" width="14.5546875" bestFit="1" customWidth="1"/>
    <col min="2044" max="2044" width="9.33203125" customWidth="1"/>
    <col min="2045" max="2045" width="55.5546875" customWidth="1"/>
    <col min="2046" max="2046" width="26.33203125" customWidth="1"/>
    <col min="2047" max="2047" width="0" hidden="1" customWidth="1"/>
    <col min="2048" max="2048" width="14.5546875" bestFit="1" customWidth="1"/>
    <col min="2049" max="2051" width="9.33203125" customWidth="1"/>
    <col min="2052" max="2052" width="14.5546875" bestFit="1" customWidth="1"/>
    <col min="2300" max="2300" width="9.33203125" customWidth="1"/>
    <col min="2301" max="2301" width="55.5546875" customWidth="1"/>
    <col min="2302" max="2302" width="26.33203125" customWidth="1"/>
    <col min="2303" max="2303" width="0" hidden="1" customWidth="1"/>
    <col min="2304" max="2304" width="14.5546875" bestFit="1" customWidth="1"/>
    <col min="2305" max="2307" width="9.33203125" customWidth="1"/>
    <col min="2308" max="2308" width="14.5546875" bestFit="1" customWidth="1"/>
    <col min="2556" max="2556" width="9.33203125" customWidth="1"/>
    <col min="2557" max="2557" width="55.5546875" customWidth="1"/>
    <col min="2558" max="2558" width="26.33203125" customWidth="1"/>
    <col min="2559" max="2559" width="0" hidden="1" customWidth="1"/>
    <col min="2560" max="2560" width="14.5546875" bestFit="1" customWidth="1"/>
    <col min="2561" max="2563" width="9.33203125" customWidth="1"/>
    <col min="2564" max="2564" width="14.5546875" bestFit="1" customWidth="1"/>
    <col min="2812" max="2812" width="9.33203125" customWidth="1"/>
    <col min="2813" max="2813" width="55.5546875" customWidth="1"/>
    <col min="2814" max="2814" width="26.33203125" customWidth="1"/>
    <col min="2815" max="2815" width="0" hidden="1" customWidth="1"/>
    <col min="2816" max="2816" width="14.5546875" bestFit="1" customWidth="1"/>
    <col min="2817" max="2819" width="9.33203125" customWidth="1"/>
    <col min="2820" max="2820" width="14.5546875" bestFit="1" customWidth="1"/>
    <col min="3068" max="3068" width="9.33203125" customWidth="1"/>
    <col min="3069" max="3069" width="55.5546875" customWidth="1"/>
    <col min="3070" max="3070" width="26.33203125" customWidth="1"/>
    <col min="3071" max="3071" width="0" hidden="1" customWidth="1"/>
    <col min="3072" max="3072" width="14.5546875" bestFit="1" customWidth="1"/>
    <col min="3073" max="3075" width="9.33203125" customWidth="1"/>
    <col min="3076" max="3076" width="14.5546875" bestFit="1" customWidth="1"/>
    <col min="3324" max="3324" width="9.33203125" customWidth="1"/>
    <col min="3325" max="3325" width="55.5546875" customWidth="1"/>
    <col min="3326" max="3326" width="26.33203125" customWidth="1"/>
    <col min="3327" max="3327" width="0" hidden="1" customWidth="1"/>
    <col min="3328" max="3328" width="14.5546875" bestFit="1" customWidth="1"/>
    <col min="3329" max="3331" width="9.33203125" customWidth="1"/>
    <col min="3332" max="3332" width="14.5546875" bestFit="1" customWidth="1"/>
    <col min="3580" max="3580" width="9.33203125" customWidth="1"/>
    <col min="3581" max="3581" width="55.5546875" customWidth="1"/>
    <col min="3582" max="3582" width="26.33203125" customWidth="1"/>
    <col min="3583" max="3583" width="0" hidden="1" customWidth="1"/>
    <col min="3584" max="3584" width="14.5546875" bestFit="1" customWidth="1"/>
    <col min="3585" max="3587" width="9.33203125" customWidth="1"/>
    <col min="3588" max="3588" width="14.5546875" bestFit="1" customWidth="1"/>
    <col min="3836" max="3836" width="9.33203125" customWidth="1"/>
    <col min="3837" max="3837" width="55.5546875" customWidth="1"/>
    <col min="3838" max="3838" width="26.33203125" customWidth="1"/>
    <col min="3839" max="3839" width="0" hidden="1" customWidth="1"/>
    <col min="3840" max="3840" width="14.5546875" bestFit="1" customWidth="1"/>
    <col min="3841" max="3843" width="9.33203125" customWidth="1"/>
    <col min="3844" max="3844" width="14.5546875" bestFit="1" customWidth="1"/>
    <col min="4092" max="4092" width="9.33203125" customWidth="1"/>
    <col min="4093" max="4093" width="55.5546875" customWidth="1"/>
    <col min="4094" max="4094" width="26.33203125" customWidth="1"/>
    <col min="4095" max="4095" width="0" hidden="1" customWidth="1"/>
    <col min="4096" max="4096" width="14.5546875" bestFit="1" customWidth="1"/>
    <col min="4097" max="4099" width="9.33203125" customWidth="1"/>
    <col min="4100" max="4100" width="14.5546875" bestFit="1" customWidth="1"/>
    <col min="4348" max="4348" width="9.33203125" customWidth="1"/>
    <col min="4349" max="4349" width="55.5546875" customWidth="1"/>
    <col min="4350" max="4350" width="26.33203125" customWidth="1"/>
    <col min="4351" max="4351" width="0" hidden="1" customWidth="1"/>
    <col min="4352" max="4352" width="14.5546875" bestFit="1" customWidth="1"/>
    <col min="4353" max="4355" width="9.33203125" customWidth="1"/>
    <col min="4356" max="4356" width="14.5546875" bestFit="1" customWidth="1"/>
    <col min="4604" max="4604" width="9.33203125" customWidth="1"/>
    <col min="4605" max="4605" width="55.5546875" customWidth="1"/>
    <col min="4606" max="4606" width="26.33203125" customWidth="1"/>
    <col min="4607" max="4607" width="0" hidden="1" customWidth="1"/>
    <col min="4608" max="4608" width="14.5546875" bestFit="1" customWidth="1"/>
    <col min="4609" max="4611" width="9.33203125" customWidth="1"/>
    <col min="4612" max="4612" width="14.5546875" bestFit="1" customWidth="1"/>
    <col min="4860" max="4860" width="9.33203125" customWidth="1"/>
    <col min="4861" max="4861" width="55.5546875" customWidth="1"/>
    <col min="4862" max="4862" width="26.33203125" customWidth="1"/>
    <col min="4863" max="4863" width="0" hidden="1" customWidth="1"/>
    <col min="4864" max="4864" width="14.5546875" bestFit="1" customWidth="1"/>
    <col min="4865" max="4867" width="9.33203125" customWidth="1"/>
    <col min="4868" max="4868" width="14.5546875" bestFit="1" customWidth="1"/>
    <col min="5116" max="5116" width="9.33203125" customWidth="1"/>
    <col min="5117" max="5117" width="55.5546875" customWidth="1"/>
    <col min="5118" max="5118" width="26.33203125" customWidth="1"/>
    <col min="5119" max="5119" width="0" hidden="1" customWidth="1"/>
    <col min="5120" max="5120" width="14.5546875" bestFit="1" customWidth="1"/>
    <col min="5121" max="5123" width="9.33203125" customWidth="1"/>
    <col min="5124" max="5124" width="14.5546875" bestFit="1" customWidth="1"/>
    <col min="5372" max="5372" width="9.33203125" customWidth="1"/>
    <col min="5373" max="5373" width="55.5546875" customWidth="1"/>
    <col min="5374" max="5374" width="26.33203125" customWidth="1"/>
    <col min="5375" max="5375" width="0" hidden="1" customWidth="1"/>
    <col min="5376" max="5376" width="14.5546875" bestFit="1" customWidth="1"/>
    <col min="5377" max="5379" width="9.33203125" customWidth="1"/>
    <col min="5380" max="5380" width="14.5546875" bestFit="1" customWidth="1"/>
    <col min="5628" max="5628" width="9.33203125" customWidth="1"/>
    <col min="5629" max="5629" width="55.5546875" customWidth="1"/>
    <col min="5630" max="5630" width="26.33203125" customWidth="1"/>
    <col min="5631" max="5631" width="0" hidden="1" customWidth="1"/>
    <col min="5632" max="5632" width="14.5546875" bestFit="1" customWidth="1"/>
    <col min="5633" max="5635" width="9.33203125" customWidth="1"/>
    <col min="5636" max="5636" width="14.5546875" bestFit="1" customWidth="1"/>
    <col min="5884" max="5884" width="9.33203125" customWidth="1"/>
    <col min="5885" max="5885" width="55.5546875" customWidth="1"/>
    <col min="5886" max="5886" width="26.33203125" customWidth="1"/>
    <col min="5887" max="5887" width="0" hidden="1" customWidth="1"/>
    <col min="5888" max="5888" width="14.5546875" bestFit="1" customWidth="1"/>
    <col min="5889" max="5891" width="9.33203125" customWidth="1"/>
    <col min="5892" max="5892" width="14.5546875" bestFit="1" customWidth="1"/>
    <col min="6140" max="6140" width="9.33203125" customWidth="1"/>
    <col min="6141" max="6141" width="55.5546875" customWidth="1"/>
    <col min="6142" max="6142" width="26.33203125" customWidth="1"/>
    <col min="6143" max="6143" width="0" hidden="1" customWidth="1"/>
    <col min="6144" max="6144" width="14.5546875" bestFit="1" customWidth="1"/>
    <col min="6145" max="6147" width="9.33203125" customWidth="1"/>
    <col min="6148" max="6148" width="14.5546875" bestFit="1" customWidth="1"/>
    <col min="6396" max="6396" width="9.33203125" customWidth="1"/>
    <col min="6397" max="6397" width="55.5546875" customWidth="1"/>
    <col min="6398" max="6398" width="26.33203125" customWidth="1"/>
    <col min="6399" max="6399" width="0" hidden="1" customWidth="1"/>
    <col min="6400" max="6400" width="14.5546875" bestFit="1" customWidth="1"/>
    <col min="6401" max="6403" width="9.33203125" customWidth="1"/>
    <col min="6404" max="6404" width="14.5546875" bestFit="1" customWidth="1"/>
    <col min="6652" max="6652" width="9.33203125" customWidth="1"/>
    <col min="6653" max="6653" width="55.5546875" customWidth="1"/>
    <col min="6654" max="6654" width="26.33203125" customWidth="1"/>
    <col min="6655" max="6655" width="0" hidden="1" customWidth="1"/>
    <col min="6656" max="6656" width="14.5546875" bestFit="1" customWidth="1"/>
    <col min="6657" max="6659" width="9.33203125" customWidth="1"/>
    <col min="6660" max="6660" width="14.5546875" bestFit="1" customWidth="1"/>
    <col min="6908" max="6908" width="9.33203125" customWidth="1"/>
    <col min="6909" max="6909" width="55.5546875" customWidth="1"/>
    <col min="6910" max="6910" width="26.33203125" customWidth="1"/>
    <col min="6911" max="6911" width="0" hidden="1" customWidth="1"/>
    <col min="6912" max="6912" width="14.5546875" bestFit="1" customWidth="1"/>
    <col min="6913" max="6915" width="9.33203125" customWidth="1"/>
    <col min="6916" max="6916" width="14.5546875" bestFit="1" customWidth="1"/>
    <col min="7164" max="7164" width="9.33203125" customWidth="1"/>
    <col min="7165" max="7165" width="55.5546875" customWidth="1"/>
    <col min="7166" max="7166" width="26.33203125" customWidth="1"/>
    <col min="7167" max="7167" width="0" hidden="1" customWidth="1"/>
    <col min="7168" max="7168" width="14.5546875" bestFit="1" customWidth="1"/>
    <col min="7169" max="7171" width="9.33203125" customWidth="1"/>
    <col min="7172" max="7172" width="14.5546875" bestFit="1" customWidth="1"/>
    <col min="7420" max="7420" width="9.33203125" customWidth="1"/>
    <col min="7421" max="7421" width="55.5546875" customWidth="1"/>
    <col min="7422" max="7422" width="26.33203125" customWidth="1"/>
    <col min="7423" max="7423" width="0" hidden="1" customWidth="1"/>
    <col min="7424" max="7424" width="14.5546875" bestFit="1" customWidth="1"/>
    <col min="7425" max="7427" width="9.33203125" customWidth="1"/>
    <col min="7428" max="7428" width="14.5546875" bestFit="1" customWidth="1"/>
    <col min="7676" max="7676" width="9.33203125" customWidth="1"/>
    <col min="7677" max="7677" width="55.5546875" customWidth="1"/>
    <col min="7678" max="7678" width="26.33203125" customWidth="1"/>
    <col min="7679" max="7679" width="0" hidden="1" customWidth="1"/>
    <col min="7680" max="7680" width="14.5546875" bestFit="1" customWidth="1"/>
    <col min="7681" max="7683" width="9.33203125" customWidth="1"/>
    <col min="7684" max="7684" width="14.5546875" bestFit="1" customWidth="1"/>
    <col min="7932" max="7932" width="9.33203125" customWidth="1"/>
    <col min="7933" max="7933" width="55.5546875" customWidth="1"/>
    <col min="7934" max="7934" width="26.33203125" customWidth="1"/>
    <col min="7935" max="7935" width="0" hidden="1" customWidth="1"/>
    <col min="7936" max="7936" width="14.5546875" bestFit="1" customWidth="1"/>
    <col min="7937" max="7939" width="9.33203125" customWidth="1"/>
    <col min="7940" max="7940" width="14.5546875" bestFit="1" customWidth="1"/>
    <col min="8188" max="8188" width="9.33203125" customWidth="1"/>
    <col min="8189" max="8189" width="55.5546875" customWidth="1"/>
    <col min="8190" max="8190" width="26.33203125" customWidth="1"/>
    <col min="8191" max="8191" width="0" hidden="1" customWidth="1"/>
    <col min="8192" max="8192" width="14.5546875" bestFit="1" customWidth="1"/>
    <col min="8193" max="8195" width="9.33203125" customWidth="1"/>
    <col min="8196" max="8196" width="14.5546875" bestFit="1" customWidth="1"/>
    <col min="8444" max="8444" width="9.33203125" customWidth="1"/>
    <col min="8445" max="8445" width="55.5546875" customWidth="1"/>
    <col min="8446" max="8446" width="26.33203125" customWidth="1"/>
    <col min="8447" max="8447" width="0" hidden="1" customWidth="1"/>
    <col min="8448" max="8448" width="14.5546875" bestFit="1" customWidth="1"/>
    <col min="8449" max="8451" width="9.33203125" customWidth="1"/>
    <col min="8452" max="8452" width="14.5546875" bestFit="1" customWidth="1"/>
    <col min="8700" max="8700" width="9.33203125" customWidth="1"/>
    <col min="8701" max="8701" width="55.5546875" customWidth="1"/>
    <col min="8702" max="8702" width="26.33203125" customWidth="1"/>
    <col min="8703" max="8703" width="0" hidden="1" customWidth="1"/>
    <col min="8704" max="8704" width="14.5546875" bestFit="1" customWidth="1"/>
    <col min="8705" max="8707" width="9.33203125" customWidth="1"/>
    <col min="8708" max="8708" width="14.5546875" bestFit="1" customWidth="1"/>
    <col min="8956" max="8956" width="9.33203125" customWidth="1"/>
    <col min="8957" max="8957" width="55.5546875" customWidth="1"/>
    <col min="8958" max="8958" width="26.33203125" customWidth="1"/>
    <col min="8959" max="8959" width="0" hidden="1" customWidth="1"/>
    <col min="8960" max="8960" width="14.5546875" bestFit="1" customWidth="1"/>
    <col min="8961" max="8963" width="9.33203125" customWidth="1"/>
    <col min="8964" max="8964" width="14.5546875" bestFit="1" customWidth="1"/>
    <col min="9212" max="9212" width="9.33203125" customWidth="1"/>
    <col min="9213" max="9213" width="55.5546875" customWidth="1"/>
    <col min="9214" max="9214" width="26.33203125" customWidth="1"/>
    <col min="9215" max="9215" width="0" hidden="1" customWidth="1"/>
    <col min="9216" max="9216" width="14.5546875" bestFit="1" customWidth="1"/>
    <col min="9217" max="9219" width="9.33203125" customWidth="1"/>
    <col min="9220" max="9220" width="14.5546875" bestFit="1" customWidth="1"/>
    <col min="9468" max="9468" width="9.33203125" customWidth="1"/>
    <col min="9469" max="9469" width="55.5546875" customWidth="1"/>
    <col min="9470" max="9470" width="26.33203125" customWidth="1"/>
    <col min="9471" max="9471" width="0" hidden="1" customWidth="1"/>
    <col min="9472" max="9472" width="14.5546875" bestFit="1" customWidth="1"/>
    <col min="9473" max="9475" width="9.33203125" customWidth="1"/>
    <col min="9476" max="9476" width="14.5546875" bestFit="1" customWidth="1"/>
    <col min="9724" max="9724" width="9.33203125" customWidth="1"/>
    <col min="9725" max="9725" width="55.5546875" customWidth="1"/>
    <col min="9726" max="9726" width="26.33203125" customWidth="1"/>
    <col min="9727" max="9727" width="0" hidden="1" customWidth="1"/>
    <col min="9728" max="9728" width="14.5546875" bestFit="1" customWidth="1"/>
    <col min="9729" max="9731" width="9.33203125" customWidth="1"/>
    <col min="9732" max="9732" width="14.5546875" bestFit="1" customWidth="1"/>
    <col min="9980" max="9980" width="9.33203125" customWidth="1"/>
    <col min="9981" max="9981" width="55.5546875" customWidth="1"/>
    <col min="9982" max="9982" width="26.33203125" customWidth="1"/>
    <col min="9983" max="9983" width="0" hidden="1" customWidth="1"/>
    <col min="9984" max="9984" width="14.5546875" bestFit="1" customWidth="1"/>
    <col min="9985" max="9987" width="9.33203125" customWidth="1"/>
    <col min="9988" max="9988" width="14.5546875" bestFit="1" customWidth="1"/>
    <col min="10236" max="10236" width="9.33203125" customWidth="1"/>
    <col min="10237" max="10237" width="55.5546875" customWidth="1"/>
    <col min="10238" max="10238" width="26.33203125" customWidth="1"/>
    <col min="10239" max="10239" width="0" hidden="1" customWidth="1"/>
    <col min="10240" max="10240" width="14.5546875" bestFit="1" customWidth="1"/>
    <col min="10241" max="10243" width="9.33203125" customWidth="1"/>
    <col min="10244" max="10244" width="14.5546875" bestFit="1" customWidth="1"/>
    <col min="10492" max="10492" width="9.33203125" customWidth="1"/>
    <col min="10493" max="10493" width="55.5546875" customWidth="1"/>
    <col min="10494" max="10494" width="26.33203125" customWidth="1"/>
    <col min="10495" max="10495" width="0" hidden="1" customWidth="1"/>
    <col min="10496" max="10496" width="14.5546875" bestFit="1" customWidth="1"/>
    <col min="10497" max="10499" width="9.33203125" customWidth="1"/>
    <col min="10500" max="10500" width="14.5546875" bestFit="1" customWidth="1"/>
    <col min="10748" max="10748" width="9.33203125" customWidth="1"/>
    <col min="10749" max="10749" width="55.5546875" customWidth="1"/>
    <col min="10750" max="10750" width="26.33203125" customWidth="1"/>
    <col min="10751" max="10751" width="0" hidden="1" customWidth="1"/>
    <col min="10752" max="10752" width="14.5546875" bestFit="1" customWidth="1"/>
    <col min="10753" max="10755" width="9.33203125" customWidth="1"/>
    <col min="10756" max="10756" width="14.5546875" bestFit="1" customWidth="1"/>
    <col min="11004" max="11004" width="9.33203125" customWidth="1"/>
    <col min="11005" max="11005" width="55.5546875" customWidth="1"/>
    <col min="11006" max="11006" width="26.33203125" customWidth="1"/>
    <col min="11007" max="11007" width="0" hidden="1" customWidth="1"/>
    <col min="11008" max="11008" width="14.5546875" bestFit="1" customWidth="1"/>
    <col min="11009" max="11011" width="9.33203125" customWidth="1"/>
    <col min="11012" max="11012" width="14.5546875" bestFit="1" customWidth="1"/>
    <col min="11260" max="11260" width="9.33203125" customWidth="1"/>
    <col min="11261" max="11261" width="55.5546875" customWidth="1"/>
    <col min="11262" max="11262" width="26.33203125" customWidth="1"/>
    <col min="11263" max="11263" width="0" hidden="1" customWidth="1"/>
    <col min="11264" max="11264" width="14.5546875" bestFit="1" customWidth="1"/>
    <col min="11265" max="11267" width="9.33203125" customWidth="1"/>
    <col min="11268" max="11268" width="14.5546875" bestFit="1" customWidth="1"/>
    <col min="11516" max="11516" width="9.33203125" customWidth="1"/>
    <col min="11517" max="11517" width="55.5546875" customWidth="1"/>
    <col min="11518" max="11518" width="26.33203125" customWidth="1"/>
    <col min="11519" max="11519" width="0" hidden="1" customWidth="1"/>
    <col min="11520" max="11520" width="14.5546875" bestFit="1" customWidth="1"/>
    <col min="11521" max="11523" width="9.33203125" customWidth="1"/>
    <col min="11524" max="11524" width="14.5546875" bestFit="1" customWidth="1"/>
    <col min="11772" max="11772" width="9.33203125" customWidth="1"/>
    <col min="11773" max="11773" width="55.5546875" customWidth="1"/>
    <col min="11774" max="11774" width="26.33203125" customWidth="1"/>
    <col min="11775" max="11775" width="0" hidden="1" customWidth="1"/>
    <col min="11776" max="11776" width="14.5546875" bestFit="1" customWidth="1"/>
    <col min="11777" max="11779" width="9.33203125" customWidth="1"/>
    <col min="11780" max="11780" width="14.5546875" bestFit="1" customWidth="1"/>
    <col min="12028" max="12028" width="9.33203125" customWidth="1"/>
    <col min="12029" max="12029" width="55.5546875" customWidth="1"/>
    <col min="12030" max="12030" width="26.33203125" customWidth="1"/>
    <col min="12031" max="12031" width="0" hidden="1" customWidth="1"/>
    <col min="12032" max="12032" width="14.5546875" bestFit="1" customWidth="1"/>
    <col min="12033" max="12035" width="9.33203125" customWidth="1"/>
    <col min="12036" max="12036" width="14.5546875" bestFit="1" customWidth="1"/>
    <col min="12284" max="12284" width="9.33203125" customWidth="1"/>
    <col min="12285" max="12285" width="55.5546875" customWidth="1"/>
    <col min="12286" max="12286" width="26.33203125" customWidth="1"/>
    <col min="12287" max="12287" width="0" hidden="1" customWidth="1"/>
    <col min="12288" max="12288" width="14.5546875" bestFit="1" customWidth="1"/>
    <col min="12289" max="12291" width="9.33203125" customWidth="1"/>
    <col min="12292" max="12292" width="14.5546875" bestFit="1" customWidth="1"/>
    <col min="12540" max="12540" width="9.33203125" customWidth="1"/>
    <col min="12541" max="12541" width="55.5546875" customWidth="1"/>
    <col min="12542" max="12542" width="26.33203125" customWidth="1"/>
    <col min="12543" max="12543" width="0" hidden="1" customWidth="1"/>
    <col min="12544" max="12544" width="14.5546875" bestFit="1" customWidth="1"/>
    <col min="12545" max="12547" width="9.33203125" customWidth="1"/>
    <col min="12548" max="12548" width="14.5546875" bestFit="1" customWidth="1"/>
    <col min="12796" max="12796" width="9.33203125" customWidth="1"/>
    <col min="12797" max="12797" width="55.5546875" customWidth="1"/>
    <col min="12798" max="12798" width="26.33203125" customWidth="1"/>
    <col min="12799" max="12799" width="0" hidden="1" customWidth="1"/>
    <col min="12800" max="12800" width="14.5546875" bestFit="1" customWidth="1"/>
    <col min="12801" max="12803" width="9.33203125" customWidth="1"/>
    <col min="12804" max="12804" width="14.5546875" bestFit="1" customWidth="1"/>
    <col min="13052" max="13052" width="9.33203125" customWidth="1"/>
    <col min="13053" max="13053" width="55.5546875" customWidth="1"/>
    <col min="13054" max="13054" width="26.33203125" customWidth="1"/>
    <col min="13055" max="13055" width="0" hidden="1" customWidth="1"/>
    <col min="13056" max="13056" width="14.5546875" bestFit="1" customWidth="1"/>
    <col min="13057" max="13059" width="9.33203125" customWidth="1"/>
    <col min="13060" max="13060" width="14.5546875" bestFit="1" customWidth="1"/>
    <col min="13308" max="13308" width="9.33203125" customWidth="1"/>
    <col min="13309" max="13309" width="55.5546875" customWidth="1"/>
    <col min="13310" max="13310" width="26.33203125" customWidth="1"/>
    <col min="13311" max="13311" width="0" hidden="1" customWidth="1"/>
    <col min="13312" max="13312" width="14.5546875" bestFit="1" customWidth="1"/>
    <col min="13313" max="13315" width="9.33203125" customWidth="1"/>
    <col min="13316" max="13316" width="14.5546875" bestFit="1" customWidth="1"/>
    <col min="13564" max="13564" width="9.33203125" customWidth="1"/>
    <col min="13565" max="13565" width="55.5546875" customWidth="1"/>
    <col min="13566" max="13566" width="26.33203125" customWidth="1"/>
    <col min="13567" max="13567" width="0" hidden="1" customWidth="1"/>
    <col min="13568" max="13568" width="14.5546875" bestFit="1" customWidth="1"/>
    <col min="13569" max="13571" width="9.33203125" customWidth="1"/>
    <col min="13572" max="13572" width="14.5546875" bestFit="1" customWidth="1"/>
    <col min="13820" max="13820" width="9.33203125" customWidth="1"/>
    <col min="13821" max="13821" width="55.5546875" customWidth="1"/>
    <col min="13822" max="13822" width="26.33203125" customWidth="1"/>
    <col min="13823" max="13823" width="0" hidden="1" customWidth="1"/>
    <col min="13824" max="13824" width="14.5546875" bestFit="1" customWidth="1"/>
    <col min="13825" max="13827" width="9.33203125" customWidth="1"/>
    <col min="13828" max="13828" width="14.5546875" bestFit="1" customWidth="1"/>
    <col min="14076" max="14076" width="9.33203125" customWidth="1"/>
    <col min="14077" max="14077" width="55.5546875" customWidth="1"/>
    <col min="14078" max="14078" width="26.33203125" customWidth="1"/>
    <col min="14079" max="14079" width="0" hidden="1" customWidth="1"/>
    <col min="14080" max="14080" width="14.5546875" bestFit="1" customWidth="1"/>
    <col min="14081" max="14083" width="9.33203125" customWidth="1"/>
    <col min="14084" max="14084" width="14.5546875" bestFit="1" customWidth="1"/>
    <col min="14332" max="14332" width="9.33203125" customWidth="1"/>
    <col min="14333" max="14333" width="55.5546875" customWidth="1"/>
    <col min="14334" max="14334" width="26.33203125" customWidth="1"/>
    <col min="14335" max="14335" width="0" hidden="1" customWidth="1"/>
    <col min="14336" max="14336" width="14.5546875" bestFit="1" customWidth="1"/>
    <col min="14337" max="14339" width="9.33203125" customWidth="1"/>
    <col min="14340" max="14340" width="14.5546875" bestFit="1" customWidth="1"/>
    <col min="14588" max="14588" width="9.33203125" customWidth="1"/>
    <col min="14589" max="14589" width="55.5546875" customWidth="1"/>
    <col min="14590" max="14590" width="26.33203125" customWidth="1"/>
    <col min="14591" max="14591" width="0" hidden="1" customWidth="1"/>
    <col min="14592" max="14592" width="14.5546875" bestFit="1" customWidth="1"/>
    <col min="14593" max="14595" width="9.33203125" customWidth="1"/>
    <col min="14596" max="14596" width="14.5546875" bestFit="1" customWidth="1"/>
    <col min="14844" max="14844" width="9.33203125" customWidth="1"/>
    <col min="14845" max="14845" width="55.5546875" customWidth="1"/>
    <col min="14846" max="14846" width="26.33203125" customWidth="1"/>
    <col min="14847" max="14847" width="0" hidden="1" customWidth="1"/>
    <col min="14848" max="14848" width="14.5546875" bestFit="1" customWidth="1"/>
    <col min="14849" max="14851" width="9.33203125" customWidth="1"/>
    <col min="14852" max="14852" width="14.5546875" bestFit="1" customWidth="1"/>
    <col min="15100" max="15100" width="9.33203125" customWidth="1"/>
    <col min="15101" max="15101" width="55.5546875" customWidth="1"/>
    <col min="15102" max="15102" width="26.33203125" customWidth="1"/>
    <col min="15103" max="15103" width="0" hidden="1" customWidth="1"/>
    <col min="15104" max="15104" width="14.5546875" bestFit="1" customWidth="1"/>
    <col min="15105" max="15107" width="9.33203125" customWidth="1"/>
    <col min="15108" max="15108" width="14.5546875" bestFit="1" customWidth="1"/>
    <col min="15356" max="15356" width="9.33203125" customWidth="1"/>
    <col min="15357" max="15357" width="55.5546875" customWidth="1"/>
    <col min="15358" max="15358" width="26.33203125" customWidth="1"/>
    <col min="15359" max="15359" width="0" hidden="1" customWidth="1"/>
    <col min="15360" max="15360" width="14.5546875" bestFit="1" customWidth="1"/>
    <col min="15361" max="15363" width="9.33203125" customWidth="1"/>
    <col min="15364" max="15364" width="14.5546875" bestFit="1" customWidth="1"/>
    <col min="15612" max="15612" width="9.33203125" customWidth="1"/>
    <col min="15613" max="15613" width="55.5546875" customWidth="1"/>
    <col min="15614" max="15614" width="26.33203125" customWidth="1"/>
    <col min="15615" max="15615" width="0" hidden="1" customWidth="1"/>
    <col min="15616" max="15616" width="14.5546875" bestFit="1" customWidth="1"/>
    <col min="15617" max="15619" width="9.33203125" customWidth="1"/>
    <col min="15620" max="15620" width="14.5546875" bestFit="1" customWidth="1"/>
    <col min="15868" max="15868" width="9.33203125" customWidth="1"/>
    <col min="15869" max="15869" width="55.5546875" customWidth="1"/>
    <col min="15870" max="15870" width="26.33203125" customWidth="1"/>
    <col min="15871" max="15871" width="0" hidden="1" customWidth="1"/>
    <col min="15872" max="15872" width="14.5546875" bestFit="1" customWidth="1"/>
    <col min="15873" max="15875" width="9.33203125" customWidth="1"/>
    <col min="15876" max="15876" width="14.5546875" bestFit="1" customWidth="1"/>
    <col min="16124" max="16124" width="9.33203125" customWidth="1"/>
    <col min="16125" max="16125" width="55.5546875" customWidth="1"/>
    <col min="16126" max="16126" width="26.33203125" customWidth="1"/>
    <col min="16127" max="16127" width="0" hidden="1" customWidth="1"/>
    <col min="16128" max="16128" width="14.5546875" bestFit="1" customWidth="1"/>
    <col min="16129" max="16131" width="9.33203125" customWidth="1"/>
    <col min="16132" max="16132" width="14.5546875" bestFit="1" customWidth="1"/>
  </cols>
  <sheetData>
    <row r="1" spans="1:5" ht="16.8" x14ac:dyDescent="0.3">
      <c r="A1" s="761" t="s">
        <v>479</v>
      </c>
      <c r="B1" s="560"/>
      <c r="C1" s="560"/>
      <c r="D1" s="560"/>
      <c r="E1" s="559"/>
    </row>
    <row r="2" spans="1:5" x14ac:dyDescent="0.25">
      <c r="A2" s="579"/>
      <c r="B2" s="560"/>
      <c r="C2" s="560"/>
      <c r="D2" s="560"/>
      <c r="E2" s="559"/>
    </row>
    <row r="3" spans="1:5" ht="16.8" x14ac:dyDescent="0.3">
      <c r="A3" s="930" t="s">
        <v>560</v>
      </c>
      <c r="B3" s="930"/>
      <c r="C3" s="930"/>
      <c r="D3" s="930"/>
      <c r="E3" s="778"/>
    </row>
    <row r="4" spans="1:5" ht="16.8" x14ac:dyDescent="0.3">
      <c r="A4" s="767"/>
      <c r="B4" s="767"/>
      <c r="C4" s="767"/>
      <c r="D4" s="767"/>
      <c r="E4" s="778"/>
    </row>
    <row r="5" spans="1:5" ht="13.8" thickBot="1" x14ac:dyDescent="0.3">
      <c r="C5" s="755"/>
      <c r="D5" s="760" t="s">
        <v>587</v>
      </c>
      <c r="E5" s="779"/>
    </row>
    <row r="6" spans="1:5" ht="30" customHeight="1" thickBot="1" x14ac:dyDescent="0.3">
      <c r="A6" s="789" t="s">
        <v>268</v>
      </c>
      <c r="B6" s="781" t="s">
        <v>483</v>
      </c>
      <c r="C6" s="782" t="s">
        <v>464</v>
      </c>
      <c r="D6" s="783">
        <f>SUM(D7:D8)</f>
        <v>70000000</v>
      </c>
      <c r="E6" s="776"/>
    </row>
    <row r="7" spans="1:5" ht="13.8" x14ac:dyDescent="0.3">
      <c r="A7" s="772"/>
      <c r="B7" s="559"/>
      <c r="C7" s="762" t="s">
        <v>510</v>
      </c>
      <c r="D7" s="811">
        <v>25000000</v>
      </c>
      <c r="E7" s="777"/>
    </row>
    <row r="8" spans="1:5" ht="14.4" thickBot="1" x14ac:dyDescent="0.35">
      <c r="A8" s="562"/>
      <c r="B8" s="563"/>
      <c r="C8" s="758" t="s">
        <v>558</v>
      </c>
      <c r="D8" s="785">
        <v>45000000</v>
      </c>
      <c r="E8" s="777"/>
    </row>
    <row r="9" spans="1:5" ht="13.8" x14ac:dyDescent="0.3">
      <c r="A9" s="559"/>
      <c r="B9" s="559"/>
      <c r="C9" s="724"/>
      <c r="D9" s="777"/>
      <c r="E9" s="777"/>
    </row>
    <row r="10" spans="1:5" ht="13.8" thickBot="1" x14ac:dyDescent="0.3">
      <c r="A10" s="771"/>
      <c r="B10" s="755"/>
      <c r="C10" s="755"/>
      <c r="D10" s="760" t="s">
        <v>538</v>
      </c>
      <c r="E10" s="779"/>
    </row>
    <row r="11" spans="1:5" ht="17.399999999999999" thickBot="1" x14ac:dyDescent="0.3">
      <c r="A11" s="789" t="s">
        <v>285</v>
      </c>
      <c r="B11" s="784" t="s">
        <v>502</v>
      </c>
      <c r="C11" s="773" t="s">
        <v>464</v>
      </c>
      <c r="D11" s="783">
        <f>SUM(D12:D16)</f>
        <v>35000000</v>
      </c>
      <c r="E11" s="776"/>
    </row>
    <row r="12" spans="1:5" x14ac:dyDescent="0.25">
      <c r="A12" s="772"/>
      <c r="B12" s="559"/>
      <c r="C12" s="756" t="s">
        <v>503</v>
      </c>
      <c r="D12" s="574">
        <f>14000000</f>
        <v>14000000</v>
      </c>
      <c r="E12" s="573"/>
    </row>
    <row r="13" spans="1:5" ht="13.8" x14ac:dyDescent="0.3">
      <c r="A13" s="561"/>
      <c r="B13" s="559"/>
      <c r="C13" s="757" t="s">
        <v>504</v>
      </c>
      <c r="D13" s="574">
        <v>1000000</v>
      </c>
      <c r="E13" s="573"/>
    </row>
    <row r="14" spans="1:5" ht="13.8" x14ac:dyDescent="0.3">
      <c r="A14" s="561"/>
      <c r="B14" s="559"/>
      <c r="C14" s="762" t="s">
        <v>505</v>
      </c>
      <c r="D14" s="574">
        <v>1000000</v>
      </c>
      <c r="E14" s="573"/>
    </row>
    <row r="15" spans="1:5" ht="13.8" x14ac:dyDescent="0.3">
      <c r="A15" s="561"/>
      <c r="B15" s="559"/>
      <c r="C15" s="762" t="s">
        <v>563</v>
      </c>
      <c r="D15" s="827">
        <v>1000000</v>
      </c>
      <c r="E15" s="573"/>
    </row>
    <row r="16" spans="1:5" ht="14.4" thickBot="1" x14ac:dyDescent="0.35">
      <c r="A16" s="562"/>
      <c r="B16" s="563"/>
      <c r="C16" s="758" t="s">
        <v>506</v>
      </c>
      <c r="D16" s="764">
        <v>18000000</v>
      </c>
      <c r="E16" s="573"/>
    </row>
    <row r="18" spans="1:5" s="560" customFormat="1" ht="13.8" thickBot="1" x14ac:dyDescent="0.3">
      <c r="A18" s="759"/>
      <c r="B18" s="755"/>
      <c r="C18" s="755"/>
      <c r="D18" s="760" t="s">
        <v>538</v>
      </c>
      <c r="E18" s="779"/>
    </row>
    <row r="19" spans="1:5" s="560" customFormat="1" ht="17.399999999999999" thickBot="1" x14ac:dyDescent="0.35">
      <c r="A19" s="790" t="s">
        <v>312</v>
      </c>
      <c r="B19" s="763" t="s">
        <v>313</v>
      </c>
      <c r="C19" s="773" t="s">
        <v>464</v>
      </c>
      <c r="D19" s="774">
        <f>SUM(D20:D22)</f>
        <v>61100000</v>
      </c>
      <c r="E19" s="780"/>
    </row>
    <row r="20" spans="1:5" s="560" customFormat="1" ht="30.6" customHeight="1" x14ac:dyDescent="0.25">
      <c r="A20" s="561"/>
      <c r="B20" s="559"/>
      <c r="C20" s="787" t="s">
        <v>537</v>
      </c>
      <c r="D20" s="788">
        <f>8900000+2200000</f>
        <v>11100000</v>
      </c>
      <c r="E20" s="573"/>
    </row>
    <row r="21" spans="1:5" s="560" customFormat="1" ht="13.8" x14ac:dyDescent="0.25">
      <c r="A21" s="561"/>
      <c r="B21" s="559"/>
      <c r="C21" s="786" t="s">
        <v>539</v>
      </c>
      <c r="D21" s="775">
        <v>50000000</v>
      </c>
      <c r="E21" s="573"/>
    </row>
    <row r="22" spans="1:5" s="560" customFormat="1" ht="14.4" thickBot="1" x14ac:dyDescent="0.3">
      <c r="A22" s="562"/>
      <c r="B22" s="563"/>
      <c r="C22" s="812"/>
      <c r="D22" s="785"/>
      <c r="E22" s="573"/>
    </row>
  </sheetData>
  <mergeCells count="1">
    <mergeCell ref="A3:D3"/>
  </mergeCells>
  <pageMargins left="0.7" right="0.7" top="0.75" bottom="0.75" header="0.3" footer="0.3"/>
  <pageSetup paperSize="9" scale="6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workbookViewId="0">
      <selection activeCell="B4" sqref="B4"/>
    </sheetView>
  </sheetViews>
  <sheetFormatPr defaultRowHeight="15.6" x14ac:dyDescent="0.3"/>
  <cols>
    <col min="1" max="1" width="9.6640625" style="726" customWidth="1"/>
    <col min="2" max="2" width="52" style="726" customWidth="1"/>
    <col min="3" max="3" width="19.33203125" style="726" customWidth="1"/>
    <col min="4" max="4" width="17.21875" style="726" customWidth="1"/>
    <col min="5" max="5" width="16" style="726" customWidth="1"/>
    <col min="6" max="6" width="16.33203125" style="726" customWidth="1"/>
    <col min="7" max="7" width="15.21875" style="726" customWidth="1"/>
    <col min="8" max="255" width="8.88671875" style="726"/>
    <col min="256" max="256" width="26.44140625" style="726" customWidth="1"/>
    <col min="257" max="257" width="18.21875" style="726" customWidth="1"/>
    <col min="258" max="258" width="18.77734375" style="726" customWidth="1"/>
    <col min="259" max="259" width="15.44140625" style="726" customWidth="1"/>
    <col min="260" max="511" width="8.88671875" style="726"/>
    <col min="512" max="512" width="26.44140625" style="726" customWidth="1"/>
    <col min="513" max="513" width="18.21875" style="726" customWidth="1"/>
    <col min="514" max="514" width="18.77734375" style="726" customWidth="1"/>
    <col min="515" max="515" width="15.44140625" style="726" customWidth="1"/>
    <col min="516" max="767" width="8.88671875" style="726"/>
    <col min="768" max="768" width="26.44140625" style="726" customWidth="1"/>
    <col min="769" max="769" width="18.21875" style="726" customWidth="1"/>
    <col min="770" max="770" width="18.77734375" style="726" customWidth="1"/>
    <col min="771" max="771" width="15.44140625" style="726" customWidth="1"/>
    <col min="772" max="1023" width="8.88671875" style="726"/>
    <col min="1024" max="1024" width="26.44140625" style="726" customWidth="1"/>
    <col min="1025" max="1025" width="18.21875" style="726" customWidth="1"/>
    <col min="1026" max="1026" width="18.77734375" style="726" customWidth="1"/>
    <col min="1027" max="1027" width="15.44140625" style="726" customWidth="1"/>
    <col min="1028" max="1279" width="8.88671875" style="726"/>
    <col min="1280" max="1280" width="26.44140625" style="726" customWidth="1"/>
    <col min="1281" max="1281" width="18.21875" style="726" customWidth="1"/>
    <col min="1282" max="1282" width="18.77734375" style="726" customWidth="1"/>
    <col min="1283" max="1283" width="15.44140625" style="726" customWidth="1"/>
    <col min="1284" max="1535" width="8.88671875" style="726"/>
    <col min="1536" max="1536" width="26.44140625" style="726" customWidth="1"/>
    <col min="1537" max="1537" width="18.21875" style="726" customWidth="1"/>
    <col min="1538" max="1538" width="18.77734375" style="726" customWidth="1"/>
    <col min="1539" max="1539" width="15.44140625" style="726" customWidth="1"/>
    <col min="1540" max="1791" width="8.88671875" style="726"/>
    <col min="1792" max="1792" width="26.44140625" style="726" customWidth="1"/>
    <col min="1793" max="1793" width="18.21875" style="726" customWidth="1"/>
    <col min="1794" max="1794" width="18.77734375" style="726" customWidth="1"/>
    <col min="1795" max="1795" width="15.44140625" style="726" customWidth="1"/>
    <col min="1796" max="2047" width="8.88671875" style="726"/>
    <col min="2048" max="2048" width="26.44140625" style="726" customWidth="1"/>
    <col min="2049" max="2049" width="18.21875" style="726" customWidth="1"/>
    <col min="2050" max="2050" width="18.77734375" style="726" customWidth="1"/>
    <col min="2051" max="2051" width="15.44140625" style="726" customWidth="1"/>
    <col min="2052" max="2303" width="8.88671875" style="726"/>
    <col min="2304" max="2304" width="26.44140625" style="726" customWidth="1"/>
    <col min="2305" max="2305" width="18.21875" style="726" customWidth="1"/>
    <col min="2306" max="2306" width="18.77734375" style="726" customWidth="1"/>
    <col min="2307" max="2307" width="15.44140625" style="726" customWidth="1"/>
    <col min="2308" max="2559" width="8.88671875" style="726"/>
    <col min="2560" max="2560" width="26.44140625" style="726" customWidth="1"/>
    <col min="2561" max="2561" width="18.21875" style="726" customWidth="1"/>
    <col min="2562" max="2562" width="18.77734375" style="726" customWidth="1"/>
    <col min="2563" max="2563" width="15.44140625" style="726" customWidth="1"/>
    <col min="2564" max="2815" width="8.88671875" style="726"/>
    <col min="2816" max="2816" width="26.44140625" style="726" customWidth="1"/>
    <col min="2817" max="2817" width="18.21875" style="726" customWidth="1"/>
    <col min="2818" max="2818" width="18.77734375" style="726" customWidth="1"/>
    <col min="2819" max="2819" width="15.44140625" style="726" customWidth="1"/>
    <col min="2820" max="3071" width="8.88671875" style="726"/>
    <col min="3072" max="3072" width="26.44140625" style="726" customWidth="1"/>
    <col min="3073" max="3073" width="18.21875" style="726" customWidth="1"/>
    <col min="3074" max="3074" width="18.77734375" style="726" customWidth="1"/>
    <col min="3075" max="3075" width="15.44140625" style="726" customWidth="1"/>
    <col min="3076" max="3327" width="8.88671875" style="726"/>
    <col min="3328" max="3328" width="26.44140625" style="726" customWidth="1"/>
    <col min="3329" max="3329" width="18.21875" style="726" customWidth="1"/>
    <col min="3330" max="3330" width="18.77734375" style="726" customWidth="1"/>
    <col min="3331" max="3331" width="15.44140625" style="726" customWidth="1"/>
    <col min="3332" max="3583" width="8.88671875" style="726"/>
    <col min="3584" max="3584" width="26.44140625" style="726" customWidth="1"/>
    <col min="3585" max="3585" width="18.21875" style="726" customWidth="1"/>
    <col min="3586" max="3586" width="18.77734375" style="726" customWidth="1"/>
    <col min="3587" max="3587" width="15.44140625" style="726" customWidth="1"/>
    <col min="3588" max="3839" width="8.88671875" style="726"/>
    <col min="3840" max="3840" width="26.44140625" style="726" customWidth="1"/>
    <col min="3841" max="3841" width="18.21875" style="726" customWidth="1"/>
    <col min="3842" max="3842" width="18.77734375" style="726" customWidth="1"/>
    <col min="3843" max="3843" width="15.44140625" style="726" customWidth="1"/>
    <col min="3844" max="4095" width="8.88671875" style="726"/>
    <col min="4096" max="4096" width="26.44140625" style="726" customWidth="1"/>
    <col min="4097" max="4097" width="18.21875" style="726" customWidth="1"/>
    <col min="4098" max="4098" width="18.77734375" style="726" customWidth="1"/>
    <col min="4099" max="4099" width="15.44140625" style="726" customWidth="1"/>
    <col min="4100" max="4351" width="8.88671875" style="726"/>
    <col min="4352" max="4352" width="26.44140625" style="726" customWidth="1"/>
    <col min="4353" max="4353" width="18.21875" style="726" customWidth="1"/>
    <col min="4354" max="4354" width="18.77734375" style="726" customWidth="1"/>
    <col min="4355" max="4355" width="15.44140625" style="726" customWidth="1"/>
    <col min="4356" max="4607" width="8.88671875" style="726"/>
    <col min="4608" max="4608" width="26.44140625" style="726" customWidth="1"/>
    <col min="4609" max="4609" width="18.21875" style="726" customWidth="1"/>
    <col min="4610" max="4610" width="18.77734375" style="726" customWidth="1"/>
    <col min="4611" max="4611" width="15.44140625" style="726" customWidth="1"/>
    <col min="4612" max="4863" width="8.88671875" style="726"/>
    <col min="4864" max="4864" width="26.44140625" style="726" customWidth="1"/>
    <col min="4865" max="4865" width="18.21875" style="726" customWidth="1"/>
    <col min="4866" max="4866" width="18.77734375" style="726" customWidth="1"/>
    <col min="4867" max="4867" width="15.44140625" style="726" customWidth="1"/>
    <col min="4868" max="5119" width="8.88671875" style="726"/>
    <col min="5120" max="5120" width="26.44140625" style="726" customWidth="1"/>
    <col min="5121" max="5121" width="18.21875" style="726" customWidth="1"/>
    <col min="5122" max="5122" width="18.77734375" style="726" customWidth="1"/>
    <col min="5123" max="5123" width="15.44140625" style="726" customWidth="1"/>
    <col min="5124" max="5375" width="8.88671875" style="726"/>
    <col min="5376" max="5376" width="26.44140625" style="726" customWidth="1"/>
    <col min="5377" max="5377" width="18.21875" style="726" customWidth="1"/>
    <col min="5378" max="5378" width="18.77734375" style="726" customWidth="1"/>
    <col min="5379" max="5379" width="15.44140625" style="726" customWidth="1"/>
    <col min="5380" max="5631" width="8.88671875" style="726"/>
    <col min="5632" max="5632" width="26.44140625" style="726" customWidth="1"/>
    <col min="5633" max="5633" width="18.21875" style="726" customWidth="1"/>
    <col min="5634" max="5634" width="18.77734375" style="726" customWidth="1"/>
    <col min="5635" max="5635" width="15.44140625" style="726" customWidth="1"/>
    <col min="5636" max="5887" width="8.88671875" style="726"/>
    <col min="5888" max="5888" width="26.44140625" style="726" customWidth="1"/>
    <col min="5889" max="5889" width="18.21875" style="726" customWidth="1"/>
    <col min="5890" max="5890" width="18.77734375" style="726" customWidth="1"/>
    <col min="5891" max="5891" width="15.44140625" style="726" customWidth="1"/>
    <col min="5892" max="6143" width="8.88671875" style="726"/>
    <col min="6144" max="6144" width="26.44140625" style="726" customWidth="1"/>
    <col min="6145" max="6145" width="18.21875" style="726" customWidth="1"/>
    <col min="6146" max="6146" width="18.77734375" style="726" customWidth="1"/>
    <col min="6147" max="6147" width="15.44140625" style="726" customWidth="1"/>
    <col min="6148" max="6399" width="8.88671875" style="726"/>
    <col min="6400" max="6400" width="26.44140625" style="726" customWidth="1"/>
    <col min="6401" max="6401" width="18.21875" style="726" customWidth="1"/>
    <col min="6402" max="6402" width="18.77734375" style="726" customWidth="1"/>
    <col min="6403" max="6403" width="15.44140625" style="726" customWidth="1"/>
    <col min="6404" max="6655" width="8.88671875" style="726"/>
    <col min="6656" max="6656" width="26.44140625" style="726" customWidth="1"/>
    <col min="6657" max="6657" width="18.21875" style="726" customWidth="1"/>
    <col min="6658" max="6658" width="18.77734375" style="726" customWidth="1"/>
    <col min="6659" max="6659" width="15.44140625" style="726" customWidth="1"/>
    <col min="6660" max="6911" width="8.88671875" style="726"/>
    <col min="6912" max="6912" width="26.44140625" style="726" customWidth="1"/>
    <col min="6913" max="6913" width="18.21875" style="726" customWidth="1"/>
    <col min="6914" max="6914" width="18.77734375" style="726" customWidth="1"/>
    <col min="6915" max="6915" width="15.44140625" style="726" customWidth="1"/>
    <col min="6916" max="7167" width="8.88671875" style="726"/>
    <col min="7168" max="7168" width="26.44140625" style="726" customWidth="1"/>
    <col min="7169" max="7169" width="18.21875" style="726" customWidth="1"/>
    <col min="7170" max="7170" width="18.77734375" style="726" customWidth="1"/>
    <col min="7171" max="7171" width="15.44140625" style="726" customWidth="1"/>
    <col min="7172" max="7423" width="8.88671875" style="726"/>
    <col min="7424" max="7424" width="26.44140625" style="726" customWidth="1"/>
    <col min="7425" max="7425" width="18.21875" style="726" customWidth="1"/>
    <col min="7426" max="7426" width="18.77734375" style="726" customWidth="1"/>
    <col min="7427" max="7427" width="15.44140625" style="726" customWidth="1"/>
    <col min="7428" max="7679" width="8.88671875" style="726"/>
    <col min="7680" max="7680" width="26.44140625" style="726" customWidth="1"/>
    <col min="7681" max="7681" width="18.21875" style="726" customWidth="1"/>
    <col min="7682" max="7682" width="18.77734375" style="726" customWidth="1"/>
    <col min="7683" max="7683" width="15.44140625" style="726" customWidth="1"/>
    <col min="7684" max="7935" width="8.88671875" style="726"/>
    <col min="7936" max="7936" width="26.44140625" style="726" customWidth="1"/>
    <col min="7937" max="7937" width="18.21875" style="726" customWidth="1"/>
    <col min="7938" max="7938" width="18.77734375" style="726" customWidth="1"/>
    <col min="7939" max="7939" width="15.44140625" style="726" customWidth="1"/>
    <col min="7940" max="8191" width="8.88671875" style="726"/>
    <col min="8192" max="8192" width="26.44140625" style="726" customWidth="1"/>
    <col min="8193" max="8193" width="18.21875" style="726" customWidth="1"/>
    <col min="8194" max="8194" width="18.77734375" style="726" customWidth="1"/>
    <col min="8195" max="8195" width="15.44140625" style="726" customWidth="1"/>
    <col min="8196" max="8447" width="8.88671875" style="726"/>
    <col min="8448" max="8448" width="26.44140625" style="726" customWidth="1"/>
    <col min="8449" max="8449" width="18.21875" style="726" customWidth="1"/>
    <col min="8450" max="8450" width="18.77734375" style="726" customWidth="1"/>
    <col min="8451" max="8451" width="15.44140625" style="726" customWidth="1"/>
    <col min="8452" max="8703" width="8.88671875" style="726"/>
    <col min="8704" max="8704" width="26.44140625" style="726" customWidth="1"/>
    <col min="8705" max="8705" width="18.21875" style="726" customWidth="1"/>
    <col min="8706" max="8706" width="18.77734375" style="726" customWidth="1"/>
    <col min="8707" max="8707" width="15.44140625" style="726" customWidth="1"/>
    <col min="8708" max="8959" width="8.88671875" style="726"/>
    <col min="8960" max="8960" width="26.44140625" style="726" customWidth="1"/>
    <col min="8961" max="8961" width="18.21875" style="726" customWidth="1"/>
    <col min="8962" max="8962" width="18.77734375" style="726" customWidth="1"/>
    <col min="8963" max="8963" width="15.44140625" style="726" customWidth="1"/>
    <col min="8964" max="9215" width="8.88671875" style="726"/>
    <col min="9216" max="9216" width="26.44140625" style="726" customWidth="1"/>
    <col min="9217" max="9217" width="18.21875" style="726" customWidth="1"/>
    <col min="9218" max="9218" width="18.77734375" style="726" customWidth="1"/>
    <col min="9219" max="9219" width="15.44140625" style="726" customWidth="1"/>
    <col min="9220" max="9471" width="8.88671875" style="726"/>
    <col min="9472" max="9472" width="26.44140625" style="726" customWidth="1"/>
    <col min="9473" max="9473" width="18.21875" style="726" customWidth="1"/>
    <col min="9474" max="9474" width="18.77734375" style="726" customWidth="1"/>
    <col min="9475" max="9475" width="15.44140625" style="726" customWidth="1"/>
    <col min="9476" max="9727" width="8.88671875" style="726"/>
    <col min="9728" max="9728" width="26.44140625" style="726" customWidth="1"/>
    <col min="9729" max="9729" width="18.21875" style="726" customWidth="1"/>
    <col min="9730" max="9730" width="18.77734375" style="726" customWidth="1"/>
    <col min="9731" max="9731" width="15.44140625" style="726" customWidth="1"/>
    <col min="9732" max="9983" width="8.88671875" style="726"/>
    <col min="9984" max="9984" width="26.44140625" style="726" customWidth="1"/>
    <col min="9985" max="9985" width="18.21875" style="726" customWidth="1"/>
    <col min="9986" max="9986" width="18.77734375" style="726" customWidth="1"/>
    <col min="9987" max="9987" width="15.44140625" style="726" customWidth="1"/>
    <col min="9988" max="10239" width="8.88671875" style="726"/>
    <col min="10240" max="10240" width="26.44140625" style="726" customWidth="1"/>
    <col min="10241" max="10241" width="18.21875" style="726" customWidth="1"/>
    <col min="10242" max="10242" width="18.77734375" style="726" customWidth="1"/>
    <col min="10243" max="10243" width="15.44140625" style="726" customWidth="1"/>
    <col min="10244" max="10495" width="8.88671875" style="726"/>
    <col min="10496" max="10496" width="26.44140625" style="726" customWidth="1"/>
    <col min="10497" max="10497" width="18.21875" style="726" customWidth="1"/>
    <col min="10498" max="10498" width="18.77734375" style="726" customWidth="1"/>
    <col min="10499" max="10499" width="15.44140625" style="726" customWidth="1"/>
    <col min="10500" max="10751" width="8.88671875" style="726"/>
    <col min="10752" max="10752" width="26.44140625" style="726" customWidth="1"/>
    <col min="10753" max="10753" width="18.21875" style="726" customWidth="1"/>
    <col min="10754" max="10754" width="18.77734375" style="726" customWidth="1"/>
    <col min="10755" max="10755" width="15.44140625" style="726" customWidth="1"/>
    <col min="10756" max="11007" width="8.88671875" style="726"/>
    <col min="11008" max="11008" width="26.44140625" style="726" customWidth="1"/>
    <col min="11009" max="11009" width="18.21875" style="726" customWidth="1"/>
    <col min="11010" max="11010" width="18.77734375" style="726" customWidth="1"/>
    <col min="11011" max="11011" width="15.44140625" style="726" customWidth="1"/>
    <col min="11012" max="11263" width="8.88671875" style="726"/>
    <col min="11264" max="11264" width="26.44140625" style="726" customWidth="1"/>
    <col min="11265" max="11265" width="18.21875" style="726" customWidth="1"/>
    <col min="11266" max="11266" width="18.77734375" style="726" customWidth="1"/>
    <col min="11267" max="11267" width="15.44140625" style="726" customWidth="1"/>
    <col min="11268" max="11519" width="8.88671875" style="726"/>
    <col min="11520" max="11520" width="26.44140625" style="726" customWidth="1"/>
    <col min="11521" max="11521" width="18.21875" style="726" customWidth="1"/>
    <col min="11522" max="11522" width="18.77734375" style="726" customWidth="1"/>
    <col min="11523" max="11523" width="15.44140625" style="726" customWidth="1"/>
    <col min="11524" max="11775" width="8.88671875" style="726"/>
    <col min="11776" max="11776" width="26.44140625" style="726" customWidth="1"/>
    <col min="11777" max="11777" width="18.21875" style="726" customWidth="1"/>
    <col min="11778" max="11778" width="18.77734375" style="726" customWidth="1"/>
    <col min="11779" max="11779" width="15.44140625" style="726" customWidth="1"/>
    <col min="11780" max="12031" width="8.88671875" style="726"/>
    <col min="12032" max="12032" width="26.44140625" style="726" customWidth="1"/>
    <col min="12033" max="12033" width="18.21875" style="726" customWidth="1"/>
    <col min="12034" max="12034" width="18.77734375" style="726" customWidth="1"/>
    <col min="12035" max="12035" width="15.44140625" style="726" customWidth="1"/>
    <col min="12036" max="12287" width="8.88671875" style="726"/>
    <col min="12288" max="12288" width="26.44140625" style="726" customWidth="1"/>
    <col min="12289" max="12289" width="18.21875" style="726" customWidth="1"/>
    <col min="12290" max="12290" width="18.77734375" style="726" customWidth="1"/>
    <col min="12291" max="12291" width="15.44140625" style="726" customWidth="1"/>
    <col min="12292" max="12543" width="8.88671875" style="726"/>
    <col min="12544" max="12544" width="26.44140625" style="726" customWidth="1"/>
    <col min="12545" max="12545" width="18.21875" style="726" customWidth="1"/>
    <col min="12546" max="12546" width="18.77734375" style="726" customWidth="1"/>
    <col min="12547" max="12547" width="15.44140625" style="726" customWidth="1"/>
    <col min="12548" max="12799" width="8.88671875" style="726"/>
    <col min="12800" max="12800" width="26.44140625" style="726" customWidth="1"/>
    <col min="12801" max="12801" width="18.21875" style="726" customWidth="1"/>
    <col min="12802" max="12802" width="18.77734375" style="726" customWidth="1"/>
    <col min="12803" max="12803" width="15.44140625" style="726" customWidth="1"/>
    <col min="12804" max="13055" width="8.88671875" style="726"/>
    <col min="13056" max="13056" width="26.44140625" style="726" customWidth="1"/>
    <col min="13057" max="13057" width="18.21875" style="726" customWidth="1"/>
    <col min="13058" max="13058" width="18.77734375" style="726" customWidth="1"/>
    <col min="13059" max="13059" width="15.44140625" style="726" customWidth="1"/>
    <col min="13060" max="13311" width="8.88671875" style="726"/>
    <col min="13312" max="13312" width="26.44140625" style="726" customWidth="1"/>
    <col min="13313" max="13313" width="18.21875" style="726" customWidth="1"/>
    <col min="13314" max="13314" width="18.77734375" style="726" customWidth="1"/>
    <col min="13315" max="13315" width="15.44140625" style="726" customWidth="1"/>
    <col min="13316" max="13567" width="8.88671875" style="726"/>
    <col min="13568" max="13568" width="26.44140625" style="726" customWidth="1"/>
    <col min="13569" max="13569" width="18.21875" style="726" customWidth="1"/>
    <col min="13570" max="13570" width="18.77734375" style="726" customWidth="1"/>
    <col min="13571" max="13571" width="15.44140625" style="726" customWidth="1"/>
    <col min="13572" max="13823" width="8.88671875" style="726"/>
    <col min="13824" max="13824" width="26.44140625" style="726" customWidth="1"/>
    <col min="13825" max="13825" width="18.21875" style="726" customWidth="1"/>
    <col min="13826" max="13826" width="18.77734375" style="726" customWidth="1"/>
    <col min="13827" max="13827" width="15.44140625" style="726" customWidth="1"/>
    <col min="13828" max="14079" width="8.88671875" style="726"/>
    <col min="14080" max="14080" width="26.44140625" style="726" customWidth="1"/>
    <col min="14081" max="14081" width="18.21875" style="726" customWidth="1"/>
    <col min="14082" max="14082" width="18.77734375" style="726" customWidth="1"/>
    <col min="14083" max="14083" width="15.44140625" style="726" customWidth="1"/>
    <col min="14084" max="14335" width="8.88671875" style="726"/>
    <col min="14336" max="14336" width="26.44140625" style="726" customWidth="1"/>
    <col min="14337" max="14337" width="18.21875" style="726" customWidth="1"/>
    <col min="14338" max="14338" width="18.77734375" style="726" customWidth="1"/>
    <col min="14339" max="14339" width="15.44140625" style="726" customWidth="1"/>
    <col min="14340" max="14591" width="8.88671875" style="726"/>
    <col min="14592" max="14592" width="26.44140625" style="726" customWidth="1"/>
    <col min="14593" max="14593" width="18.21875" style="726" customWidth="1"/>
    <col min="14594" max="14594" width="18.77734375" style="726" customWidth="1"/>
    <col min="14595" max="14595" width="15.44140625" style="726" customWidth="1"/>
    <col min="14596" max="14847" width="8.88671875" style="726"/>
    <col min="14848" max="14848" width="26.44140625" style="726" customWidth="1"/>
    <col min="14849" max="14849" width="18.21875" style="726" customWidth="1"/>
    <col min="14850" max="14850" width="18.77734375" style="726" customWidth="1"/>
    <col min="14851" max="14851" width="15.44140625" style="726" customWidth="1"/>
    <col min="14852" max="15103" width="8.88671875" style="726"/>
    <col min="15104" max="15104" width="26.44140625" style="726" customWidth="1"/>
    <col min="15105" max="15105" width="18.21875" style="726" customWidth="1"/>
    <col min="15106" max="15106" width="18.77734375" style="726" customWidth="1"/>
    <col min="15107" max="15107" width="15.44140625" style="726" customWidth="1"/>
    <col min="15108" max="15359" width="8.88671875" style="726"/>
    <col min="15360" max="15360" width="26.44140625" style="726" customWidth="1"/>
    <col min="15361" max="15361" width="18.21875" style="726" customWidth="1"/>
    <col min="15362" max="15362" width="18.77734375" style="726" customWidth="1"/>
    <col min="15363" max="15363" width="15.44140625" style="726" customWidth="1"/>
    <col min="15364" max="15615" width="8.88671875" style="726"/>
    <col min="15616" max="15616" width="26.44140625" style="726" customWidth="1"/>
    <col min="15617" max="15617" width="18.21875" style="726" customWidth="1"/>
    <col min="15618" max="15618" width="18.77734375" style="726" customWidth="1"/>
    <col min="15619" max="15619" width="15.44140625" style="726" customWidth="1"/>
    <col min="15620" max="15871" width="8.88671875" style="726"/>
    <col min="15872" max="15872" width="26.44140625" style="726" customWidth="1"/>
    <col min="15873" max="15873" width="18.21875" style="726" customWidth="1"/>
    <col min="15874" max="15874" width="18.77734375" style="726" customWidth="1"/>
    <col min="15875" max="15875" width="15.44140625" style="726" customWidth="1"/>
    <col min="15876" max="16127" width="8.88671875" style="726"/>
    <col min="16128" max="16128" width="26.44140625" style="726" customWidth="1"/>
    <col min="16129" max="16129" width="18.21875" style="726" customWidth="1"/>
    <col min="16130" max="16130" width="18.77734375" style="726" customWidth="1"/>
    <col min="16131" max="16131" width="15.44140625" style="726" customWidth="1"/>
    <col min="16132" max="16384" width="8.88671875" style="726"/>
  </cols>
  <sheetData>
    <row r="1" spans="1:9" ht="17.399999999999999" x14ac:dyDescent="0.3">
      <c r="A1" s="735" t="s">
        <v>470</v>
      </c>
    </row>
    <row r="2" spans="1:9" ht="17.399999999999999" x14ac:dyDescent="0.3">
      <c r="A2" s="735" t="s">
        <v>559</v>
      </c>
    </row>
    <row r="3" spans="1:9" ht="17.399999999999999" x14ac:dyDescent="0.3">
      <c r="A3" s="735" t="s">
        <v>484</v>
      </c>
    </row>
    <row r="4" spans="1:9" ht="16.2" thickBot="1" x14ac:dyDescent="0.35"/>
    <row r="5" spans="1:9" ht="51" customHeight="1" thickBot="1" x14ac:dyDescent="0.35">
      <c r="A5" s="931" t="s">
        <v>242</v>
      </c>
      <c r="B5" s="933" t="s">
        <v>243</v>
      </c>
      <c r="C5" s="805" t="s">
        <v>562</v>
      </c>
      <c r="D5" s="806" t="s">
        <v>494</v>
      </c>
      <c r="E5" s="806" t="s">
        <v>542</v>
      </c>
      <c r="F5" s="806" t="s">
        <v>541</v>
      </c>
      <c r="G5" s="806" t="s">
        <v>543</v>
      </c>
    </row>
    <row r="6" spans="1:9" ht="16.2" thickBot="1" x14ac:dyDescent="0.35">
      <c r="A6" s="932"/>
      <c r="B6" s="934"/>
      <c r="C6" s="803">
        <f>SUM(C7:C12)</f>
        <v>513180889</v>
      </c>
      <c r="D6" s="804">
        <f>SUM(D7:D12)</f>
        <v>532315580</v>
      </c>
      <c r="E6" s="804">
        <f>SUM(E7:E12)</f>
        <v>614436395</v>
      </c>
      <c r="F6" s="804">
        <f>SUM(F7:F12)</f>
        <v>734119287</v>
      </c>
      <c r="G6" s="804">
        <f>SUM(G7:G12)</f>
        <v>119682892</v>
      </c>
      <c r="I6" s="727"/>
    </row>
    <row r="7" spans="1:9" ht="31.2" x14ac:dyDescent="0.3">
      <c r="A7" s="815" t="s">
        <v>244</v>
      </c>
      <c r="B7" s="816" t="s">
        <v>377</v>
      </c>
      <c r="C7" s="817">
        <v>162595605</v>
      </c>
      <c r="D7" s="818">
        <v>163516994</v>
      </c>
      <c r="E7" s="819">
        <v>202531018</v>
      </c>
      <c r="F7" s="819">
        <f>203212158+4348872</f>
        <v>207561030</v>
      </c>
      <c r="G7" s="819">
        <f>+F7-E7</f>
        <v>5030012</v>
      </c>
    </row>
    <row r="8" spans="1:9" ht="31.2" x14ac:dyDescent="0.3">
      <c r="A8" s="801" t="s">
        <v>245</v>
      </c>
      <c r="B8" s="799" t="s">
        <v>407</v>
      </c>
      <c r="C8" s="794">
        <v>192807166</v>
      </c>
      <c r="D8" s="797">
        <v>197647100</v>
      </c>
      <c r="E8" s="791">
        <v>222738550</v>
      </c>
      <c r="F8" s="791">
        <f>232613450+27063730</f>
        <v>259677180</v>
      </c>
      <c r="G8" s="791">
        <f t="shared" ref="G8:G10" si="0">+F8-E8</f>
        <v>36938630</v>
      </c>
    </row>
    <row r="9" spans="1:9" ht="31.2" x14ac:dyDescent="0.3">
      <c r="A9" s="801" t="s">
        <v>246</v>
      </c>
      <c r="B9" s="799" t="s">
        <v>408</v>
      </c>
      <c r="C9" s="793">
        <v>147583868</v>
      </c>
      <c r="D9" s="796">
        <v>160494217</v>
      </c>
      <c r="E9" s="814">
        <f>102016424+68672853</f>
        <v>170689277</v>
      </c>
      <c r="F9" s="814">
        <f>34218000+7288648+10065070+45089000+0+62364945+805410+(14971625+3301074)</f>
        <v>178103772</v>
      </c>
      <c r="G9" s="814">
        <f t="shared" si="0"/>
        <v>7414495</v>
      </c>
    </row>
    <row r="10" spans="1:9" ht="31.8" thickBot="1" x14ac:dyDescent="0.35">
      <c r="A10" s="802" t="s">
        <v>247</v>
      </c>
      <c r="B10" s="800" t="s">
        <v>409</v>
      </c>
      <c r="C10" s="795">
        <v>10194250</v>
      </c>
      <c r="D10" s="798">
        <v>10657269</v>
      </c>
      <c r="E10" s="792">
        <v>18477550</v>
      </c>
      <c r="F10" s="792">
        <v>18777305</v>
      </c>
      <c r="G10" s="792">
        <f t="shared" si="0"/>
        <v>299755</v>
      </c>
    </row>
    <row r="11" spans="1:9" ht="16.2" thickBot="1" x14ac:dyDescent="0.35">
      <c r="A11" s="802" t="s">
        <v>248</v>
      </c>
      <c r="B11" s="800" t="s">
        <v>249</v>
      </c>
      <c r="C11" s="825">
        <v>0</v>
      </c>
      <c r="D11" s="825">
        <v>0</v>
      </c>
      <c r="E11" s="792">
        <v>0</v>
      </c>
      <c r="F11" s="792">
        <v>70000000</v>
      </c>
      <c r="G11" s="792">
        <f t="shared" ref="G11:G12" si="1">+F11-E11</f>
        <v>70000000</v>
      </c>
      <c r="H11" s="727"/>
    </row>
    <row r="12" spans="1:9" ht="16.2" thickBot="1" x14ac:dyDescent="0.35">
      <c r="A12" s="802" t="s">
        <v>250</v>
      </c>
      <c r="B12" s="800" t="s">
        <v>251</v>
      </c>
      <c r="C12" s="825">
        <v>0</v>
      </c>
      <c r="D12" s="825">
        <v>0</v>
      </c>
      <c r="E12" s="792">
        <v>0</v>
      </c>
      <c r="F12" s="792">
        <v>0</v>
      </c>
      <c r="G12" s="792">
        <f t="shared" si="1"/>
        <v>0</v>
      </c>
    </row>
    <row r="13" spans="1:9" x14ac:dyDescent="0.3">
      <c r="A13" s="808"/>
      <c r="B13" s="809"/>
      <c r="C13" s="826"/>
      <c r="D13" s="826"/>
      <c r="E13" s="810"/>
      <c r="F13" s="810"/>
      <c r="G13" s="810"/>
    </row>
    <row r="14" spans="1:9" x14ac:dyDescent="0.3">
      <c r="A14" s="807" t="s">
        <v>496</v>
      </c>
    </row>
    <row r="15" spans="1:9" x14ac:dyDescent="0.3">
      <c r="A15" s="728" t="s">
        <v>544</v>
      </c>
    </row>
    <row r="16" spans="1:9" ht="16.2" thickBot="1" x14ac:dyDescent="0.35">
      <c r="D16" s="729"/>
    </row>
    <row r="17" spans="1:7" ht="70.8" customHeight="1" thickBot="1" x14ac:dyDescent="0.35">
      <c r="A17" s="745" t="s">
        <v>497</v>
      </c>
      <c r="B17" s="746" t="s">
        <v>498</v>
      </c>
      <c r="C17" s="748" t="s">
        <v>500</v>
      </c>
      <c r="D17" s="748" t="s">
        <v>501</v>
      </c>
      <c r="E17" s="748" t="s">
        <v>545</v>
      </c>
      <c r="F17" s="748" t="s">
        <v>546</v>
      </c>
      <c r="G17" s="747" t="s">
        <v>543</v>
      </c>
    </row>
    <row r="18" spans="1:7" ht="33.6" customHeight="1" thickBot="1" x14ac:dyDescent="0.35">
      <c r="A18" s="821" t="s">
        <v>547</v>
      </c>
      <c r="B18" s="736" t="s">
        <v>486</v>
      </c>
      <c r="C18" s="749">
        <v>162595605</v>
      </c>
      <c r="D18" s="749">
        <v>163516994</v>
      </c>
      <c r="E18" s="749">
        <v>202531018</v>
      </c>
      <c r="F18" s="749">
        <f>203212158+4348872</f>
        <v>207561030</v>
      </c>
      <c r="G18" s="737">
        <f>+F18-E18</f>
        <v>5030012</v>
      </c>
    </row>
    <row r="19" spans="1:7" ht="33.6" customHeight="1" thickBot="1" x14ac:dyDescent="0.35">
      <c r="A19" s="821" t="s">
        <v>548</v>
      </c>
      <c r="B19" s="738" t="s">
        <v>487</v>
      </c>
      <c r="C19" s="750">
        <v>192807166</v>
      </c>
      <c r="D19" s="754">
        <v>197647100</v>
      </c>
      <c r="E19" s="754">
        <v>222738550</v>
      </c>
      <c r="F19" s="754">
        <f>232613450+27063730</f>
        <v>259677180</v>
      </c>
      <c r="G19" s="739">
        <f t="shared" ref="G19:G26" si="2">+F19-E19</f>
        <v>36938630</v>
      </c>
    </row>
    <row r="20" spans="1:7" ht="31.2" x14ac:dyDescent="0.3">
      <c r="A20" s="822" t="s">
        <v>549</v>
      </c>
      <c r="B20" s="740" t="s">
        <v>488</v>
      </c>
      <c r="C20" s="750">
        <v>38368240</v>
      </c>
      <c r="D20" s="750">
        <v>40396128</v>
      </c>
      <c r="E20" s="750">
        <v>41157944</v>
      </c>
      <c r="F20" s="750">
        <v>34218000</v>
      </c>
      <c r="G20" s="742">
        <f t="shared" si="2"/>
        <v>-6939944</v>
      </c>
    </row>
    <row r="21" spans="1:7" ht="53.4" customHeight="1" x14ac:dyDescent="0.3">
      <c r="A21" s="823" t="s">
        <v>552</v>
      </c>
      <c r="B21" s="730" t="s">
        <v>553</v>
      </c>
      <c r="C21" s="751">
        <v>5440000</v>
      </c>
      <c r="D21" s="751">
        <v>5440000</v>
      </c>
      <c r="E21" s="751">
        <v>6970000</v>
      </c>
      <c r="F21" s="751">
        <f>7288648+1430550</f>
        <v>8719198</v>
      </c>
      <c r="G21" s="743">
        <f t="shared" si="2"/>
        <v>1749198</v>
      </c>
    </row>
    <row r="22" spans="1:7" ht="52.8" customHeight="1" x14ac:dyDescent="0.3">
      <c r="A22" s="823" t="s">
        <v>551</v>
      </c>
      <c r="B22" s="730" t="s">
        <v>489</v>
      </c>
      <c r="C22" s="751">
        <v>9675920</v>
      </c>
      <c r="D22" s="751">
        <v>10579400</v>
      </c>
      <c r="E22" s="751">
        <v>10489480</v>
      </c>
      <c r="F22" s="751">
        <f>10065070+240000+820000+45975+798000</f>
        <v>11969045</v>
      </c>
      <c r="G22" s="743">
        <f t="shared" si="2"/>
        <v>1479565</v>
      </c>
    </row>
    <row r="23" spans="1:7" ht="24" customHeight="1" x14ac:dyDescent="0.3">
      <c r="A23" s="823" t="s">
        <v>550</v>
      </c>
      <c r="B23" s="730" t="s">
        <v>490</v>
      </c>
      <c r="C23" s="751">
        <f>23803000+8398000</f>
        <v>32201000</v>
      </c>
      <c r="D23" s="751">
        <v>34828000</v>
      </c>
      <c r="E23" s="751">
        <v>43399000</v>
      </c>
      <c r="F23" s="751">
        <f>45089000+5672100</f>
        <v>50761100</v>
      </c>
      <c r="G23" s="743">
        <f t="shared" si="2"/>
        <v>7362100</v>
      </c>
    </row>
    <row r="24" spans="1:7" x14ac:dyDescent="0.3">
      <c r="A24" s="823" t="s">
        <v>554</v>
      </c>
      <c r="B24" s="730" t="s">
        <v>491</v>
      </c>
      <c r="C24" s="751">
        <f>28006000+32753848</f>
        <v>60759848</v>
      </c>
      <c r="D24" s="751">
        <v>68314179</v>
      </c>
      <c r="E24" s="751">
        <v>67694001</v>
      </c>
      <c r="F24" s="751">
        <f>62364945+5965000+3301074</f>
        <v>71631019</v>
      </c>
      <c r="G24" s="743">
        <f t="shared" si="2"/>
        <v>3937018</v>
      </c>
    </row>
    <row r="25" spans="1:7" ht="30" customHeight="1" thickBot="1" x14ac:dyDescent="0.35">
      <c r="A25" s="823" t="s">
        <v>555</v>
      </c>
      <c r="B25" s="741" t="s">
        <v>492</v>
      </c>
      <c r="C25" s="752">
        <v>1138860</v>
      </c>
      <c r="D25" s="752">
        <v>936510</v>
      </c>
      <c r="E25" s="752">
        <v>978852</v>
      </c>
      <c r="F25" s="752">
        <v>805410</v>
      </c>
      <c r="G25" s="744">
        <f t="shared" si="2"/>
        <v>-173442</v>
      </c>
    </row>
    <row r="26" spans="1:7" ht="33" customHeight="1" thickBot="1" x14ac:dyDescent="0.35">
      <c r="A26" s="820" t="s">
        <v>556</v>
      </c>
      <c r="B26" s="736" t="s">
        <v>493</v>
      </c>
      <c r="C26" s="752">
        <v>10194250</v>
      </c>
      <c r="D26" s="749">
        <v>10657269</v>
      </c>
      <c r="E26" s="749">
        <v>18477550</v>
      </c>
      <c r="F26" s="749">
        <v>18777305</v>
      </c>
      <c r="G26" s="737">
        <f t="shared" si="2"/>
        <v>299755</v>
      </c>
    </row>
    <row r="27" spans="1:7" ht="16.2" thickBot="1" x14ac:dyDescent="0.35">
      <c r="A27" s="731" t="s">
        <v>495</v>
      </c>
      <c r="B27" s="732" t="s">
        <v>499</v>
      </c>
      <c r="C27" s="753">
        <f>SUM(C17:C26)</f>
        <v>513180889</v>
      </c>
      <c r="D27" s="753">
        <f>SUM(D17:D26)</f>
        <v>532315580</v>
      </c>
      <c r="E27" s="753">
        <f t="shared" ref="E27:F27" si="3">SUM(E17:E26)</f>
        <v>614436395</v>
      </c>
      <c r="F27" s="753">
        <f t="shared" si="3"/>
        <v>664119287</v>
      </c>
      <c r="G27" s="733">
        <f>+F27-E27</f>
        <v>49682892</v>
      </c>
    </row>
    <row r="28" spans="1:7" x14ac:dyDescent="0.3">
      <c r="A28" s="734"/>
    </row>
    <row r="29" spans="1:7" x14ac:dyDescent="0.3">
      <c r="A29" s="734"/>
    </row>
  </sheetData>
  <mergeCells count="2">
    <mergeCell ref="A5:A6"/>
    <mergeCell ref="B5:B6"/>
  </mergeCells>
  <pageMargins left="0.7" right="0.7" top="0.75" bottom="0.75" header="0.3" footer="0.3"/>
  <pageSetup paperSize="9" scale="61" fitToHeight="0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B3" sqref="B3"/>
    </sheetView>
  </sheetViews>
  <sheetFormatPr defaultRowHeight="13.2" x14ac:dyDescent="0.25"/>
  <cols>
    <col min="2" max="2" width="39.6640625" customWidth="1"/>
    <col min="3" max="3" width="26.21875" bestFit="1" customWidth="1"/>
    <col min="4" max="4" width="22.5546875" customWidth="1"/>
    <col min="5" max="5" width="21.109375" customWidth="1"/>
  </cols>
  <sheetData>
    <row r="1" spans="1:5" ht="17.399999999999999" x14ac:dyDescent="0.3">
      <c r="A1" s="735" t="s">
        <v>508</v>
      </c>
    </row>
    <row r="2" spans="1:5" ht="17.399999999999999" x14ac:dyDescent="0.3">
      <c r="A2" s="735" t="s">
        <v>536</v>
      </c>
    </row>
    <row r="3" spans="1:5" ht="17.399999999999999" x14ac:dyDescent="0.3">
      <c r="A3" s="735"/>
    </row>
    <row r="5" spans="1:5" ht="40.799999999999997" customHeight="1" x14ac:dyDescent="0.25">
      <c r="A5" s="182" t="s">
        <v>414</v>
      </c>
      <c r="B5" s="188" t="s">
        <v>365</v>
      </c>
      <c r="C5" s="183" t="s">
        <v>533</v>
      </c>
      <c r="D5" s="183" t="s">
        <v>534</v>
      </c>
      <c r="E5" s="183" t="s">
        <v>535</v>
      </c>
    </row>
    <row r="6" spans="1:5" ht="30" customHeight="1" x14ac:dyDescent="0.25">
      <c r="A6" s="34" t="s">
        <v>240</v>
      </c>
      <c r="B6" s="18" t="s">
        <v>241</v>
      </c>
      <c r="C6" s="160">
        <v>741516395</v>
      </c>
      <c r="D6" s="371">
        <f>+'1. Sülysáp összesen'!C10</f>
        <v>780199287</v>
      </c>
      <c r="E6" s="160">
        <f>+D6-C6</f>
        <v>38682892</v>
      </c>
    </row>
    <row r="7" spans="1:5" ht="30.6" customHeight="1" x14ac:dyDescent="0.25">
      <c r="A7" s="34" t="s">
        <v>261</v>
      </c>
      <c r="B7" s="18" t="s">
        <v>262</v>
      </c>
      <c r="C7" s="160">
        <v>240330297</v>
      </c>
      <c r="D7" s="371">
        <f>+'1. Sülysáp összesen'!C11</f>
        <v>70000000</v>
      </c>
      <c r="E7" s="160">
        <f t="shared" ref="E7:E14" si="0">+D7-C7</f>
        <v>-170330297</v>
      </c>
    </row>
    <row r="8" spans="1:5" ht="15" customHeight="1" x14ac:dyDescent="0.25">
      <c r="A8" s="34" t="s">
        <v>269</v>
      </c>
      <c r="B8" s="18" t="s">
        <v>270</v>
      </c>
      <c r="C8" s="160">
        <v>132000000</v>
      </c>
      <c r="D8" s="371">
        <f>+'1. Sülysáp összesen'!C12</f>
        <v>200000000</v>
      </c>
      <c r="E8" s="160">
        <f t="shared" si="0"/>
        <v>68000000</v>
      </c>
    </row>
    <row r="9" spans="1:5" ht="15" customHeight="1" x14ac:dyDescent="0.25">
      <c r="A9" s="34" t="s">
        <v>282</v>
      </c>
      <c r="B9" s="18" t="s">
        <v>283</v>
      </c>
      <c r="C9" s="160">
        <v>91151000</v>
      </c>
      <c r="D9" s="371">
        <f>+'1. Sülysáp összesen'!C13</f>
        <v>101501530</v>
      </c>
      <c r="E9" s="160">
        <f t="shared" si="0"/>
        <v>10350530</v>
      </c>
    </row>
    <row r="10" spans="1:5" ht="15" customHeight="1" x14ac:dyDescent="0.25">
      <c r="A10" s="34" t="s">
        <v>308</v>
      </c>
      <c r="B10" s="18" t="s">
        <v>309</v>
      </c>
      <c r="C10" s="160">
        <v>90845000</v>
      </c>
      <c r="D10" s="371">
        <f>+'1. Sülysáp összesen'!C14</f>
        <v>61100000</v>
      </c>
      <c r="E10" s="160">
        <f t="shared" si="0"/>
        <v>-29745000</v>
      </c>
    </row>
    <row r="11" spans="1:5" ht="15" customHeight="1" x14ac:dyDescent="0.25">
      <c r="A11" s="34" t="s">
        <v>318</v>
      </c>
      <c r="B11" s="18" t="s">
        <v>319</v>
      </c>
      <c r="C11" s="160">
        <v>4181435</v>
      </c>
      <c r="D11" s="371">
        <f>+'1. Sülysáp összesen'!C15</f>
        <v>0</v>
      </c>
      <c r="E11" s="160">
        <f t="shared" si="0"/>
        <v>-4181435</v>
      </c>
    </row>
    <row r="12" spans="1:5" ht="15" customHeight="1" x14ac:dyDescent="0.25">
      <c r="A12" s="34" t="s">
        <v>322</v>
      </c>
      <c r="B12" s="18" t="s">
        <v>323</v>
      </c>
      <c r="C12" s="160">
        <v>5900000</v>
      </c>
      <c r="D12" s="371">
        <f>+'1. Sülysáp összesen'!C16</f>
        <v>0</v>
      </c>
      <c r="E12" s="160">
        <f t="shared" si="0"/>
        <v>-5900000</v>
      </c>
    </row>
    <row r="13" spans="1:5" ht="15" customHeight="1" x14ac:dyDescent="0.25">
      <c r="A13" s="34" t="s">
        <v>328</v>
      </c>
      <c r="B13" s="18" t="s">
        <v>329</v>
      </c>
      <c r="C13" s="160">
        <v>804865436</v>
      </c>
      <c r="D13" s="371">
        <f>+'1. Sülysáp összesen'!C17</f>
        <v>808469482</v>
      </c>
      <c r="E13" s="160">
        <f t="shared" si="0"/>
        <v>3604046</v>
      </c>
    </row>
    <row r="14" spans="1:5" ht="30" customHeight="1" x14ac:dyDescent="0.25">
      <c r="A14" s="34"/>
      <c r="B14" s="368" t="s">
        <v>436</v>
      </c>
      <c r="C14" s="160">
        <v>-588485599</v>
      </c>
      <c r="D14" s="160">
        <f>+'1. Sülysáp összesen'!C18</f>
        <v>-651420680</v>
      </c>
      <c r="E14" s="160">
        <f t="shared" si="0"/>
        <v>-62935081</v>
      </c>
    </row>
    <row r="15" spans="1:5" ht="15" customHeight="1" x14ac:dyDescent="0.25">
      <c r="A15" s="709"/>
      <c r="B15" s="48" t="s">
        <v>371</v>
      </c>
      <c r="C15" s="710">
        <f>SUM(C6:C14)</f>
        <v>1522303964</v>
      </c>
      <c r="D15" s="710">
        <f t="shared" ref="D15:E15" si="1">SUM(D6:D14)</f>
        <v>1369849619</v>
      </c>
      <c r="E15" s="710">
        <f t="shared" si="1"/>
        <v>-152454345</v>
      </c>
    </row>
    <row r="16" spans="1:5" ht="15" customHeight="1" x14ac:dyDescent="0.25"/>
    <row r="17" spans="1:5" ht="15" customHeight="1" x14ac:dyDescent="0.25"/>
    <row r="18" spans="1:5" ht="28.8" x14ac:dyDescent="0.25">
      <c r="A18" s="182" t="s">
        <v>414</v>
      </c>
      <c r="B18" s="188" t="s">
        <v>365</v>
      </c>
      <c r="C18" s="183" t="s">
        <v>533</v>
      </c>
      <c r="D18" s="183" t="s">
        <v>534</v>
      </c>
      <c r="E18" s="183" t="s">
        <v>535</v>
      </c>
    </row>
    <row r="19" spans="1:5" x14ac:dyDescent="0.25">
      <c r="A19" s="529" t="s">
        <v>0</v>
      </c>
      <c r="B19" s="18" t="s">
        <v>3</v>
      </c>
      <c r="C19" s="371">
        <v>509884000</v>
      </c>
      <c r="D19" s="371">
        <f>+'1. Sülysáp összesen'!C27</f>
        <v>590239000</v>
      </c>
      <c r="E19" s="371">
        <f>+D19-C19</f>
        <v>80355000</v>
      </c>
    </row>
    <row r="20" spans="1:5" ht="26.4" x14ac:dyDescent="0.25">
      <c r="A20" s="529" t="s">
        <v>26</v>
      </c>
      <c r="B20" s="18" t="s">
        <v>27</v>
      </c>
      <c r="C20" s="371">
        <v>77500000</v>
      </c>
      <c r="D20" s="371">
        <f>+'1. Sülysáp összesen'!C28</f>
        <v>76600000</v>
      </c>
      <c r="E20" s="371">
        <f t="shared" ref="E20:E28" si="2">+D20-C20</f>
        <v>-900000</v>
      </c>
    </row>
    <row r="21" spans="1:5" x14ac:dyDescent="0.25">
      <c r="A21" s="529" t="s">
        <v>29</v>
      </c>
      <c r="B21" s="18" t="s">
        <v>30</v>
      </c>
      <c r="C21" s="371">
        <v>473564654</v>
      </c>
      <c r="D21" s="371">
        <f>+'1. Sülysáp összesen'!C29</f>
        <v>357274000</v>
      </c>
      <c r="E21" s="371">
        <f t="shared" si="2"/>
        <v>-116290654</v>
      </c>
    </row>
    <row r="22" spans="1:5" x14ac:dyDescent="0.25">
      <c r="A22" s="529" t="s">
        <v>111</v>
      </c>
      <c r="B22" s="18" t="s">
        <v>476</v>
      </c>
      <c r="C22" s="371">
        <v>15000000</v>
      </c>
      <c r="D22" s="371">
        <f>+'1. Sülysáp összesen'!C30</f>
        <v>16000000</v>
      </c>
      <c r="E22" s="371">
        <f t="shared" si="2"/>
        <v>1000000</v>
      </c>
    </row>
    <row r="23" spans="1:5" x14ac:dyDescent="0.25">
      <c r="A23" s="529" t="s">
        <v>370</v>
      </c>
      <c r="B23" s="18" t="s">
        <v>141</v>
      </c>
      <c r="C23" s="371">
        <v>152600000</v>
      </c>
      <c r="D23" s="371">
        <f>+'1. Sülysáp összesen'!C31</f>
        <v>151426315</v>
      </c>
      <c r="E23" s="371">
        <f t="shared" si="2"/>
        <v>-1173685</v>
      </c>
    </row>
    <row r="24" spans="1:5" x14ac:dyDescent="0.25">
      <c r="A24" s="529" t="s">
        <v>158</v>
      </c>
      <c r="B24" s="18" t="s">
        <v>159</v>
      </c>
      <c r="C24" s="371">
        <v>248540354</v>
      </c>
      <c r="D24" s="371">
        <f>+'1. Sülysáp összesen'!C32</f>
        <v>70280500</v>
      </c>
      <c r="E24" s="371">
        <f t="shared" si="2"/>
        <v>-178259854</v>
      </c>
    </row>
    <row r="25" spans="1:5" x14ac:dyDescent="0.25">
      <c r="A25" s="529" t="s">
        <v>173</v>
      </c>
      <c r="B25" s="18" t="s">
        <v>174</v>
      </c>
      <c r="C25" s="371">
        <v>20637500</v>
      </c>
      <c r="D25" s="371">
        <f>+'1. Sülysáp összesen'!C33</f>
        <v>83452445</v>
      </c>
      <c r="E25" s="371">
        <f t="shared" si="2"/>
        <v>62814945</v>
      </c>
    </row>
    <row r="26" spans="1:5" x14ac:dyDescent="0.25">
      <c r="A26" s="529" t="s">
        <v>183</v>
      </c>
      <c r="B26" s="18" t="s">
        <v>184</v>
      </c>
      <c r="C26" s="371">
        <v>0</v>
      </c>
      <c r="D26" s="371">
        <f>+'1. Sülysáp összesen'!C34</f>
        <v>0</v>
      </c>
      <c r="E26" s="371">
        <f t="shared" si="2"/>
        <v>0</v>
      </c>
    </row>
    <row r="27" spans="1:5" x14ac:dyDescent="0.25">
      <c r="A27" s="529" t="s">
        <v>200</v>
      </c>
      <c r="B27" s="18" t="s">
        <v>201</v>
      </c>
      <c r="C27" s="371">
        <v>613063055</v>
      </c>
      <c r="D27" s="371">
        <f>+'1. Sülysáp összesen'!C35</f>
        <v>675998039</v>
      </c>
      <c r="E27" s="371">
        <f t="shared" si="2"/>
        <v>62934984</v>
      </c>
    </row>
    <row r="28" spans="1:5" ht="24.6" x14ac:dyDescent="0.25">
      <c r="A28" s="529"/>
      <c r="B28" s="368" t="s">
        <v>436</v>
      </c>
      <c r="C28" s="371">
        <v>-588485599</v>
      </c>
      <c r="D28" s="371">
        <f>+'1. Sülysáp összesen'!C36</f>
        <v>-651420680</v>
      </c>
      <c r="E28" s="371">
        <f t="shared" si="2"/>
        <v>-62935081</v>
      </c>
    </row>
    <row r="29" spans="1:5" x14ac:dyDescent="0.25">
      <c r="A29" s="7"/>
      <c r="B29" s="3" t="s">
        <v>372</v>
      </c>
      <c r="C29" s="80">
        <f>SUM(C19:C28)</f>
        <v>1522303964</v>
      </c>
      <c r="D29" s="80">
        <f t="shared" ref="D29:E29" si="3">SUM(D19:D28)</f>
        <v>1369849619</v>
      </c>
      <c r="E29" s="80">
        <f t="shared" si="3"/>
        <v>-152454345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9"/>
  <sheetViews>
    <sheetView workbookViewId="0">
      <selection activeCell="C4" sqref="C4"/>
    </sheetView>
  </sheetViews>
  <sheetFormatPr defaultRowHeight="13.2" x14ac:dyDescent="0.25"/>
  <cols>
    <col min="1" max="1" width="3.77734375" customWidth="1"/>
    <col min="3" max="3" width="6.33203125" style="59" bestFit="1" customWidth="1"/>
    <col min="4" max="4" width="52" style="59" customWidth="1"/>
    <col min="5" max="6" width="18.6640625" style="575" customWidth="1"/>
    <col min="7" max="7" width="18.6640625" style="59" customWidth="1"/>
    <col min="8" max="8" width="2.88671875" style="850" customWidth="1"/>
    <col min="10" max="10" width="11" bestFit="1" customWidth="1"/>
  </cols>
  <sheetData>
    <row r="2" spans="2:7" ht="22.8" x14ac:dyDescent="0.4">
      <c r="B2" s="848" t="s">
        <v>477</v>
      </c>
      <c r="C2" s="849"/>
      <c r="D2" s="849"/>
      <c r="F2"/>
      <c r="G2"/>
    </row>
    <row r="3" spans="2:7" ht="14.4" x14ac:dyDescent="0.3">
      <c r="B3" s="828" t="s">
        <v>564</v>
      </c>
      <c r="C3" s="63"/>
      <c r="D3" s="63"/>
      <c r="E3" s="63"/>
      <c r="F3" s="63"/>
      <c r="G3" s="63"/>
    </row>
    <row r="4" spans="2:7" x14ac:dyDescent="0.25">
      <c r="B4" s="63"/>
      <c r="C4" s="63"/>
      <c r="D4" s="63"/>
      <c r="E4" s="63"/>
      <c r="F4" s="63"/>
      <c r="G4" s="63"/>
    </row>
    <row r="5" spans="2:7" x14ac:dyDescent="0.25">
      <c r="C5" s="168"/>
      <c r="D5" s="169"/>
      <c r="E5" s="829"/>
      <c r="F5" s="830"/>
      <c r="G5" s="831"/>
    </row>
    <row r="6" spans="2:7" x14ac:dyDescent="0.25">
      <c r="C6" s="832"/>
      <c r="D6" s="833"/>
      <c r="E6" s="834"/>
      <c r="F6" s="834"/>
      <c r="G6" s="835"/>
    </row>
    <row r="7" spans="2:7" x14ac:dyDescent="0.25">
      <c r="C7" s="172"/>
      <c r="D7" s="130"/>
      <c r="E7" s="836"/>
      <c r="F7" s="836"/>
      <c r="G7" s="162"/>
    </row>
    <row r="8" spans="2:7" ht="26.4" x14ac:dyDescent="0.25">
      <c r="B8" s="935" t="s">
        <v>565</v>
      </c>
      <c r="C8" s="182" t="s">
        <v>414</v>
      </c>
      <c r="D8" s="837" t="s">
        <v>365</v>
      </c>
      <c r="E8" s="838" t="s">
        <v>566</v>
      </c>
      <c r="F8" s="184" t="s">
        <v>567</v>
      </c>
      <c r="G8" s="184" t="s">
        <v>568</v>
      </c>
    </row>
    <row r="9" spans="2:7" x14ac:dyDescent="0.25">
      <c r="B9" s="936"/>
      <c r="C9" s="719" t="s">
        <v>240</v>
      </c>
      <c r="D9" s="514" t="s">
        <v>241</v>
      </c>
      <c r="E9" s="373">
        <v>741045093</v>
      </c>
      <c r="F9" s="373">
        <v>780199287</v>
      </c>
      <c r="G9" s="373">
        <f>+F9-E9</f>
        <v>39154194</v>
      </c>
    </row>
    <row r="10" spans="2:7" x14ac:dyDescent="0.25">
      <c r="B10" s="936"/>
      <c r="C10" s="719" t="s">
        <v>261</v>
      </c>
      <c r="D10" s="514" t="s">
        <v>262</v>
      </c>
      <c r="E10" s="373">
        <v>285167742</v>
      </c>
      <c r="F10" s="373">
        <v>70000000</v>
      </c>
      <c r="G10" s="373">
        <f t="shared" ref="G10:G17" si="0">+F10-E10</f>
        <v>-215167742</v>
      </c>
    </row>
    <row r="11" spans="2:7" x14ac:dyDescent="0.25">
      <c r="B11" s="936"/>
      <c r="C11" s="719" t="s">
        <v>269</v>
      </c>
      <c r="D11" s="514" t="s">
        <v>270</v>
      </c>
      <c r="E11" s="373">
        <v>132000000</v>
      </c>
      <c r="F11" s="373">
        <v>200000000</v>
      </c>
      <c r="G11" s="373">
        <f t="shared" si="0"/>
        <v>68000000</v>
      </c>
    </row>
    <row r="12" spans="2:7" x14ac:dyDescent="0.25">
      <c r="B12" s="936"/>
      <c r="C12" s="719" t="s">
        <v>282</v>
      </c>
      <c r="D12" s="514" t="s">
        <v>283</v>
      </c>
      <c r="E12" s="373">
        <v>88651000</v>
      </c>
      <c r="F12" s="373">
        <v>101501000</v>
      </c>
      <c r="G12" s="373">
        <f t="shared" si="0"/>
        <v>12850000</v>
      </c>
    </row>
    <row r="13" spans="2:7" x14ac:dyDescent="0.25">
      <c r="B13" s="936"/>
      <c r="C13" s="719" t="s">
        <v>308</v>
      </c>
      <c r="D13" s="514" t="s">
        <v>309</v>
      </c>
      <c r="E13" s="373">
        <v>90845000</v>
      </c>
      <c r="F13" s="373">
        <v>61100000</v>
      </c>
      <c r="G13" s="373">
        <f t="shared" si="0"/>
        <v>-29745000</v>
      </c>
    </row>
    <row r="14" spans="2:7" x14ac:dyDescent="0.25">
      <c r="B14" s="936"/>
      <c r="C14" s="719" t="s">
        <v>318</v>
      </c>
      <c r="D14" s="514" t="s">
        <v>319</v>
      </c>
      <c r="E14" s="373">
        <v>4181435</v>
      </c>
      <c r="F14" s="373">
        <v>0</v>
      </c>
      <c r="G14" s="373">
        <f t="shared" si="0"/>
        <v>-4181435</v>
      </c>
    </row>
    <row r="15" spans="2:7" x14ac:dyDescent="0.25">
      <c r="B15" s="936"/>
      <c r="C15" s="719" t="s">
        <v>322</v>
      </c>
      <c r="D15" s="514" t="s">
        <v>323</v>
      </c>
      <c r="E15" s="373">
        <v>5900000</v>
      </c>
      <c r="F15" s="373">
        <v>0</v>
      </c>
      <c r="G15" s="373">
        <f t="shared" si="0"/>
        <v>-5900000</v>
      </c>
    </row>
    <row r="16" spans="2:7" x14ac:dyDescent="0.25">
      <c r="B16" s="936"/>
      <c r="C16" s="719" t="s">
        <v>328</v>
      </c>
      <c r="D16" s="514" t="s">
        <v>329</v>
      </c>
      <c r="E16" s="373">
        <v>805354680</v>
      </c>
      <c r="F16" s="373">
        <v>808470012</v>
      </c>
      <c r="G16" s="373">
        <f t="shared" si="0"/>
        <v>3115332</v>
      </c>
    </row>
    <row r="17" spans="2:7" x14ac:dyDescent="0.25">
      <c r="B17" s="936"/>
      <c r="C17" s="719"/>
      <c r="D17" s="839" t="s">
        <v>436</v>
      </c>
      <c r="E17" s="373">
        <v>-588485599</v>
      </c>
      <c r="F17" s="373">
        <v>-651420680</v>
      </c>
      <c r="G17" s="373">
        <f t="shared" si="0"/>
        <v>-62935081</v>
      </c>
    </row>
    <row r="18" spans="2:7" x14ac:dyDescent="0.25">
      <c r="B18" s="937"/>
      <c r="C18" s="709"/>
      <c r="D18" s="840" t="s">
        <v>371</v>
      </c>
      <c r="E18" s="710">
        <f>SUM(E9:E17)</f>
        <v>1564659351</v>
      </c>
      <c r="F18" s="710">
        <f t="shared" ref="F18:G18" si="1">SUM(F9:F17)</f>
        <v>1369849619</v>
      </c>
      <c r="G18" s="710">
        <f t="shared" si="1"/>
        <v>-194809732</v>
      </c>
    </row>
    <row r="19" spans="2:7" x14ac:dyDescent="0.25">
      <c r="C19" s="181"/>
      <c r="D19" s="181"/>
      <c r="E19" s="829"/>
      <c r="F19" s="841"/>
      <c r="G19" s="831"/>
    </row>
    <row r="20" spans="2:7" x14ac:dyDescent="0.25">
      <c r="C20"/>
      <c r="D20"/>
      <c r="E20" s="842"/>
      <c r="F20" s="843"/>
      <c r="G20" s="844"/>
    </row>
    <row r="21" spans="2:7" ht="26.4" x14ac:dyDescent="0.25">
      <c r="B21" s="935" t="s">
        <v>569</v>
      </c>
      <c r="C21" s="182" t="s">
        <v>414</v>
      </c>
      <c r="D21" s="837" t="s">
        <v>365</v>
      </c>
      <c r="E21" s="838" t="s">
        <v>566</v>
      </c>
      <c r="F21" s="845" t="s">
        <v>567</v>
      </c>
      <c r="G21" s="183" t="str">
        <f t="shared" ref="G21" si="2">+G8</f>
        <v>változás</v>
      </c>
    </row>
    <row r="22" spans="2:7" x14ac:dyDescent="0.25">
      <c r="B22" s="936"/>
      <c r="C22" s="529" t="s">
        <v>0</v>
      </c>
      <c r="D22" s="514" t="s">
        <v>3</v>
      </c>
      <c r="E22" s="371">
        <v>510815245</v>
      </c>
      <c r="F22" s="371">
        <v>590239000</v>
      </c>
      <c r="G22" s="373">
        <f t="shared" ref="G22:G31" si="3">+F22-E22</f>
        <v>79423755</v>
      </c>
    </row>
    <row r="23" spans="2:7" x14ac:dyDescent="0.25">
      <c r="B23" s="936"/>
      <c r="C23" s="529" t="s">
        <v>26</v>
      </c>
      <c r="D23" s="514" t="s">
        <v>27</v>
      </c>
      <c r="E23" s="371">
        <v>78500000</v>
      </c>
      <c r="F23" s="371">
        <v>76600000</v>
      </c>
      <c r="G23" s="373">
        <f t="shared" si="3"/>
        <v>-1900000</v>
      </c>
    </row>
    <row r="24" spans="2:7" x14ac:dyDescent="0.25">
      <c r="B24" s="936"/>
      <c r="C24" s="529" t="s">
        <v>29</v>
      </c>
      <c r="D24" s="514" t="s">
        <v>30</v>
      </c>
      <c r="E24" s="371">
        <v>471954018</v>
      </c>
      <c r="F24" s="371">
        <v>357274000</v>
      </c>
      <c r="G24" s="373">
        <f t="shared" si="3"/>
        <v>-114680018</v>
      </c>
    </row>
    <row r="25" spans="2:7" x14ac:dyDescent="0.25">
      <c r="B25" s="936"/>
      <c r="C25" s="529" t="s">
        <v>111</v>
      </c>
      <c r="D25" s="514" t="s">
        <v>476</v>
      </c>
      <c r="E25" s="371">
        <v>15012540</v>
      </c>
      <c r="F25" s="371">
        <v>16000000</v>
      </c>
      <c r="G25" s="373">
        <f t="shared" si="3"/>
        <v>987460</v>
      </c>
    </row>
    <row r="26" spans="2:7" x14ac:dyDescent="0.25">
      <c r="B26" s="936"/>
      <c r="C26" s="529" t="s">
        <v>370</v>
      </c>
      <c r="D26" s="514" t="s">
        <v>141</v>
      </c>
      <c r="E26" s="371">
        <v>167046133</v>
      </c>
      <c r="F26" s="371">
        <v>151426315</v>
      </c>
      <c r="G26" s="373">
        <f t="shared" si="3"/>
        <v>-15619818</v>
      </c>
    </row>
    <row r="27" spans="2:7" x14ac:dyDescent="0.25">
      <c r="B27" s="936"/>
      <c r="C27" s="529" t="s">
        <v>158</v>
      </c>
      <c r="D27" s="514" t="s">
        <v>159</v>
      </c>
      <c r="E27" s="371">
        <v>182921240</v>
      </c>
      <c r="F27" s="371">
        <v>70280500</v>
      </c>
      <c r="G27" s="373">
        <f t="shared" si="3"/>
        <v>-112640740</v>
      </c>
    </row>
    <row r="28" spans="2:7" x14ac:dyDescent="0.25">
      <c r="B28" s="936"/>
      <c r="C28" s="529" t="s">
        <v>173</v>
      </c>
      <c r="D28" s="514" t="s">
        <v>174</v>
      </c>
      <c r="E28" s="371">
        <v>113343475</v>
      </c>
      <c r="F28" s="371">
        <v>83452445.49000001</v>
      </c>
      <c r="G28" s="373">
        <f t="shared" si="3"/>
        <v>-29891029.50999999</v>
      </c>
    </row>
    <row r="29" spans="2:7" x14ac:dyDescent="0.25">
      <c r="B29" s="936"/>
      <c r="C29" s="529" t="s">
        <v>183</v>
      </c>
      <c r="D29" s="514" t="s">
        <v>184</v>
      </c>
      <c r="E29" s="371">
        <v>0</v>
      </c>
      <c r="F29" s="371">
        <v>0</v>
      </c>
      <c r="G29" s="373">
        <f t="shared" si="3"/>
        <v>0</v>
      </c>
    </row>
    <row r="30" spans="2:7" x14ac:dyDescent="0.25">
      <c r="B30" s="936"/>
      <c r="C30" s="529" t="s">
        <v>200</v>
      </c>
      <c r="D30" s="514" t="s">
        <v>201</v>
      </c>
      <c r="E30" s="371">
        <v>613552299</v>
      </c>
      <c r="F30" s="371">
        <v>675998039</v>
      </c>
      <c r="G30" s="373">
        <f t="shared" si="3"/>
        <v>62445740</v>
      </c>
    </row>
    <row r="31" spans="2:7" x14ac:dyDescent="0.25">
      <c r="B31" s="936"/>
      <c r="C31" s="529"/>
      <c r="D31" s="839" t="s">
        <v>436</v>
      </c>
      <c r="E31" s="373">
        <v>-588485599</v>
      </c>
      <c r="F31" s="371">
        <v>-651420680</v>
      </c>
      <c r="G31" s="373">
        <f t="shared" si="3"/>
        <v>-62935081</v>
      </c>
    </row>
    <row r="32" spans="2:7" x14ac:dyDescent="0.25">
      <c r="B32" s="938"/>
      <c r="C32" s="7"/>
      <c r="D32" s="846" t="s">
        <v>372</v>
      </c>
      <c r="E32" s="80">
        <f>SUM(E22:E31)</f>
        <v>1564659351</v>
      </c>
      <c r="F32" s="80">
        <f t="shared" ref="F32:G32" si="4">SUM(F22:F31)</f>
        <v>1369849619.49</v>
      </c>
      <c r="G32" s="80">
        <f t="shared" si="4"/>
        <v>-194809731.50999999</v>
      </c>
    </row>
    <row r="33" spans="3:7" x14ac:dyDescent="0.25">
      <c r="C33"/>
      <c r="D33"/>
      <c r="E33" s="842"/>
      <c r="F33" s="843"/>
      <c r="G33" s="844"/>
    </row>
    <row r="34" spans="3:7" hidden="1" x14ac:dyDescent="0.25">
      <c r="C34"/>
      <c r="D34"/>
      <c r="E34" s="842"/>
      <c r="F34" s="843"/>
      <c r="G34" s="844"/>
    </row>
    <row r="35" spans="3:7" x14ac:dyDescent="0.25">
      <c r="C35" s="719"/>
      <c r="D35" s="516" t="s">
        <v>406</v>
      </c>
      <c r="E35" s="155">
        <f>+E18-E32</f>
        <v>0</v>
      </c>
      <c r="F35" s="155">
        <f>+F18-F32</f>
        <v>-0.49000000953674316</v>
      </c>
      <c r="G35" s="155">
        <f>+G18-G32</f>
        <v>-0.49000000953674316</v>
      </c>
    </row>
    <row r="39" spans="3:7" x14ac:dyDescent="0.25">
      <c r="G39" s="847"/>
    </row>
    <row r="40" spans="3:7" x14ac:dyDescent="0.25">
      <c r="G40" s="847"/>
    </row>
    <row r="47" spans="3:7" x14ac:dyDescent="0.25">
      <c r="G47" s="847"/>
    </row>
    <row r="48" spans="3:7" x14ac:dyDescent="0.25">
      <c r="D48" s="847"/>
      <c r="G48" s="847"/>
    </row>
    <row r="49" spans="4:4" x14ac:dyDescent="0.25">
      <c r="D49" s="847"/>
    </row>
  </sheetData>
  <mergeCells count="2">
    <mergeCell ref="B8:B18"/>
    <mergeCell ref="B21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15</vt:i4>
      </vt:variant>
    </vt:vector>
  </HeadingPairs>
  <TitlesOfParts>
    <vt:vector size="32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Polg.Hiv.</vt:lpstr>
      <vt:lpstr>5. Gólyahír</vt:lpstr>
      <vt:lpstr>6. Csicsergő</vt:lpstr>
      <vt:lpstr>7. WAMKK</vt:lpstr>
      <vt:lpstr>8. Dr Gáspár HSZK</vt:lpstr>
      <vt:lpstr>9. Közp. Konyha</vt:lpstr>
      <vt:lpstr>10_Egyéb műk. tám.</vt:lpstr>
      <vt:lpstr>11_Önk Bev részletező</vt:lpstr>
      <vt:lpstr>12_B11</vt:lpstr>
      <vt:lpstr>13_2021-2022.</vt:lpstr>
      <vt:lpstr>15_2021_09-2022</vt:lpstr>
      <vt:lpstr>'egységenkénti segédtábla'!Nyomtatási_cím</vt:lpstr>
      <vt:lpstr>' 2. Önk. Bevételek'!Nyomtatási_terület</vt:lpstr>
      <vt:lpstr>'1. Sülysáp összesen'!Nyomtatási_terület</vt:lpstr>
      <vt:lpstr>'10_Egyéb műk. tám.'!Nyomtatási_terület</vt:lpstr>
      <vt:lpstr>'11_Önk Bev részletező'!Nyomtatási_terület</vt:lpstr>
      <vt:lpstr>'3. Önk. Kiadások'!Nyomtatási_terület</vt:lpstr>
      <vt:lpstr>'4. Polg.Hiv.'!Nyomtatási_terület</vt:lpstr>
      <vt:lpstr>'5. Gólyahír'!Nyomtatási_terület</vt:lpstr>
      <vt:lpstr>'6. Csicsergő'!Nyomtatási_terület</vt:lpstr>
      <vt:lpstr>'7. WAMKK'!Nyomtatási_terület</vt:lpstr>
      <vt:lpstr>'8. Dr Gáspár HSZK'!Nyomtatási_terület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Smidtné Nagy Terézia</cp:lastModifiedBy>
  <cp:lastPrinted>2022-11-16T11:24:40Z</cp:lastPrinted>
  <dcterms:created xsi:type="dcterms:W3CDTF">2014-01-15T07:36:54Z</dcterms:created>
  <dcterms:modified xsi:type="dcterms:W3CDTF">2022-11-18T02:54:28Z</dcterms:modified>
</cp:coreProperties>
</file>