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ocuments\HIVATAL-TK\TESTÜLETI ANYAGOK\Testületi 2022-05-26\"/>
    </mc:Choice>
  </mc:AlternateContent>
  <bookViews>
    <workbookView xWindow="0" yWindow="0" windowWidth="23040" windowHeight="8808" tabRatio="865"/>
  </bookViews>
  <sheets>
    <sheet name="kiadási segédtábla" sheetId="15" r:id="rId1"/>
    <sheet name="bevételi segédtábla" sheetId="16" r:id="rId2"/>
    <sheet name="egységenkénti segédtábla" sheetId="17" r:id="rId3"/>
    <sheet name="1. Sülysáp összesen" sheetId="11" r:id="rId4"/>
    <sheet name=" 2. Önk. Bevételek" sheetId="10" r:id="rId5"/>
    <sheet name="3. Önk. Kiadások" sheetId="9" r:id="rId6"/>
    <sheet name="4. Dr Gáspár HSZK" sheetId="2" r:id="rId7"/>
    <sheet name="5. Csicsergő" sheetId="3" r:id="rId8"/>
    <sheet name="6. Gólyahír" sheetId="4" r:id="rId9"/>
    <sheet name="7. Polg.Hiv." sheetId="5" r:id="rId10"/>
    <sheet name="8. WAMKK" sheetId="6" r:id="rId11"/>
    <sheet name="9. Közp. Konyha" sheetId="7" r:id="rId12"/>
  </sheets>
  <definedNames>
    <definedName name="_xlnm.Print_Titles" localSheetId="2">'egységenkénti segédtábla'!$7:$10</definedName>
    <definedName name="_xlnm.Print_Area" localSheetId="4">' 2. Önk. Bevételek'!$A$1:$V$97</definedName>
    <definedName name="_xlnm.Print_Area" localSheetId="3">'1. Sülysáp összesen'!$A$1:$V$41</definedName>
    <definedName name="_xlnm.Print_Area" localSheetId="5">'3. Önk. Kiadások'!$A$1:$V$168</definedName>
    <definedName name="_xlnm.Print_Area" localSheetId="6">'4. Dr Gáspár HSZK'!$A$1:$V$102</definedName>
    <definedName name="_xlnm.Print_Area" localSheetId="7">'5. Csicsergő'!$A$1:$V$102</definedName>
    <definedName name="_xlnm.Print_Area" localSheetId="8">'6. Gólyahír'!$A$1:$V$102</definedName>
    <definedName name="_xlnm.Print_Area" localSheetId="9">'7. Polg.Hiv.'!$A$1:$V$104</definedName>
    <definedName name="_xlnm.Print_Area" localSheetId="10">'8. WAMKK'!$A$1:$V$106</definedName>
    <definedName name="_xlnm.Print_Area" localSheetId="11">'9. Közp. Konyha'!$A$1:$V$102</definedName>
    <definedName name="_xlnm.Print_Area" localSheetId="1">'bevételi segédtábla'!$A$1:$V$145</definedName>
    <definedName name="_xlnm.Print_Area" localSheetId="2">'egységenkénti segédtábla'!$A$1:$T$197</definedName>
    <definedName name="_xlnm.Print_Area" localSheetId="0">'kiadási segédtábla'!$A$1:$V$146</definedName>
  </definedNames>
  <calcPr calcId="152511"/>
</workbook>
</file>

<file path=xl/calcChain.xml><?xml version="1.0" encoding="utf-8"?>
<calcChain xmlns="http://schemas.openxmlformats.org/spreadsheetml/2006/main">
  <c r="F98" i="10" l="1"/>
  <c r="E99" i="10"/>
  <c r="F99" i="10"/>
  <c r="J118" i="16" l="1"/>
  <c r="J117" i="16"/>
  <c r="J116" i="16"/>
  <c r="J115" i="16"/>
  <c r="J114" i="16"/>
  <c r="J113" i="16"/>
  <c r="J112" i="16"/>
  <c r="C17" i="10"/>
  <c r="F81" i="16" l="1"/>
  <c r="J81" i="16"/>
  <c r="J110" i="6"/>
  <c r="J101" i="6"/>
  <c r="I101" i="6"/>
  <c r="H101" i="6"/>
  <c r="D101" i="6"/>
  <c r="E101" i="6"/>
  <c r="F101" i="6"/>
  <c r="C101" i="6"/>
  <c r="F45" i="16"/>
  <c r="J45" i="16"/>
  <c r="J95" i="6"/>
  <c r="J106" i="6" s="1"/>
  <c r="I95" i="6"/>
  <c r="H95" i="6"/>
  <c r="D95" i="6"/>
  <c r="E95" i="6"/>
  <c r="F95" i="6"/>
  <c r="C95" i="6"/>
  <c r="J104" i="5"/>
  <c r="I104" i="5"/>
  <c r="H104" i="5"/>
  <c r="E104" i="5"/>
  <c r="D104" i="5"/>
  <c r="J92" i="16"/>
  <c r="J99" i="5"/>
  <c r="I99" i="5"/>
  <c r="H99" i="5"/>
  <c r="F99" i="5"/>
  <c r="F104" i="5" s="1"/>
  <c r="E99" i="5"/>
  <c r="D99" i="5"/>
  <c r="C99" i="5"/>
  <c r="F92" i="16" l="1"/>
  <c r="F118" i="16"/>
  <c r="F116" i="16"/>
  <c r="F115" i="16"/>
  <c r="F114" i="16"/>
  <c r="F113" i="16"/>
  <c r="F112" i="16"/>
  <c r="J98" i="4"/>
  <c r="J96" i="4"/>
  <c r="J16" i="4"/>
  <c r="F16" i="4"/>
  <c r="J100" i="6"/>
  <c r="J98" i="6"/>
  <c r="F103" i="6"/>
  <c r="F117" i="16" s="1"/>
  <c r="J32" i="6"/>
  <c r="J36" i="6"/>
  <c r="F36" i="6"/>
  <c r="E36" i="6"/>
  <c r="J98" i="7" l="1"/>
  <c r="J32" i="7"/>
  <c r="J71" i="7"/>
  <c r="J66" i="7"/>
  <c r="J33" i="7"/>
  <c r="J48" i="7"/>
  <c r="J41" i="7"/>
  <c r="F16" i="7"/>
  <c r="F95" i="3" l="1"/>
  <c r="J95" i="3"/>
  <c r="J85" i="3"/>
  <c r="J67" i="3"/>
  <c r="F85" i="3"/>
  <c r="J98" i="2"/>
  <c r="F84" i="2"/>
  <c r="J99" i="10" l="1"/>
  <c r="N80" i="10"/>
  <c r="F87" i="10"/>
  <c r="F81" i="10" s="1"/>
  <c r="F80" i="10" s="1"/>
  <c r="J27" i="10"/>
  <c r="F79" i="10"/>
  <c r="F65" i="10"/>
  <c r="J65" i="10"/>
  <c r="J43" i="10"/>
  <c r="J41" i="10"/>
  <c r="F17" i="10" l="1"/>
  <c r="J17" i="10"/>
  <c r="J16" i="9"/>
  <c r="F16" i="9"/>
  <c r="I118" i="16" l="1"/>
  <c r="I117" i="16"/>
  <c r="I116" i="16"/>
  <c r="I115" i="16"/>
  <c r="I114" i="16"/>
  <c r="I113" i="16"/>
  <c r="I112" i="16"/>
  <c r="I98" i="6"/>
  <c r="I100" i="6"/>
  <c r="I36" i="6"/>
  <c r="I98" i="7"/>
  <c r="I98" i="2"/>
  <c r="I98" i="4"/>
  <c r="I96" i="4"/>
  <c r="I16" i="4"/>
  <c r="E16" i="4"/>
  <c r="I98" i="5"/>
  <c r="I87" i="10"/>
  <c r="E87" i="10"/>
  <c r="I79" i="10"/>
  <c r="I65" i="10"/>
  <c r="I41" i="10"/>
  <c r="E43" i="10"/>
  <c r="I25" i="10"/>
  <c r="E25" i="10"/>
  <c r="E17" i="10"/>
  <c r="E146" i="9"/>
  <c r="I16" i="9"/>
  <c r="E16" i="9"/>
  <c r="H118" i="16" l="1"/>
  <c r="H117" i="16"/>
  <c r="H116" i="16"/>
  <c r="H115" i="16"/>
  <c r="H114" i="16"/>
  <c r="H113" i="16"/>
  <c r="H112" i="16"/>
  <c r="H98" i="7"/>
  <c r="H16" i="7"/>
  <c r="H100" i="6"/>
  <c r="D16" i="6"/>
  <c r="H98" i="5"/>
  <c r="H98" i="4"/>
  <c r="H96" i="4"/>
  <c r="D98" i="4"/>
  <c r="H16" i="4"/>
  <c r="D16" i="4"/>
  <c r="H87" i="10" l="1"/>
  <c r="H98" i="3" l="1"/>
  <c r="H98" i="2"/>
  <c r="D84" i="2"/>
  <c r="D146" i="9" l="1"/>
  <c r="D87" i="10"/>
  <c r="D25" i="10"/>
  <c r="D27" i="10"/>
  <c r="H79" i="10"/>
  <c r="H41" i="10" l="1"/>
  <c r="H25" i="10"/>
  <c r="H17" i="10"/>
  <c r="H16" i="9"/>
  <c r="D16" i="9"/>
  <c r="C76" i="10" l="1"/>
  <c r="C36" i="4" l="1"/>
  <c r="C41" i="10" l="1"/>
  <c r="C30" i="6" l="1"/>
  <c r="C71" i="6"/>
  <c r="C66" i="6"/>
  <c r="C48" i="6"/>
  <c r="C41" i="6"/>
  <c r="C33" i="6"/>
  <c r="C71" i="4" l="1"/>
  <c r="C66" i="4"/>
  <c r="C49" i="4"/>
  <c r="C48" i="4"/>
  <c r="C41" i="4"/>
  <c r="C33" i="4"/>
  <c r="C71" i="5"/>
  <c r="C66" i="5"/>
  <c r="C23" i="6"/>
  <c r="C32" i="4" l="1"/>
  <c r="C23" i="7"/>
  <c r="C23" i="2" l="1"/>
  <c r="C24" i="3"/>
  <c r="C36" i="9" l="1"/>
  <c r="C47" i="9"/>
  <c r="C27" i="10"/>
  <c r="C84" i="2" l="1"/>
  <c r="J1" i="9" l="1"/>
  <c r="C109" i="5" l="1"/>
  <c r="C107" i="7" l="1"/>
  <c r="C97" i="7"/>
  <c r="C72" i="7"/>
  <c r="C111" i="6" l="1"/>
  <c r="C107" i="4"/>
  <c r="C96" i="4"/>
  <c r="C107" i="3"/>
  <c r="E95" i="3" l="1"/>
  <c r="D95" i="3"/>
  <c r="C95" i="3"/>
  <c r="C59" i="10" l="1"/>
  <c r="C26" i="4" l="1"/>
  <c r="C107" i="2" l="1"/>
  <c r="D43" i="10" l="1"/>
  <c r="D81" i="10" l="1"/>
  <c r="D80" i="10" s="1"/>
  <c r="E81" i="10"/>
  <c r="E80" i="10" s="1"/>
  <c r="J81" i="10"/>
  <c r="J80" i="10" s="1"/>
  <c r="J87" i="10"/>
  <c r="I81" i="10"/>
  <c r="I80" i="10" s="1"/>
  <c r="H81" i="10"/>
  <c r="H80" i="10" s="1"/>
  <c r="J146" i="9"/>
  <c r="J145" i="9" s="1"/>
  <c r="I146" i="9"/>
  <c r="I145" i="9" s="1"/>
  <c r="H146" i="9"/>
  <c r="H145" i="9" s="1"/>
  <c r="D145" i="9"/>
  <c r="E145" i="9"/>
  <c r="J147" i="9"/>
  <c r="I147" i="9"/>
  <c r="H147" i="9"/>
  <c r="J153" i="9"/>
  <c r="I153" i="9"/>
  <c r="H153" i="9"/>
  <c r="D153" i="9"/>
  <c r="C153" i="9"/>
  <c r="D147" i="9"/>
  <c r="C147" i="9"/>
  <c r="S106" i="16"/>
  <c r="S105" i="16"/>
  <c r="S104" i="16"/>
  <c r="S103" i="16"/>
  <c r="S102" i="16"/>
  <c r="S101" i="16"/>
  <c r="S94" i="16"/>
  <c r="S93" i="16"/>
  <c r="S92" i="16"/>
  <c r="S91" i="16"/>
  <c r="S90" i="16"/>
  <c r="S89" i="16"/>
  <c r="S82" i="16"/>
  <c r="S81" i="16"/>
  <c r="S80" i="16"/>
  <c r="S79" i="16"/>
  <c r="S78" i="16"/>
  <c r="S77" i="16"/>
  <c r="S58" i="16"/>
  <c r="S57" i="16"/>
  <c r="S56" i="16"/>
  <c r="S55" i="16"/>
  <c r="S54" i="16"/>
  <c r="S53" i="16"/>
  <c r="S46" i="16"/>
  <c r="S45" i="16"/>
  <c r="S44" i="16"/>
  <c r="S43" i="16"/>
  <c r="S42" i="16"/>
  <c r="S41" i="16"/>
  <c r="S39" i="16"/>
  <c r="N106" i="16"/>
  <c r="M106" i="16"/>
  <c r="L106" i="16"/>
  <c r="N105" i="16"/>
  <c r="M105" i="16"/>
  <c r="L105" i="16"/>
  <c r="N104" i="16"/>
  <c r="M104" i="16"/>
  <c r="L104" i="16"/>
  <c r="N103" i="16"/>
  <c r="M103" i="16"/>
  <c r="L103" i="16"/>
  <c r="N102" i="16"/>
  <c r="M102" i="16"/>
  <c r="L102" i="16"/>
  <c r="N101" i="16"/>
  <c r="M101" i="16"/>
  <c r="L101" i="16"/>
  <c r="N94" i="16"/>
  <c r="M94" i="16"/>
  <c r="L94" i="16"/>
  <c r="N93" i="16"/>
  <c r="M93" i="16"/>
  <c r="L93" i="16"/>
  <c r="N92" i="16"/>
  <c r="M92" i="16"/>
  <c r="L92" i="16"/>
  <c r="N91" i="16"/>
  <c r="M91" i="16"/>
  <c r="L91" i="16"/>
  <c r="N90" i="16"/>
  <c r="M90" i="16"/>
  <c r="L90" i="16"/>
  <c r="N89" i="16"/>
  <c r="M89" i="16"/>
  <c r="L89" i="16"/>
  <c r="N82" i="16"/>
  <c r="M82" i="16"/>
  <c r="L82" i="16"/>
  <c r="N81" i="16"/>
  <c r="M81" i="16"/>
  <c r="L81" i="16"/>
  <c r="N80" i="16"/>
  <c r="M80" i="16"/>
  <c r="L80" i="16"/>
  <c r="N79" i="16"/>
  <c r="M79" i="16"/>
  <c r="L79" i="16"/>
  <c r="N78" i="16"/>
  <c r="M78" i="16"/>
  <c r="L78" i="16"/>
  <c r="N77" i="16"/>
  <c r="M77" i="16"/>
  <c r="L77" i="16"/>
  <c r="N58" i="16"/>
  <c r="M58" i="16"/>
  <c r="L58" i="16"/>
  <c r="N57" i="16"/>
  <c r="M57" i="16"/>
  <c r="L57" i="16"/>
  <c r="N56" i="16"/>
  <c r="M56" i="16"/>
  <c r="L56" i="16"/>
  <c r="N55" i="16"/>
  <c r="M55" i="16"/>
  <c r="L55" i="16"/>
  <c r="N54" i="16"/>
  <c r="M54" i="16"/>
  <c r="L54" i="16"/>
  <c r="N53" i="16"/>
  <c r="M53" i="16"/>
  <c r="L53" i="16"/>
  <c r="N46" i="16"/>
  <c r="M46" i="16"/>
  <c r="L46" i="16"/>
  <c r="N45" i="16"/>
  <c r="M45" i="16"/>
  <c r="L45" i="16"/>
  <c r="N44" i="16"/>
  <c r="M44" i="16"/>
  <c r="L44" i="16"/>
  <c r="N43" i="16"/>
  <c r="M43" i="16"/>
  <c r="L43" i="16"/>
  <c r="N42" i="16"/>
  <c r="M42" i="16"/>
  <c r="L42" i="16"/>
  <c r="N41" i="16"/>
  <c r="M41" i="16"/>
  <c r="L41" i="16"/>
  <c r="S95" i="10"/>
  <c r="S94" i="10"/>
  <c r="S93" i="10"/>
  <c r="S92" i="10"/>
  <c r="S91" i="10"/>
  <c r="S86" i="10"/>
  <c r="S85" i="10"/>
  <c r="S84" i="10"/>
  <c r="S83" i="10"/>
  <c r="S82" i="10"/>
  <c r="S78" i="10"/>
  <c r="S74" i="10"/>
  <c r="S73" i="10"/>
  <c r="S71" i="10"/>
  <c r="S68" i="10"/>
  <c r="S66" i="10"/>
  <c r="S64" i="10"/>
  <c r="S61" i="10"/>
  <c r="S60" i="10"/>
  <c r="S58" i="10"/>
  <c r="S57" i="10"/>
  <c r="S56" i="10"/>
  <c r="S55" i="10"/>
  <c r="S54" i="10"/>
  <c r="S49" i="10"/>
  <c r="S34" i="10"/>
  <c r="S32" i="10"/>
  <c r="S24" i="10"/>
  <c r="S23" i="10"/>
  <c r="S22" i="10"/>
  <c r="N95" i="10"/>
  <c r="M95" i="10"/>
  <c r="L95" i="10"/>
  <c r="N94" i="10"/>
  <c r="M94" i="10"/>
  <c r="L94" i="10"/>
  <c r="N93" i="10"/>
  <c r="M93" i="10"/>
  <c r="L93" i="10"/>
  <c r="N92" i="10"/>
  <c r="M92" i="10"/>
  <c r="L92" i="10"/>
  <c r="N91" i="10"/>
  <c r="M91" i="10"/>
  <c r="L91" i="10"/>
  <c r="N90" i="10"/>
  <c r="M90" i="10"/>
  <c r="L90" i="10"/>
  <c r="N89" i="10"/>
  <c r="M89" i="10"/>
  <c r="L89" i="10"/>
  <c r="N88" i="10"/>
  <c r="M88" i="10"/>
  <c r="N87" i="10"/>
  <c r="M87" i="10"/>
  <c r="N86" i="10"/>
  <c r="M86" i="10"/>
  <c r="L86" i="10"/>
  <c r="N85" i="10"/>
  <c r="M85" i="10"/>
  <c r="L85" i="10"/>
  <c r="N84" i="10"/>
  <c r="M84" i="10"/>
  <c r="L84" i="10"/>
  <c r="N83" i="10"/>
  <c r="M83" i="10"/>
  <c r="L83" i="10"/>
  <c r="N82" i="10"/>
  <c r="M82" i="10"/>
  <c r="L82" i="10"/>
  <c r="N79" i="10"/>
  <c r="M79" i="10"/>
  <c r="L79" i="10"/>
  <c r="N78" i="10"/>
  <c r="M78" i="10"/>
  <c r="L78" i="10"/>
  <c r="N77" i="10"/>
  <c r="M77" i="10"/>
  <c r="L77" i="10"/>
  <c r="N75" i="10"/>
  <c r="M75" i="10"/>
  <c r="L75" i="10"/>
  <c r="N74" i="10"/>
  <c r="M74" i="10"/>
  <c r="L74" i="10"/>
  <c r="N73" i="10"/>
  <c r="M73" i="10"/>
  <c r="L73" i="10"/>
  <c r="N71" i="10"/>
  <c r="M71" i="10"/>
  <c r="L71" i="10"/>
  <c r="N70" i="10"/>
  <c r="M70" i="10"/>
  <c r="L70" i="10"/>
  <c r="N69" i="10"/>
  <c r="M69" i="10"/>
  <c r="L69" i="10"/>
  <c r="N68" i="10"/>
  <c r="M68" i="10"/>
  <c r="L68" i="10"/>
  <c r="N66" i="10"/>
  <c r="M66" i="10"/>
  <c r="L66" i="10"/>
  <c r="N65" i="10"/>
  <c r="M65" i="10"/>
  <c r="L65" i="10"/>
  <c r="N64" i="10"/>
  <c r="M64" i="10"/>
  <c r="L64" i="10"/>
  <c r="N63" i="10"/>
  <c r="M63" i="10"/>
  <c r="L63" i="10"/>
  <c r="N62" i="10"/>
  <c r="M62" i="10"/>
  <c r="L62" i="10"/>
  <c r="N61" i="10"/>
  <c r="M61" i="10"/>
  <c r="L61" i="10"/>
  <c r="N60" i="10"/>
  <c r="M60" i="10"/>
  <c r="L60" i="10"/>
  <c r="N59" i="10"/>
  <c r="M59" i="10"/>
  <c r="L59" i="10"/>
  <c r="N58" i="10"/>
  <c r="M58" i="10"/>
  <c r="L58" i="10"/>
  <c r="N57" i="10"/>
  <c r="M57" i="10"/>
  <c r="L57" i="10"/>
  <c r="N56" i="10"/>
  <c r="M56" i="10"/>
  <c r="L56" i="10"/>
  <c r="N55" i="10"/>
  <c r="M55" i="10"/>
  <c r="L55" i="10"/>
  <c r="N54" i="10"/>
  <c r="M54" i="10"/>
  <c r="L54" i="10"/>
  <c r="N53" i="10"/>
  <c r="M53" i="10"/>
  <c r="L53" i="10"/>
  <c r="N52" i="10"/>
  <c r="M52" i="10"/>
  <c r="L52" i="10"/>
  <c r="N51" i="10"/>
  <c r="M51" i="10"/>
  <c r="L51" i="10"/>
  <c r="N49" i="10"/>
  <c r="M49" i="10"/>
  <c r="L49" i="10"/>
  <c r="N48" i="10"/>
  <c r="M48" i="10"/>
  <c r="L48" i="10"/>
  <c r="N46" i="10"/>
  <c r="M46" i="10"/>
  <c r="L46" i="10"/>
  <c r="N45" i="10"/>
  <c r="M45" i="10"/>
  <c r="L45" i="10"/>
  <c r="N44" i="10"/>
  <c r="M44" i="10"/>
  <c r="L44" i="10"/>
  <c r="N43" i="10"/>
  <c r="N41" i="10"/>
  <c r="M41" i="10"/>
  <c r="L41" i="10"/>
  <c r="N35" i="10"/>
  <c r="M35" i="10"/>
  <c r="L35" i="10"/>
  <c r="N34" i="10"/>
  <c r="M34" i="10"/>
  <c r="L34" i="10"/>
  <c r="N33" i="10"/>
  <c r="M33" i="10"/>
  <c r="L33" i="10"/>
  <c r="N32" i="10"/>
  <c r="M32" i="10"/>
  <c r="L32" i="10"/>
  <c r="N31" i="10"/>
  <c r="M31" i="10"/>
  <c r="L31" i="10"/>
  <c r="N29" i="10"/>
  <c r="M29" i="10"/>
  <c r="L29" i="10"/>
  <c r="N28" i="10"/>
  <c r="M28" i="10"/>
  <c r="L28" i="10"/>
  <c r="N27" i="10"/>
  <c r="M27" i="10"/>
  <c r="L27" i="10"/>
  <c r="N26" i="10"/>
  <c r="M26" i="10"/>
  <c r="L26" i="10"/>
  <c r="M25" i="10"/>
  <c r="N24" i="10"/>
  <c r="M24" i="10"/>
  <c r="L24" i="10"/>
  <c r="N23" i="10"/>
  <c r="M23" i="10"/>
  <c r="L23" i="10"/>
  <c r="N22" i="10"/>
  <c r="M22" i="10"/>
  <c r="L22" i="10"/>
  <c r="N21" i="10"/>
  <c r="M21" i="10"/>
  <c r="L21" i="10"/>
  <c r="N20" i="10"/>
  <c r="M20" i="10"/>
  <c r="L20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P160" i="9"/>
  <c r="Q160" i="9"/>
  <c r="S160" i="9" s="1"/>
  <c r="R160" i="9"/>
  <c r="T160" i="9"/>
  <c r="Q161" i="9"/>
  <c r="R161" i="9"/>
  <c r="P162" i="9"/>
  <c r="Q162" i="9"/>
  <c r="S162" i="9" s="1"/>
  <c r="R162" i="9"/>
  <c r="T162" i="9"/>
  <c r="P163" i="9"/>
  <c r="Q163" i="9"/>
  <c r="R163" i="9"/>
  <c r="T163" i="9"/>
  <c r="P164" i="9"/>
  <c r="Q164" i="9"/>
  <c r="R164" i="9"/>
  <c r="S164" i="9"/>
  <c r="T164" i="9"/>
  <c r="P165" i="9"/>
  <c r="S165" i="9" s="1"/>
  <c r="Q165" i="9"/>
  <c r="R165" i="9"/>
  <c r="T165" i="9"/>
  <c r="P166" i="9"/>
  <c r="Q166" i="9"/>
  <c r="S166" i="9" s="1"/>
  <c r="R166" i="9"/>
  <c r="T166" i="9"/>
  <c r="L162" i="9"/>
  <c r="M162" i="9"/>
  <c r="L163" i="9"/>
  <c r="M163" i="9"/>
  <c r="L164" i="9"/>
  <c r="M164" i="9"/>
  <c r="L165" i="9"/>
  <c r="M165" i="9"/>
  <c r="L166" i="9"/>
  <c r="M166" i="9"/>
  <c r="N161" i="9"/>
  <c r="M161" i="9"/>
  <c r="N160" i="9"/>
  <c r="M160" i="9"/>
  <c r="L160" i="9"/>
  <c r="N159" i="9"/>
  <c r="M159" i="9"/>
  <c r="L159" i="9"/>
  <c r="N158" i="9"/>
  <c r="M158" i="9"/>
  <c r="L158" i="9"/>
  <c r="N157" i="9"/>
  <c r="M157" i="9"/>
  <c r="L157" i="9"/>
  <c r="N156" i="9"/>
  <c r="M156" i="9"/>
  <c r="L156" i="9"/>
  <c r="N155" i="9"/>
  <c r="M155" i="9"/>
  <c r="L155" i="9"/>
  <c r="N154" i="9"/>
  <c r="M154" i="9"/>
  <c r="L154" i="9"/>
  <c r="N153" i="9"/>
  <c r="M153" i="9"/>
  <c r="L153" i="9"/>
  <c r="N152" i="9"/>
  <c r="M152" i="9"/>
  <c r="L152" i="9"/>
  <c r="N151" i="9"/>
  <c r="M151" i="9"/>
  <c r="L151" i="9"/>
  <c r="N150" i="9"/>
  <c r="M150" i="9"/>
  <c r="L150" i="9"/>
  <c r="N149" i="9"/>
  <c r="M149" i="9"/>
  <c r="L149" i="9"/>
  <c r="N148" i="9"/>
  <c r="M148" i="9"/>
  <c r="L148" i="9"/>
  <c r="N147" i="9"/>
  <c r="M147" i="9"/>
  <c r="L147" i="9"/>
  <c r="M146" i="9"/>
  <c r="N141" i="9"/>
  <c r="M141" i="9"/>
  <c r="L141" i="9"/>
  <c r="N140" i="9"/>
  <c r="M140" i="9"/>
  <c r="L140" i="9"/>
  <c r="N139" i="9"/>
  <c r="M139" i="9"/>
  <c r="L139" i="9"/>
  <c r="N138" i="9"/>
  <c r="M138" i="9"/>
  <c r="L138" i="9"/>
  <c r="N137" i="9"/>
  <c r="M137" i="9"/>
  <c r="L137" i="9"/>
  <c r="N136" i="9"/>
  <c r="M136" i="9"/>
  <c r="L136" i="9"/>
  <c r="N135" i="9"/>
  <c r="N133" i="9"/>
  <c r="M133" i="9"/>
  <c r="N132" i="9"/>
  <c r="M132" i="9"/>
  <c r="L132" i="9"/>
  <c r="N131" i="9"/>
  <c r="M131" i="9"/>
  <c r="L131" i="9"/>
  <c r="N130" i="9"/>
  <c r="M130" i="9"/>
  <c r="N127" i="9"/>
  <c r="M127" i="9"/>
  <c r="L127" i="9"/>
  <c r="N126" i="9"/>
  <c r="M126" i="9"/>
  <c r="L126" i="9"/>
  <c r="N125" i="9"/>
  <c r="M125" i="9"/>
  <c r="L125" i="9"/>
  <c r="N124" i="9"/>
  <c r="M124" i="9"/>
  <c r="L124" i="9"/>
  <c r="N123" i="9"/>
  <c r="M123" i="9"/>
  <c r="L123" i="9"/>
  <c r="N122" i="9"/>
  <c r="M122" i="9"/>
  <c r="N121" i="9"/>
  <c r="M121" i="9"/>
  <c r="L121" i="9"/>
  <c r="N118" i="9"/>
  <c r="M118" i="9"/>
  <c r="L118" i="9"/>
  <c r="N117" i="9"/>
  <c r="M117" i="9"/>
  <c r="L117" i="9"/>
  <c r="N116" i="9"/>
  <c r="M116" i="9"/>
  <c r="N115" i="9"/>
  <c r="M115" i="9"/>
  <c r="L115" i="9"/>
  <c r="N114" i="9"/>
  <c r="M114" i="9"/>
  <c r="L114" i="9"/>
  <c r="N113" i="9"/>
  <c r="M113" i="9"/>
  <c r="L113" i="9"/>
  <c r="N112" i="9"/>
  <c r="M112" i="9"/>
  <c r="L112" i="9"/>
  <c r="N111" i="9"/>
  <c r="M111" i="9"/>
  <c r="L111" i="9"/>
  <c r="N110" i="9"/>
  <c r="M110" i="9"/>
  <c r="L110" i="9"/>
  <c r="N109" i="9"/>
  <c r="M109" i="9"/>
  <c r="L109" i="9"/>
  <c r="N108" i="9"/>
  <c r="M108" i="9"/>
  <c r="L108" i="9"/>
  <c r="N107" i="9"/>
  <c r="M107" i="9"/>
  <c r="L107" i="9"/>
  <c r="N92" i="9"/>
  <c r="M92" i="9"/>
  <c r="L92" i="9"/>
  <c r="N91" i="9"/>
  <c r="M91" i="9"/>
  <c r="L91" i="9"/>
  <c r="N90" i="9"/>
  <c r="M90" i="9"/>
  <c r="L90" i="9"/>
  <c r="N89" i="9"/>
  <c r="M89" i="9"/>
  <c r="L89" i="9"/>
  <c r="N88" i="9"/>
  <c r="M88" i="9"/>
  <c r="L88" i="9"/>
  <c r="N87" i="9"/>
  <c r="M87" i="9"/>
  <c r="L87" i="9"/>
  <c r="N86" i="9"/>
  <c r="M86" i="9"/>
  <c r="L86" i="9"/>
  <c r="N85" i="9"/>
  <c r="M85" i="9"/>
  <c r="L85" i="9"/>
  <c r="N84" i="9"/>
  <c r="M84" i="9"/>
  <c r="L84" i="9"/>
  <c r="N83" i="9"/>
  <c r="M83" i="9"/>
  <c r="L83" i="9"/>
  <c r="N82" i="9"/>
  <c r="M82" i="9"/>
  <c r="L82" i="9"/>
  <c r="N78" i="9"/>
  <c r="M78" i="9"/>
  <c r="L78" i="9"/>
  <c r="N77" i="9"/>
  <c r="M77" i="9"/>
  <c r="L77" i="9"/>
  <c r="N76" i="9"/>
  <c r="M76" i="9"/>
  <c r="L76" i="9"/>
  <c r="N75" i="9"/>
  <c r="M75" i="9"/>
  <c r="L75" i="9"/>
  <c r="N74" i="9"/>
  <c r="M74" i="9"/>
  <c r="L74" i="9"/>
  <c r="N72" i="9"/>
  <c r="M72" i="9"/>
  <c r="L72" i="9"/>
  <c r="N71" i="9"/>
  <c r="M71" i="9"/>
  <c r="L71" i="9"/>
  <c r="N70" i="9"/>
  <c r="M70" i="9"/>
  <c r="L70" i="9"/>
  <c r="N69" i="9"/>
  <c r="M69" i="9"/>
  <c r="L69" i="9"/>
  <c r="N68" i="9"/>
  <c r="M68" i="9"/>
  <c r="L68" i="9"/>
  <c r="N67" i="9"/>
  <c r="M67" i="9"/>
  <c r="L67" i="9"/>
  <c r="N66" i="9"/>
  <c r="M66" i="9"/>
  <c r="L66" i="9"/>
  <c r="N65" i="9"/>
  <c r="M65" i="9"/>
  <c r="L65" i="9"/>
  <c r="N64" i="9"/>
  <c r="M64" i="9"/>
  <c r="L64" i="9"/>
  <c r="N63" i="9"/>
  <c r="M63" i="9"/>
  <c r="L63" i="9"/>
  <c r="N62" i="9"/>
  <c r="M62" i="9"/>
  <c r="L62" i="9"/>
  <c r="N61" i="9"/>
  <c r="M61" i="9"/>
  <c r="L61" i="9"/>
  <c r="N60" i="9"/>
  <c r="M60" i="9"/>
  <c r="L60" i="9"/>
  <c r="N59" i="9"/>
  <c r="M59" i="9"/>
  <c r="L59" i="9"/>
  <c r="N58" i="9"/>
  <c r="M58" i="9"/>
  <c r="L58" i="9"/>
  <c r="N56" i="9"/>
  <c r="M56" i="9"/>
  <c r="L56" i="9"/>
  <c r="N54" i="9"/>
  <c r="M54" i="9"/>
  <c r="L54" i="9"/>
  <c r="N51" i="9"/>
  <c r="M51" i="9"/>
  <c r="L51" i="9"/>
  <c r="N47" i="9"/>
  <c r="M47" i="9"/>
  <c r="L47" i="9"/>
  <c r="N44" i="9"/>
  <c r="M44" i="9"/>
  <c r="L44" i="9"/>
  <c r="N43" i="9"/>
  <c r="M43" i="9"/>
  <c r="L43" i="9"/>
  <c r="N42" i="9"/>
  <c r="M42" i="9"/>
  <c r="L42" i="9"/>
  <c r="N41" i="9"/>
  <c r="M41" i="9"/>
  <c r="L41" i="9"/>
  <c r="N40" i="9"/>
  <c r="M40" i="9"/>
  <c r="L40" i="9"/>
  <c r="N36" i="9"/>
  <c r="M36" i="9"/>
  <c r="L36" i="9"/>
  <c r="N34" i="9"/>
  <c r="M34" i="9"/>
  <c r="L34" i="9"/>
  <c r="N33" i="9"/>
  <c r="M33" i="9"/>
  <c r="L33" i="9"/>
  <c r="N27" i="9"/>
  <c r="M27" i="9"/>
  <c r="L27" i="9"/>
  <c r="N26" i="9"/>
  <c r="M26" i="9"/>
  <c r="L26" i="9"/>
  <c r="N25" i="9"/>
  <c r="M25" i="9"/>
  <c r="L25" i="9"/>
  <c r="N24" i="9"/>
  <c r="M24" i="9"/>
  <c r="L24" i="9"/>
  <c r="N23" i="9"/>
  <c r="M23" i="9"/>
  <c r="L23" i="9"/>
  <c r="N22" i="9"/>
  <c r="M22" i="9"/>
  <c r="L22" i="9"/>
  <c r="N21" i="9"/>
  <c r="M21" i="9"/>
  <c r="L21" i="9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N15" i="9"/>
  <c r="M15" i="9"/>
  <c r="L15" i="9"/>
  <c r="S140" i="9"/>
  <c r="S139" i="9"/>
  <c r="S138" i="9"/>
  <c r="S137" i="9"/>
  <c r="S136" i="9"/>
  <c r="S103" i="9"/>
  <c r="S102" i="9"/>
  <c r="S101" i="9"/>
  <c r="S100" i="9"/>
  <c r="S99" i="9"/>
  <c r="S98" i="9"/>
  <c r="S97" i="9"/>
  <c r="S96" i="9"/>
  <c r="S95" i="9"/>
  <c r="S94" i="9"/>
  <c r="S93" i="9"/>
  <c r="S24" i="9"/>
  <c r="S14" i="9"/>
  <c r="S82" i="2"/>
  <c r="S24" i="2"/>
  <c r="S14" i="2"/>
  <c r="S82" i="4"/>
  <c r="N101" i="4"/>
  <c r="M101" i="4"/>
  <c r="L101" i="4"/>
  <c r="N100" i="4"/>
  <c r="M100" i="4"/>
  <c r="L100" i="4"/>
  <c r="N98" i="4"/>
  <c r="M98" i="4"/>
  <c r="L98" i="4"/>
  <c r="N97" i="4"/>
  <c r="M97" i="4"/>
  <c r="L97" i="4"/>
  <c r="N96" i="4"/>
  <c r="M96" i="4"/>
  <c r="L96" i="4"/>
  <c r="N94" i="4"/>
  <c r="M94" i="4"/>
  <c r="L94" i="4"/>
  <c r="N93" i="4"/>
  <c r="M93" i="4"/>
  <c r="L93" i="4"/>
  <c r="N88" i="4"/>
  <c r="M88" i="4"/>
  <c r="L88" i="4"/>
  <c r="N87" i="4"/>
  <c r="M87" i="4"/>
  <c r="L87" i="4"/>
  <c r="N86" i="4"/>
  <c r="M86" i="4"/>
  <c r="L86" i="4"/>
  <c r="N85" i="4"/>
  <c r="M85" i="4"/>
  <c r="L85" i="4"/>
  <c r="N84" i="4"/>
  <c r="M84" i="4"/>
  <c r="L84" i="4"/>
  <c r="N82" i="4"/>
  <c r="M82" i="4"/>
  <c r="L82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M74" i="4"/>
  <c r="L74" i="4"/>
  <c r="N73" i="4"/>
  <c r="M73" i="4"/>
  <c r="L73" i="4"/>
  <c r="N72" i="4"/>
  <c r="M72" i="4"/>
  <c r="L72" i="4"/>
  <c r="N70" i="4"/>
  <c r="M70" i="4"/>
  <c r="L70" i="4"/>
  <c r="N69" i="4"/>
  <c r="M69" i="4"/>
  <c r="L69" i="4"/>
  <c r="N68" i="4"/>
  <c r="M68" i="4"/>
  <c r="L68" i="4"/>
  <c r="N67" i="4"/>
  <c r="M67" i="4"/>
  <c r="L67" i="4"/>
  <c r="N65" i="4"/>
  <c r="M65" i="4"/>
  <c r="L65" i="4"/>
  <c r="N64" i="4"/>
  <c r="M64" i="4"/>
  <c r="L64" i="4"/>
  <c r="N63" i="4"/>
  <c r="M63" i="4"/>
  <c r="L63" i="4"/>
  <c r="N62" i="4"/>
  <c r="M62" i="4"/>
  <c r="L62" i="4"/>
  <c r="N61" i="4"/>
  <c r="M61" i="4"/>
  <c r="L61" i="4"/>
  <c r="N60" i="4"/>
  <c r="M60" i="4"/>
  <c r="L60" i="4"/>
  <c r="N59" i="4"/>
  <c r="M59" i="4"/>
  <c r="L59" i="4"/>
  <c r="N58" i="4"/>
  <c r="M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M53" i="4"/>
  <c r="L53" i="4"/>
  <c r="N52" i="4"/>
  <c r="M52" i="4"/>
  <c r="L52" i="4"/>
  <c r="N51" i="4"/>
  <c r="M51" i="4"/>
  <c r="L51" i="4"/>
  <c r="N50" i="4"/>
  <c r="M50" i="4"/>
  <c r="L50" i="4"/>
  <c r="N49" i="4"/>
  <c r="M49" i="4"/>
  <c r="L49" i="4"/>
  <c r="N47" i="4"/>
  <c r="M47" i="4"/>
  <c r="L47" i="4"/>
  <c r="N46" i="4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0" i="4"/>
  <c r="M30" i="4"/>
  <c r="L30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03" i="5"/>
  <c r="M103" i="5"/>
  <c r="L103" i="5"/>
  <c r="N102" i="5"/>
  <c r="M102" i="5"/>
  <c r="L102" i="5"/>
  <c r="N98" i="5"/>
  <c r="M98" i="5"/>
  <c r="L98" i="5"/>
  <c r="N97" i="5"/>
  <c r="M97" i="5"/>
  <c r="L97" i="5"/>
  <c r="N96" i="5"/>
  <c r="M96" i="5"/>
  <c r="L96" i="5"/>
  <c r="N94" i="5"/>
  <c r="M94" i="5"/>
  <c r="L94" i="5"/>
  <c r="N93" i="5"/>
  <c r="N87" i="5"/>
  <c r="M87" i="5"/>
  <c r="L87" i="5"/>
  <c r="N86" i="5"/>
  <c r="M86" i="5"/>
  <c r="L86" i="5"/>
  <c r="N84" i="5"/>
  <c r="M84" i="5"/>
  <c r="L84" i="5"/>
  <c r="N82" i="5"/>
  <c r="M82" i="5"/>
  <c r="L82" i="5"/>
  <c r="N80" i="5"/>
  <c r="M80" i="5"/>
  <c r="L80" i="5"/>
  <c r="N74" i="5"/>
  <c r="M74" i="5"/>
  <c r="L74" i="5"/>
  <c r="N72" i="5"/>
  <c r="M72" i="5"/>
  <c r="L72" i="5"/>
  <c r="N69" i="5"/>
  <c r="M69" i="5"/>
  <c r="L69" i="5"/>
  <c r="N67" i="5"/>
  <c r="M67" i="5"/>
  <c r="L67" i="5"/>
  <c r="N64" i="5"/>
  <c r="M64" i="5"/>
  <c r="L64" i="5"/>
  <c r="N62" i="5"/>
  <c r="M62" i="5"/>
  <c r="L62" i="5"/>
  <c r="N60" i="5"/>
  <c r="M60" i="5"/>
  <c r="L60" i="5"/>
  <c r="N58" i="5"/>
  <c r="M58" i="5"/>
  <c r="L58" i="5"/>
  <c r="N56" i="5"/>
  <c r="M56" i="5"/>
  <c r="L56" i="5"/>
  <c r="N53" i="5"/>
  <c r="M53" i="5"/>
  <c r="L53" i="5"/>
  <c r="N49" i="5"/>
  <c r="M49" i="5"/>
  <c r="L49" i="5"/>
  <c r="N46" i="5"/>
  <c r="M46" i="5"/>
  <c r="L46" i="5"/>
  <c r="N45" i="5"/>
  <c r="M45" i="5"/>
  <c r="L45" i="5"/>
  <c r="N42" i="5"/>
  <c r="M42" i="5"/>
  <c r="L42" i="5"/>
  <c r="N36" i="5"/>
  <c r="M36" i="5"/>
  <c r="L36" i="5"/>
  <c r="N34" i="5"/>
  <c r="M34" i="5"/>
  <c r="L34" i="5"/>
  <c r="N30" i="5"/>
  <c r="M30" i="5"/>
  <c r="L30" i="5"/>
  <c r="N27" i="5"/>
  <c r="M27" i="5"/>
  <c r="L27" i="5"/>
  <c r="N26" i="5"/>
  <c r="M26" i="5"/>
  <c r="L26" i="5"/>
  <c r="N25" i="5"/>
  <c r="M25" i="5"/>
  <c r="L25" i="5"/>
  <c r="N24" i="5"/>
  <c r="M24" i="5"/>
  <c r="L24" i="5"/>
  <c r="N23" i="5"/>
  <c r="M23" i="5"/>
  <c r="L23" i="5"/>
  <c r="N22" i="5"/>
  <c r="M22" i="5"/>
  <c r="L22" i="5"/>
  <c r="N21" i="5"/>
  <c r="M21" i="5"/>
  <c r="L21" i="5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05" i="6"/>
  <c r="M105" i="6"/>
  <c r="L105" i="6"/>
  <c r="N104" i="6"/>
  <c r="M104" i="6"/>
  <c r="N100" i="6"/>
  <c r="M100" i="6"/>
  <c r="L100" i="6"/>
  <c r="N99" i="6"/>
  <c r="M99" i="6"/>
  <c r="L99" i="6"/>
  <c r="N98" i="6"/>
  <c r="M98" i="6"/>
  <c r="L98" i="6"/>
  <c r="N94" i="6"/>
  <c r="M94" i="6"/>
  <c r="L94" i="6"/>
  <c r="L93" i="6"/>
  <c r="N88" i="6"/>
  <c r="M88" i="6"/>
  <c r="L88" i="6"/>
  <c r="N87" i="6"/>
  <c r="M87" i="6"/>
  <c r="L87" i="6"/>
  <c r="N86" i="6"/>
  <c r="M86" i="6"/>
  <c r="L86" i="6"/>
  <c r="N85" i="6"/>
  <c r="M85" i="6"/>
  <c r="L85" i="6"/>
  <c r="N84" i="6"/>
  <c r="M84" i="6"/>
  <c r="L84" i="6"/>
  <c r="N80" i="6"/>
  <c r="M80" i="6"/>
  <c r="L80" i="6"/>
  <c r="N79" i="6"/>
  <c r="M79" i="6"/>
  <c r="L79" i="6"/>
  <c r="N78" i="6"/>
  <c r="M78" i="6"/>
  <c r="L78" i="6"/>
  <c r="N77" i="6"/>
  <c r="M77" i="6"/>
  <c r="L77" i="6"/>
  <c r="N76" i="6"/>
  <c r="M76" i="6"/>
  <c r="L76" i="6"/>
  <c r="N75" i="6"/>
  <c r="M75" i="6"/>
  <c r="L75" i="6"/>
  <c r="N74" i="6"/>
  <c r="M74" i="6"/>
  <c r="L74" i="6"/>
  <c r="N73" i="6"/>
  <c r="M73" i="6"/>
  <c r="L73" i="6"/>
  <c r="N72" i="6"/>
  <c r="M72" i="6"/>
  <c r="L72" i="6"/>
  <c r="N70" i="6"/>
  <c r="M70" i="6"/>
  <c r="L70" i="6"/>
  <c r="N69" i="6"/>
  <c r="M69" i="6"/>
  <c r="L69" i="6"/>
  <c r="N68" i="6"/>
  <c r="M68" i="6"/>
  <c r="L68" i="6"/>
  <c r="N67" i="6"/>
  <c r="M67" i="6"/>
  <c r="L67" i="6"/>
  <c r="N65" i="6"/>
  <c r="M65" i="6"/>
  <c r="L65" i="6"/>
  <c r="N64" i="6"/>
  <c r="M64" i="6"/>
  <c r="L64" i="6"/>
  <c r="N63" i="6"/>
  <c r="M63" i="6"/>
  <c r="L63" i="6"/>
  <c r="N62" i="6"/>
  <c r="M62" i="6"/>
  <c r="L62" i="6"/>
  <c r="N61" i="6"/>
  <c r="M61" i="6"/>
  <c r="L61" i="6"/>
  <c r="N60" i="6"/>
  <c r="M60" i="6"/>
  <c r="L60" i="6"/>
  <c r="N59" i="6"/>
  <c r="M59" i="6"/>
  <c r="L59" i="6"/>
  <c r="N58" i="6"/>
  <c r="M58" i="6"/>
  <c r="L58" i="6"/>
  <c r="N57" i="6"/>
  <c r="M57" i="6"/>
  <c r="L57" i="6"/>
  <c r="N56" i="6"/>
  <c r="M56" i="6"/>
  <c r="L56" i="6"/>
  <c r="N55" i="6"/>
  <c r="M55" i="6"/>
  <c r="L55" i="6"/>
  <c r="N54" i="6"/>
  <c r="M54" i="6"/>
  <c r="L54" i="6"/>
  <c r="N53" i="6"/>
  <c r="M53" i="6"/>
  <c r="L53" i="6"/>
  <c r="N52" i="6"/>
  <c r="M52" i="6"/>
  <c r="L52" i="6"/>
  <c r="N51" i="6"/>
  <c r="M51" i="6"/>
  <c r="L51" i="6"/>
  <c r="N50" i="6"/>
  <c r="M50" i="6"/>
  <c r="L50" i="6"/>
  <c r="N49" i="6"/>
  <c r="M49" i="6"/>
  <c r="L49" i="6"/>
  <c r="N47" i="6"/>
  <c r="M47" i="6"/>
  <c r="L47" i="6"/>
  <c r="N46" i="6"/>
  <c r="M46" i="6"/>
  <c r="L46" i="6"/>
  <c r="L43" i="6"/>
  <c r="M43" i="6"/>
  <c r="N43" i="6"/>
  <c r="L44" i="6"/>
  <c r="M44" i="6"/>
  <c r="N44" i="6"/>
  <c r="L45" i="6"/>
  <c r="M45" i="6"/>
  <c r="N45" i="6"/>
  <c r="L37" i="6"/>
  <c r="M37" i="6"/>
  <c r="N37" i="6"/>
  <c r="L38" i="6"/>
  <c r="M38" i="6"/>
  <c r="N38" i="6"/>
  <c r="L39" i="6"/>
  <c r="M39" i="6"/>
  <c r="N39" i="6"/>
  <c r="L40" i="6"/>
  <c r="M40" i="6"/>
  <c r="N40" i="6"/>
  <c r="N42" i="6"/>
  <c r="M42" i="6"/>
  <c r="L42" i="6"/>
  <c r="N36" i="6"/>
  <c r="M36" i="6"/>
  <c r="L36" i="6"/>
  <c r="N35" i="6"/>
  <c r="M35" i="6"/>
  <c r="L35" i="6"/>
  <c r="N34" i="6"/>
  <c r="M34" i="6"/>
  <c r="L34" i="6"/>
  <c r="N30" i="6"/>
  <c r="M30" i="6"/>
  <c r="L30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23" i="6"/>
  <c r="M23" i="6"/>
  <c r="N23" i="6"/>
  <c r="L24" i="6"/>
  <c r="M24" i="6"/>
  <c r="N24" i="6"/>
  <c r="L25" i="6"/>
  <c r="M25" i="6"/>
  <c r="N25" i="6"/>
  <c r="L26" i="6"/>
  <c r="M26" i="6"/>
  <c r="N26" i="6"/>
  <c r="L27" i="6"/>
  <c r="M27" i="6"/>
  <c r="N27" i="6"/>
  <c r="L28" i="6"/>
  <c r="M28" i="6"/>
  <c r="N28" i="6"/>
  <c r="T16" i="6"/>
  <c r="T17" i="6"/>
  <c r="T18" i="6"/>
  <c r="T22" i="6"/>
  <c r="N15" i="6"/>
  <c r="M15" i="6"/>
  <c r="L15" i="6"/>
  <c r="N14" i="6"/>
  <c r="M14" i="6"/>
  <c r="L14" i="6"/>
  <c r="P31" i="7"/>
  <c r="N93" i="7"/>
  <c r="M93" i="7"/>
  <c r="L93" i="7"/>
  <c r="N84" i="7"/>
  <c r="M84" i="7"/>
  <c r="L84" i="7"/>
  <c r="N101" i="7"/>
  <c r="M101" i="7"/>
  <c r="L101" i="7"/>
  <c r="N100" i="7"/>
  <c r="M100" i="7"/>
  <c r="N98" i="7"/>
  <c r="M98" i="7"/>
  <c r="L98" i="7"/>
  <c r="N97" i="7"/>
  <c r="M97" i="7"/>
  <c r="L97" i="7"/>
  <c r="N96" i="7"/>
  <c r="M96" i="7"/>
  <c r="L96" i="7"/>
  <c r="N86" i="7"/>
  <c r="M86" i="7"/>
  <c r="L86" i="7"/>
  <c r="N80" i="7"/>
  <c r="M80" i="7"/>
  <c r="L80" i="7"/>
  <c r="N79" i="7"/>
  <c r="M79" i="7"/>
  <c r="L79" i="7"/>
  <c r="N78" i="7"/>
  <c r="M78" i="7"/>
  <c r="L78" i="7"/>
  <c r="N77" i="7"/>
  <c r="M77" i="7"/>
  <c r="L77" i="7"/>
  <c r="N76" i="7"/>
  <c r="M76" i="7"/>
  <c r="L76" i="7"/>
  <c r="N75" i="7"/>
  <c r="M75" i="7"/>
  <c r="L75" i="7"/>
  <c r="N74" i="7"/>
  <c r="M74" i="7"/>
  <c r="L74" i="7"/>
  <c r="N73" i="7"/>
  <c r="M73" i="7"/>
  <c r="L73" i="7"/>
  <c r="N72" i="7"/>
  <c r="M72" i="7"/>
  <c r="L72" i="7"/>
  <c r="N70" i="7"/>
  <c r="M70" i="7"/>
  <c r="L70" i="7"/>
  <c r="N69" i="7"/>
  <c r="M69" i="7"/>
  <c r="L69" i="7"/>
  <c r="N68" i="7"/>
  <c r="M68" i="7"/>
  <c r="L68" i="7"/>
  <c r="N67" i="7"/>
  <c r="M67" i="7"/>
  <c r="L67" i="7"/>
  <c r="N71" i="7"/>
  <c r="N66" i="7"/>
  <c r="L51" i="7"/>
  <c r="M51" i="7"/>
  <c r="N51" i="7"/>
  <c r="L52" i="7"/>
  <c r="M52" i="7"/>
  <c r="N52" i="7"/>
  <c r="L53" i="7"/>
  <c r="M53" i="7"/>
  <c r="N53" i="7"/>
  <c r="L54" i="7"/>
  <c r="M54" i="7"/>
  <c r="N54" i="7"/>
  <c r="L55" i="7"/>
  <c r="M55" i="7"/>
  <c r="N55" i="7"/>
  <c r="L56" i="7"/>
  <c r="M56" i="7"/>
  <c r="N56" i="7"/>
  <c r="L57" i="7"/>
  <c r="M57" i="7"/>
  <c r="N57" i="7"/>
  <c r="L58" i="7"/>
  <c r="M58" i="7"/>
  <c r="N58" i="7"/>
  <c r="L59" i="7"/>
  <c r="M59" i="7"/>
  <c r="N59" i="7"/>
  <c r="L60" i="7"/>
  <c r="M60" i="7"/>
  <c r="N60" i="7"/>
  <c r="L61" i="7"/>
  <c r="M61" i="7"/>
  <c r="N61" i="7"/>
  <c r="L62" i="7"/>
  <c r="M62" i="7"/>
  <c r="N62" i="7"/>
  <c r="L63" i="7"/>
  <c r="M63" i="7"/>
  <c r="N63" i="7"/>
  <c r="L64" i="7"/>
  <c r="M64" i="7"/>
  <c r="N64" i="7"/>
  <c r="L65" i="7"/>
  <c r="M65" i="7"/>
  <c r="N65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N48" i="7"/>
  <c r="L49" i="7"/>
  <c r="M49" i="7"/>
  <c r="N49" i="7"/>
  <c r="L50" i="7"/>
  <c r="M50" i="7"/>
  <c r="N50" i="7"/>
  <c r="N42" i="7"/>
  <c r="M42" i="7"/>
  <c r="L42" i="7"/>
  <c r="N41" i="7"/>
  <c r="N40" i="7"/>
  <c r="M40" i="7"/>
  <c r="L40" i="7"/>
  <c r="N39" i="7"/>
  <c r="M39" i="7"/>
  <c r="L39" i="7"/>
  <c r="N38" i="7"/>
  <c r="M38" i="7"/>
  <c r="L38" i="7"/>
  <c r="N37" i="7"/>
  <c r="M37" i="7"/>
  <c r="L37" i="7"/>
  <c r="N36" i="7"/>
  <c r="M36" i="7"/>
  <c r="L36" i="7"/>
  <c r="N35" i="7"/>
  <c r="M35" i="7"/>
  <c r="L35" i="7"/>
  <c r="N34" i="7"/>
  <c r="M34" i="7"/>
  <c r="L34" i="7"/>
  <c r="N33" i="7"/>
  <c r="N30" i="7"/>
  <c r="M30" i="7"/>
  <c r="L30" i="7"/>
  <c r="N27" i="7"/>
  <c r="M27" i="7"/>
  <c r="L27" i="7"/>
  <c r="N26" i="7"/>
  <c r="M26" i="7"/>
  <c r="L26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M19" i="7"/>
  <c r="L19" i="7"/>
  <c r="N18" i="7"/>
  <c r="M18" i="7"/>
  <c r="L18" i="7"/>
  <c r="N17" i="7"/>
  <c r="M17" i="7"/>
  <c r="L17" i="7"/>
  <c r="N16" i="7"/>
  <c r="M16" i="7"/>
  <c r="L16" i="7"/>
  <c r="N15" i="7"/>
  <c r="M15" i="7"/>
  <c r="L15" i="7"/>
  <c r="R57" i="17"/>
  <c r="Q57" i="17"/>
  <c r="P57" i="17"/>
  <c r="S57" i="17" s="1"/>
  <c r="T57" i="17" s="1"/>
  <c r="R56" i="17"/>
  <c r="Q56" i="17"/>
  <c r="P56" i="17"/>
  <c r="S56" i="17" s="1"/>
  <c r="R55" i="17"/>
  <c r="Q55" i="17"/>
  <c r="P55" i="17"/>
  <c r="S55" i="17" s="1"/>
  <c r="R53" i="17"/>
  <c r="Q53" i="17"/>
  <c r="P53" i="17"/>
  <c r="S53" i="17" s="1"/>
  <c r="R52" i="17"/>
  <c r="Q52" i="17"/>
  <c r="P52" i="17"/>
  <c r="S52" i="17" s="1"/>
  <c r="S48" i="17"/>
  <c r="S47" i="17"/>
  <c r="S44" i="17"/>
  <c r="P43" i="17"/>
  <c r="S43" i="17" s="1"/>
  <c r="P44" i="17"/>
  <c r="P47" i="17"/>
  <c r="P48" i="17"/>
  <c r="R48" i="17"/>
  <c r="Q48" i="17"/>
  <c r="R47" i="17"/>
  <c r="Q47" i="17"/>
  <c r="R44" i="17"/>
  <c r="Q44" i="17"/>
  <c r="R43" i="17"/>
  <c r="Q43" i="17"/>
  <c r="N192" i="17"/>
  <c r="M192" i="17"/>
  <c r="L192" i="17"/>
  <c r="N191" i="17"/>
  <c r="M191" i="17"/>
  <c r="L191" i="17"/>
  <c r="N190" i="17"/>
  <c r="M190" i="17"/>
  <c r="L190" i="17"/>
  <c r="N188" i="17"/>
  <c r="M188" i="17"/>
  <c r="L188" i="17"/>
  <c r="N187" i="17"/>
  <c r="M187" i="17"/>
  <c r="L187" i="17"/>
  <c r="N186" i="17"/>
  <c r="M186" i="17"/>
  <c r="L186" i="17"/>
  <c r="N183" i="17"/>
  <c r="M183" i="17"/>
  <c r="L183" i="17"/>
  <c r="N182" i="17"/>
  <c r="M182" i="17"/>
  <c r="L182" i="17"/>
  <c r="N179" i="17"/>
  <c r="M179" i="17"/>
  <c r="L179" i="17"/>
  <c r="N178" i="17"/>
  <c r="M178" i="17"/>
  <c r="L178" i="17"/>
  <c r="N165" i="17"/>
  <c r="M165" i="17"/>
  <c r="L165" i="17"/>
  <c r="N164" i="17"/>
  <c r="M164" i="17"/>
  <c r="L164" i="17"/>
  <c r="N163" i="17"/>
  <c r="M163" i="17"/>
  <c r="L163" i="17"/>
  <c r="N161" i="17"/>
  <c r="M161" i="17"/>
  <c r="L161" i="17"/>
  <c r="N160" i="17"/>
  <c r="M160" i="17"/>
  <c r="L160" i="17"/>
  <c r="N156" i="17"/>
  <c r="M156" i="17"/>
  <c r="L156" i="17"/>
  <c r="N155" i="17"/>
  <c r="M155" i="17"/>
  <c r="L155" i="17"/>
  <c r="N152" i="17"/>
  <c r="M152" i="17"/>
  <c r="L152" i="17"/>
  <c r="N151" i="17"/>
  <c r="M151" i="17"/>
  <c r="L151" i="17"/>
  <c r="N138" i="17"/>
  <c r="M138" i="17"/>
  <c r="L138" i="17"/>
  <c r="N137" i="17"/>
  <c r="M137" i="17"/>
  <c r="L137" i="17"/>
  <c r="N136" i="17"/>
  <c r="M136" i="17"/>
  <c r="L136" i="17"/>
  <c r="N134" i="17"/>
  <c r="M134" i="17"/>
  <c r="L134" i="17"/>
  <c r="N133" i="17"/>
  <c r="M133" i="17"/>
  <c r="L133" i="17"/>
  <c r="N129" i="17"/>
  <c r="M129" i="17"/>
  <c r="L129" i="17"/>
  <c r="N128" i="17"/>
  <c r="M128" i="17"/>
  <c r="L128" i="17"/>
  <c r="N125" i="17"/>
  <c r="M125" i="17"/>
  <c r="L125" i="17"/>
  <c r="N124" i="17"/>
  <c r="M124" i="17"/>
  <c r="L124" i="17"/>
  <c r="N111" i="17"/>
  <c r="M111" i="17"/>
  <c r="L111" i="17"/>
  <c r="N110" i="17"/>
  <c r="M110" i="17"/>
  <c r="L110" i="17"/>
  <c r="N109" i="17"/>
  <c r="M109" i="17"/>
  <c r="L109" i="17"/>
  <c r="N107" i="17"/>
  <c r="M107" i="17"/>
  <c r="L107" i="17"/>
  <c r="N106" i="17"/>
  <c r="M106" i="17"/>
  <c r="L106" i="17"/>
  <c r="N105" i="17"/>
  <c r="M105" i="17"/>
  <c r="L105" i="17"/>
  <c r="N102" i="17"/>
  <c r="M102" i="17"/>
  <c r="L102" i="17"/>
  <c r="N101" i="17"/>
  <c r="M101" i="17"/>
  <c r="L101" i="17"/>
  <c r="N100" i="17"/>
  <c r="M100" i="17"/>
  <c r="L100" i="17"/>
  <c r="N98" i="17"/>
  <c r="M98" i="17"/>
  <c r="L98" i="17"/>
  <c r="N97" i="17"/>
  <c r="M97" i="17"/>
  <c r="L97" i="17"/>
  <c r="N84" i="17"/>
  <c r="M84" i="17"/>
  <c r="L84" i="17"/>
  <c r="N83" i="17"/>
  <c r="M83" i="17"/>
  <c r="L83" i="17"/>
  <c r="N82" i="17"/>
  <c r="M82" i="17"/>
  <c r="L82" i="17"/>
  <c r="N80" i="17"/>
  <c r="M80" i="17"/>
  <c r="L80" i="17"/>
  <c r="N79" i="17"/>
  <c r="M79" i="17"/>
  <c r="L79" i="17"/>
  <c r="N78" i="17"/>
  <c r="M78" i="17"/>
  <c r="L78" i="17"/>
  <c r="N75" i="17"/>
  <c r="M75" i="17"/>
  <c r="L75" i="17"/>
  <c r="N74" i="17"/>
  <c r="M74" i="17"/>
  <c r="L74" i="17"/>
  <c r="N73" i="17"/>
  <c r="M73" i="17"/>
  <c r="L73" i="17"/>
  <c r="N71" i="17"/>
  <c r="M71" i="17"/>
  <c r="L71" i="17"/>
  <c r="N70" i="17"/>
  <c r="M70" i="17"/>
  <c r="L70" i="17"/>
  <c r="N57" i="17"/>
  <c r="M57" i="17"/>
  <c r="L57" i="17"/>
  <c r="N56" i="17"/>
  <c r="M56" i="17"/>
  <c r="L56" i="17"/>
  <c r="N55" i="17"/>
  <c r="M55" i="17"/>
  <c r="L55" i="17"/>
  <c r="N53" i="17"/>
  <c r="M53" i="17"/>
  <c r="L53" i="17"/>
  <c r="N52" i="17"/>
  <c r="M52" i="17"/>
  <c r="L52" i="17"/>
  <c r="N48" i="17"/>
  <c r="M48" i="17"/>
  <c r="L48" i="17"/>
  <c r="N47" i="17"/>
  <c r="M47" i="17"/>
  <c r="L47" i="17"/>
  <c r="N44" i="17"/>
  <c r="M44" i="17"/>
  <c r="L44" i="17"/>
  <c r="N43" i="17"/>
  <c r="M43" i="17"/>
  <c r="L43" i="17"/>
  <c r="N20" i="17"/>
  <c r="P93" i="9"/>
  <c r="P94" i="9"/>
  <c r="N81" i="10" l="1"/>
  <c r="N146" i="9"/>
  <c r="M81" i="10"/>
  <c r="S163" i="9"/>
  <c r="T19" i="6"/>
  <c r="I86" i="7" l="1"/>
  <c r="I71" i="7"/>
  <c r="I66" i="7"/>
  <c r="M66" i="7" s="1"/>
  <c r="I48" i="7"/>
  <c r="I41" i="7"/>
  <c r="M41" i="7" s="1"/>
  <c r="I33" i="7"/>
  <c r="M33" i="7" s="1"/>
  <c r="I32" i="7" l="1"/>
  <c r="I43" i="10"/>
  <c r="M43" i="10" s="1"/>
  <c r="I40" i="10"/>
  <c r="E14" i="10"/>
  <c r="H71" i="7" l="1"/>
  <c r="H66" i="7"/>
  <c r="L66" i="7" s="1"/>
  <c r="H48" i="7"/>
  <c r="L48" i="7" s="1"/>
  <c r="H41" i="7"/>
  <c r="L41" i="7" s="1"/>
  <c r="H33" i="7"/>
  <c r="D33" i="7"/>
  <c r="E33" i="7"/>
  <c r="F33" i="7"/>
  <c r="D41" i="7"/>
  <c r="E41" i="7"/>
  <c r="F41" i="7"/>
  <c r="D48" i="7"/>
  <c r="M48" i="7" s="1"/>
  <c r="E48" i="7"/>
  <c r="F48" i="7"/>
  <c r="D66" i="7"/>
  <c r="E66" i="7"/>
  <c r="F66" i="7"/>
  <c r="D71" i="7"/>
  <c r="M71" i="7" s="1"/>
  <c r="E71" i="7"/>
  <c r="F71" i="7"/>
  <c r="D83" i="7"/>
  <c r="E83" i="7"/>
  <c r="F83" i="7"/>
  <c r="D32" i="7" l="1"/>
  <c r="F32" i="7"/>
  <c r="E32" i="7"/>
  <c r="H32" i="7"/>
  <c r="H47" i="10"/>
  <c r="D32" i="9"/>
  <c r="C97" i="6" l="1"/>
  <c r="C43" i="10" l="1"/>
  <c r="J1" i="6" l="1"/>
  <c r="L122" i="9" l="1"/>
  <c r="L116" i="9"/>
  <c r="C25" i="10" l="1"/>
  <c r="L25" i="10" s="1"/>
  <c r="C33" i="7" l="1"/>
  <c r="L33" i="7" s="1"/>
  <c r="C41" i="7"/>
  <c r="C48" i="7"/>
  <c r="C66" i="7"/>
  <c r="C71" i="7"/>
  <c r="L71" i="7" s="1"/>
  <c r="C32" i="7" l="1"/>
  <c r="C83" i="6"/>
  <c r="C95" i="5"/>
  <c r="H93" i="5" l="1"/>
  <c r="L93" i="5" s="1"/>
  <c r="D67" i="3" l="1"/>
  <c r="E67" i="3"/>
  <c r="F67" i="3"/>
  <c r="C67" i="3"/>
  <c r="I135" i="9" l="1"/>
  <c r="M135" i="9" s="1"/>
  <c r="E135" i="9"/>
  <c r="E33" i="6" l="1"/>
  <c r="I101" i="5"/>
  <c r="M101" i="5" s="1"/>
  <c r="E101" i="5"/>
  <c r="I95" i="3"/>
  <c r="H95" i="3"/>
  <c r="N98" i="3"/>
  <c r="M98" i="3"/>
  <c r="L98" i="3"/>
  <c r="I67" i="3"/>
  <c r="H67" i="3"/>
  <c r="E34" i="3"/>
  <c r="N29" i="3"/>
  <c r="I83" i="2"/>
  <c r="D93" i="5" l="1"/>
  <c r="E93" i="5"/>
  <c r="H101" i="5"/>
  <c r="L101" i="5" s="1"/>
  <c r="D101" i="5"/>
  <c r="H135" i="9"/>
  <c r="L135" i="9" s="1"/>
  <c r="D135" i="9"/>
  <c r="T82" i="5" l="1"/>
  <c r="I107" i="15"/>
  <c r="D107" i="15"/>
  <c r="C86" i="7"/>
  <c r="C107" i="15" s="1"/>
  <c r="D86" i="7"/>
  <c r="D181" i="17" s="1"/>
  <c r="L181" i="17" s="1"/>
  <c r="E86" i="7"/>
  <c r="E181" i="17" s="1"/>
  <c r="M181" i="17" s="1"/>
  <c r="F86" i="7"/>
  <c r="F181" i="17" s="1"/>
  <c r="N181" i="17" s="1"/>
  <c r="H86" i="7"/>
  <c r="J86" i="7"/>
  <c r="L88" i="7"/>
  <c r="M88" i="7"/>
  <c r="N88" i="7"/>
  <c r="T88" i="7"/>
  <c r="T85" i="7"/>
  <c r="J83" i="7"/>
  <c r="I83" i="7"/>
  <c r="H83" i="7"/>
  <c r="F180" i="17"/>
  <c r="E180" i="17"/>
  <c r="D180" i="17"/>
  <c r="C83" i="7"/>
  <c r="C180" i="17" s="1"/>
  <c r="T94" i="7"/>
  <c r="T93" i="7"/>
  <c r="J93" i="7"/>
  <c r="J34" i="16" s="1"/>
  <c r="I93" i="7"/>
  <c r="I34" i="16" s="1"/>
  <c r="H93" i="7"/>
  <c r="H34" i="16" s="1"/>
  <c r="F93" i="7"/>
  <c r="F186" i="17" s="1"/>
  <c r="E93" i="7"/>
  <c r="E34" i="16" s="1"/>
  <c r="M34" i="16" s="1"/>
  <c r="D93" i="7"/>
  <c r="D34" i="16" s="1"/>
  <c r="L34" i="16" s="1"/>
  <c r="C93" i="7"/>
  <c r="C34" i="16" s="1"/>
  <c r="V90" i="7"/>
  <c r="V90" i="6"/>
  <c r="F105" i="15"/>
  <c r="J106" i="15"/>
  <c r="H106" i="15"/>
  <c r="C94" i="15"/>
  <c r="J154" i="17"/>
  <c r="E154" i="17"/>
  <c r="M154" i="17" s="1"/>
  <c r="C154" i="17"/>
  <c r="C153" i="17"/>
  <c r="J86" i="6"/>
  <c r="I86" i="6"/>
  <c r="I154" i="17" s="1"/>
  <c r="H86" i="6"/>
  <c r="H154" i="17" s="1"/>
  <c r="F86" i="6"/>
  <c r="F106" i="15" s="1"/>
  <c r="E86" i="6"/>
  <c r="E106" i="15" s="1"/>
  <c r="D86" i="6"/>
  <c r="D154" i="17" s="1"/>
  <c r="L154" i="17" s="1"/>
  <c r="C86" i="6"/>
  <c r="C106" i="15" s="1"/>
  <c r="J83" i="6"/>
  <c r="N83" i="6" s="1"/>
  <c r="I83" i="6"/>
  <c r="H83" i="6"/>
  <c r="F83" i="6"/>
  <c r="F153" i="17" s="1"/>
  <c r="E83" i="6"/>
  <c r="E153" i="17" s="1"/>
  <c r="D83" i="6"/>
  <c r="D153" i="17" s="1"/>
  <c r="T82" i="6"/>
  <c r="V90" i="5"/>
  <c r="C93" i="15"/>
  <c r="T88" i="5"/>
  <c r="N88" i="5"/>
  <c r="M88" i="5"/>
  <c r="L88" i="5"/>
  <c r="T87" i="5"/>
  <c r="J86" i="5"/>
  <c r="J127" i="17" s="1"/>
  <c r="I86" i="5"/>
  <c r="I127" i="17" s="1"/>
  <c r="H86" i="5"/>
  <c r="H105" i="15" s="1"/>
  <c r="F86" i="5"/>
  <c r="F127" i="17" s="1"/>
  <c r="N127" i="17" s="1"/>
  <c r="E86" i="5"/>
  <c r="E127" i="17" s="1"/>
  <c r="M127" i="17" s="1"/>
  <c r="D86" i="5"/>
  <c r="D127" i="17" s="1"/>
  <c r="L127" i="17" s="1"/>
  <c r="C86" i="5"/>
  <c r="T86" i="5" s="1"/>
  <c r="T85" i="5"/>
  <c r="N85" i="5"/>
  <c r="M85" i="5"/>
  <c r="L85" i="5"/>
  <c r="J83" i="5"/>
  <c r="I83" i="5"/>
  <c r="H83" i="5"/>
  <c r="F83" i="5"/>
  <c r="F126" i="17" s="1"/>
  <c r="E83" i="5"/>
  <c r="E93" i="15" s="1"/>
  <c r="D83" i="5"/>
  <c r="D93" i="15" s="1"/>
  <c r="C83" i="5"/>
  <c r="C126" i="17" s="1"/>
  <c r="D31" i="16"/>
  <c r="L31" i="16" s="1"/>
  <c r="T94" i="4"/>
  <c r="J93" i="4"/>
  <c r="I93" i="4"/>
  <c r="H93" i="4"/>
  <c r="H105" i="17" s="1"/>
  <c r="F93" i="4"/>
  <c r="E93" i="4"/>
  <c r="E31" i="16" s="1"/>
  <c r="M31" i="16" s="1"/>
  <c r="D93" i="4"/>
  <c r="D105" i="17" s="1"/>
  <c r="C93" i="4"/>
  <c r="T93" i="4" s="1"/>
  <c r="J86" i="4"/>
  <c r="I86" i="4"/>
  <c r="H86" i="4"/>
  <c r="F86" i="4"/>
  <c r="F100" i="17" s="1"/>
  <c r="D86" i="4"/>
  <c r="D104" i="15" s="1"/>
  <c r="C86" i="4"/>
  <c r="C104" i="15" s="1"/>
  <c r="J83" i="4"/>
  <c r="N83" i="4" s="1"/>
  <c r="I83" i="4"/>
  <c r="H83" i="4"/>
  <c r="L83" i="4" s="1"/>
  <c r="F83" i="4"/>
  <c r="F99" i="17" s="1"/>
  <c r="C83" i="4"/>
  <c r="C92" i="15" s="1"/>
  <c r="V90" i="4"/>
  <c r="F73" i="17"/>
  <c r="V91" i="3"/>
  <c r="N94" i="3"/>
  <c r="J93" i="3"/>
  <c r="N93" i="3" s="1"/>
  <c r="I93" i="3"/>
  <c r="I78" i="17" s="1"/>
  <c r="H93" i="3"/>
  <c r="H78" i="17" s="1"/>
  <c r="F93" i="3"/>
  <c r="F78" i="17" s="1"/>
  <c r="J84" i="3"/>
  <c r="I84" i="3"/>
  <c r="H84" i="3"/>
  <c r="F84" i="3"/>
  <c r="E84" i="3"/>
  <c r="D84" i="3"/>
  <c r="C84" i="3"/>
  <c r="N85" i="3"/>
  <c r="L85" i="3"/>
  <c r="M85" i="3"/>
  <c r="N88" i="3"/>
  <c r="L88" i="3"/>
  <c r="I87" i="3"/>
  <c r="I103" i="15" s="1"/>
  <c r="J87" i="3"/>
  <c r="J73" i="17" s="1"/>
  <c r="H87" i="3"/>
  <c r="L87" i="3" s="1"/>
  <c r="F87" i="3"/>
  <c r="F103" i="15" s="1"/>
  <c r="D87" i="3"/>
  <c r="D103" i="15" s="1"/>
  <c r="C87" i="3"/>
  <c r="C103" i="15" s="1"/>
  <c r="G51" i="17"/>
  <c r="N94" i="2"/>
  <c r="L94" i="2"/>
  <c r="J93" i="2"/>
  <c r="N93" i="2" s="1"/>
  <c r="I93" i="2"/>
  <c r="I29" i="16" s="1"/>
  <c r="H93" i="2"/>
  <c r="H29" i="16" s="1"/>
  <c r="F93" i="2"/>
  <c r="F51" i="17" s="1"/>
  <c r="C93" i="2"/>
  <c r="C29" i="16" s="1"/>
  <c r="K46" i="17"/>
  <c r="K45" i="17"/>
  <c r="V82" i="2"/>
  <c r="V88" i="2"/>
  <c r="N87" i="2"/>
  <c r="L87" i="2"/>
  <c r="M87" i="2"/>
  <c r="J86" i="2"/>
  <c r="N86" i="2" s="1"/>
  <c r="H86" i="2"/>
  <c r="H102" i="15" s="1"/>
  <c r="F86" i="2"/>
  <c r="F102" i="15" s="1"/>
  <c r="E86" i="2"/>
  <c r="E46" i="17" s="1"/>
  <c r="D86" i="2"/>
  <c r="D102" i="15" s="1"/>
  <c r="C86" i="2"/>
  <c r="C102" i="15" s="1"/>
  <c r="V85" i="2"/>
  <c r="N84" i="2"/>
  <c r="L84" i="2"/>
  <c r="M84" i="2"/>
  <c r="J83" i="2"/>
  <c r="N83" i="2" s="1"/>
  <c r="H83" i="2"/>
  <c r="H45" i="17" s="1"/>
  <c r="F83" i="2"/>
  <c r="F45" i="17" s="1"/>
  <c r="E83" i="2"/>
  <c r="E45" i="17" s="1"/>
  <c r="D83" i="2"/>
  <c r="D45" i="17" s="1"/>
  <c r="C83" i="2"/>
  <c r="C90" i="15" s="1"/>
  <c r="J126" i="17" l="1"/>
  <c r="N126" i="17" s="1"/>
  <c r="N83" i="5"/>
  <c r="N51" i="17"/>
  <c r="Q46" i="17"/>
  <c r="M46" i="17"/>
  <c r="F94" i="15"/>
  <c r="H153" i="17"/>
  <c r="L153" i="17" s="1"/>
  <c r="L83" i="6"/>
  <c r="I153" i="17"/>
  <c r="M153" i="17" s="1"/>
  <c r="M83" i="6"/>
  <c r="H93" i="15"/>
  <c r="L83" i="5"/>
  <c r="I93" i="15"/>
  <c r="M83" i="5"/>
  <c r="I92" i="15"/>
  <c r="M83" i="4"/>
  <c r="P45" i="17"/>
  <c r="L45" i="17"/>
  <c r="Q45" i="17"/>
  <c r="R45" i="17"/>
  <c r="N45" i="17"/>
  <c r="J95" i="15"/>
  <c r="N83" i="7"/>
  <c r="I95" i="15"/>
  <c r="M83" i="7"/>
  <c r="H180" i="17"/>
  <c r="L180" i="17" s="1"/>
  <c r="L83" i="7"/>
  <c r="J180" i="17"/>
  <c r="N180" i="17" s="1"/>
  <c r="J92" i="15"/>
  <c r="I106" i="15"/>
  <c r="H186" i="17"/>
  <c r="H104" i="15"/>
  <c r="J94" i="15"/>
  <c r="C99" i="17"/>
  <c r="F154" i="17"/>
  <c r="N154" i="17" s="1"/>
  <c r="F90" i="15"/>
  <c r="D100" i="17"/>
  <c r="J153" i="17"/>
  <c r="N153" i="17" s="1"/>
  <c r="D106" i="15"/>
  <c r="J99" i="17"/>
  <c r="N99" i="17" s="1"/>
  <c r="I105" i="17"/>
  <c r="C95" i="15"/>
  <c r="J45" i="17"/>
  <c r="F46" i="17"/>
  <c r="C45" i="17"/>
  <c r="H46" i="17"/>
  <c r="F29" i="16"/>
  <c r="N29" i="16" s="1"/>
  <c r="E102" i="15"/>
  <c r="C46" i="17"/>
  <c r="D46" i="17"/>
  <c r="J46" i="17"/>
  <c r="J102" i="15"/>
  <c r="J90" i="15"/>
  <c r="C51" i="17"/>
  <c r="J29" i="16"/>
  <c r="H181" i="17"/>
  <c r="E107" i="15"/>
  <c r="J107" i="15"/>
  <c r="F95" i="15"/>
  <c r="I181" i="17"/>
  <c r="F107" i="15"/>
  <c r="C181" i="17"/>
  <c r="J181" i="17"/>
  <c r="H107" i="15"/>
  <c r="D186" i="17"/>
  <c r="I186" i="17"/>
  <c r="F34" i="16"/>
  <c r="N34" i="16" s="1"/>
  <c r="E186" i="17"/>
  <c r="J186" i="17"/>
  <c r="C186" i="17"/>
  <c r="I30" i="16"/>
  <c r="F30" i="16"/>
  <c r="N30" i="16" s="1"/>
  <c r="J78" i="17"/>
  <c r="C100" i="17"/>
  <c r="H100" i="17"/>
  <c r="C31" i="16"/>
  <c r="H92" i="15"/>
  <c r="F104" i="15"/>
  <c r="I100" i="17"/>
  <c r="I31" i="16"/>
  <c r="F92" i="15"/>
  <c r="J104" i="15"/>
  <c r="H99" i="17"/>
  <c r="J100" i="17"/>
  <c r="H31" i="16"/>
  <c r="I104" i="15"/>
  <c r="E105" i="17"/>
  <c r="J105" i="17"/>
  <c r="F105" i="17"/>
  <c r="F31" i="16"/>
  <c r="N31" i="16" s="1"/>
  <c r="C105" i="17"/>
  <c r="J31" i="16"/>
  <c r="E95" i="15"/>
  <c r="D90" i="15"/>
  <c r="I180" i="17"/>
  <c r="M180" i="17" s="1"/>
  <c r="I94" i="15"/>
  <c r="E94" i="15"/>
  <c r="I99" i="17"/>
  <c r="C73" i="17"/>
  <c r="H73" i="17"/>
  <c r="H30" i="16"/>
  <c r="D73" i="17"/>
  <c r="I73" i="17"/>
  <c r="J103" i="15"/>
  <c r="H103" i="15"/>
  <c r="J30" i="16"/>
  <c r="E90" i="15"/>
  <c r="H95" i="15"/>
  <c r="D95" i="15"/>
  <c r="H94" i="15"/>
  <c r="D94" i="15"/>
  <c r="H126" i="17"/>
  <c r="H90" i="15"/>
  <c r="C127" i="17"/>
  <c r="D126" i="17"/>
  <c r="I105" i="15"/>
  <c r="D105" i="15"/>
  <c r="H127" i="17"/>
  <c r="F93" i="15"/>
  <c r="I126" i="17"/>
  <c r="J105" i="15"/>
  <c r="E105" i="15"/>
  <c r="T86" i="6"/>
  <c r="T87" i="6"/>
  <c r="T88" i="6"/>
  <c r="T85" i="6"/>
  <c r="J93" i="15"/>
  <c r="E126" i="17"/>
  <c r="M126" i="17" s="1"/>
  <c r="C105" i="15"/>
  <c r="D83" i="4"/>
  <c r="H51" i="17"/>
  <c r="I51" i="17"/>
  <c r="J51" i="17"/>
  <c r="L94" i="3"/>
  <c r="C93" i="3"/>
  <c r="E87" i="3"/>
  <c r="M88" i="3"/>
  <c r="L93" i="2"/>
  <c r="M94" i="2"/>
  <c r="D93" i="2"/>
  <c r="L83" i="2"/>
  <c r="L86" i="2"/>
  <c r="I86" i="2"/>
  <c r="F13" i="7"/>
  <c r="H13" i="7"/>
  <c r="J13" i="7"/>
  <c r="E13" i="6"/>
  <c r="F13" i="6"/>
  <c r="H13" i="6"/>
  <c r="J13" i="6"/>
  <c r="N13" i="6" s="1"/>
  <c r="E13" i="5"/>
  <c r="F13" i="5"/>
  <c r="H13" i="5"/>
  <c r="J13" i="5"/>
  <c r="C13" i="5"/>
  <c r="D13" i="4"/>
  <c r="E13" i="4"/>
  <c r="F13" i="4"/>
  <c r="H13" i="4"/>
  <c r="L13" i="4" s="1"/>
  <c r="J13" i="4"/>
  <c r="N13" i="4" s="1"/>
  <c r="K13" i="4"/>
  <c r="C13" i="4"/>
  <c r="E13" i="3"/>
  <c r="F13" i="3"/>
  <c r="H13" i="3"/>
  <c r="J13" i="3"/>
  <c r="F13" i="2"/>
  <c r="H13" i="2"/>
  <c r="J13" i="2"/>
  <c r="C13" i="2"/>
  <c r="P46" i="17" l="1"/>
  <c r="L46" i="17"/>
  <c r="N46" i="17"/>
  <c r="R46" i="17"/>
  <c r="L126" i="17"/>
  <c r="S45" i="17"/>
  <c r="D92" i="15"/>
  <c r="D99" i="17"/>
  <c r="L99" i="17" s="1"/>
  <c r="E73" i="17"/>
  <c r="E103" i="15"/>
  <c r="C30" i="16"/>
  <c r="C78" i="17"/>
  <c r="M86" i="2"/>
  <c r="I102" i="15"/>
  <c r="I46" i="17"/>
  <c r="M83" i="2"/>
  <c r="I45" i="17"/>
  <c r="M45" i="17" s="1"/>
  <c r="I90" i="15"/>
  <c r="E83" i="4"/>
  <c r="E86" i="4"/>
  <c r="D29" i="16"/>
  <c r="L29" i="16" s="1"/>
  <c r="D51" i="17"/>
  <c r="D93" i="3"/>
  <c r="M94" i="3"/>
  <c r="L93" i="3"/>
  <c r="M87" i="3"/>
  <c r="E93" i="2"/>
  <c r="M93" i="2"/>
  <c r="T192" i="17"/>
  <c r="T191" i="17"/>
  <c r="T190" i="17"/>
  <c r="T188" i="17"/>
  <c r="T187" i="17"/>
  <c r="T183" i="17"/>
  <c r="T182" i="17"/>
  <c r="T179" i="17"/>
  <c r="T178" i="17"/>
  <c r="T165" i="17"/>
  <c r="T164" i="17"/>
  <c r="T163" i="17"/>
  <c r="T161" i="17"/>
  <c r="T160" i="17"/>
  <c r="T156" i="17"/>
  <c r="T155" i="17"/>
  <c r="T152" i="17"/>
  <c r="T151" i="17"/>
  <c r="T138" i="17"/>
  <c r="T137" i="17"/>
  <c r="T136" i="17"/>
  <c r="T134" i="17"/>
  <c r="T133" i="17"/>
  <c r="T129" i="17"/>
  <c r="T128" i="17"/>
  <c r="T125" i="17"/>
  <c r="T124" i="17"/>
  <c r="T111" i="17"/>
  <c r="T110" i="17"/>
  <c r="T109" i="17"/>
  <c r="T107" i="17"/>
  <c r="T106" i="17"/>
  <c r="T102" i="17"/>
  <c r="T101" i="17"/>
  <c r="T98" i="17"/>
  <c r="T97" i="17"/>
  <c r="T84" i="17"/>
  <c r="T83" i="17"/>
  <c r="T82" i="17"/>
  <c r="T80" i="17"/>
  <c r="T79" i="17"/>
  <c r="T75" i="17"/>
  <c r="T74" i="17"/>
  <c r="T71" i="17"/>
  <c r="T70" i="17"/>
  <c r="T56" i="17"/>
  <c r="T55" i="17"/>
  <c r="T53" i="17"/>
  <c r="T52" i="17"/>
  <c r="T48" i="17"/>
  <c r="T47" i="17"/>
  <c r="T44" i="17"/>
  <c r="T43" i="17"/>
  <c r="B41" i="17"/>
  <c r="B68" i="17" s="1"/>
  <c r="B95" i="17" s="1"/>
  <c r="B122" i="17" s="1"/>
  <c r="B149" i="17" s="1"/>
  <c r="B176" i="17" s="1"/>
  <c r="B42" i="17"/>
  <c r="B69" i="17" s="1"/>
  <c r="B96" i="17" s="1"/>
  <c r="B123" i="17" s="1"/>
  <c r="B150" i="17" s="1"/>
  <c r="B177" i="17" s="1"/>
  <c r="B43" i="17"/>
  <c r="B70" i="17" s="1"/>
  <c r="B97" i="17" s="1"/>
  <c r="B124" i="17" s="1"/>
  <c r="B151" i="17" s="1"/>
  <c r="B178" i="17" s="1"/>
  <c r="B44" i="17"/>
  <c r="B71" i="17" s="1"/>
  <c r="B98" i="17" s="1"/>
  <c r="B125" i="17" s="1"/>
  <c r="B152" i="17" s="1"/>
  <c r="B179" i="17" s="1"/>
  <c r="B45" i="17"/>
  <c r="B72" i="17" s="1"/>
  <c r="B99" i="17" s="1"/>
  <c r="B126" i="17" s="1"/>
  <c r="B153" i="17" s="1"/>
  <c r="B180" i="17" s="1"/>
  <c r="B46" i="17"/>
  <c r="B73" i="17" s="1"/>
  <c r="B100" i="17" s="1"/>
  <c r="B127" i="17" s="1"/>
  <c r="B154" i="17" s="1"/>
  <c r="B181" i="17" s="1"/>
  <c r="B47" i="17"/>
  <c r="B74" i="17" s="1"/>
  <c r="B101" i="17" s="1"/>
  <c r="B128" i="17" s="1"/>
  <c r="B155" i="17" s="1"/>
  <c r="B182" i="17" s="1"/>
  <c r="B48" i="17"/>
  <c r="B75" i="17" s="1"/>
  <c r="B102" i="17" s="1"/>
  <c r="B129" i="17" s="1"/>
  <c r="B156" i="17" s="1"/>
  <c r="B183" i="17" s="1"/>
  <c r="B40" i="17"/>
  <c r="B67" i="17" s="1"/>
  <c r="B94" i="17" s="1"/>
  <c r="B121" i="17" s="1"/>
  <c r="B148" i="17" s="1"/>
  <c r="B175" i="17" s="1"/>
  <c r="J20" i="17"/>
  <c r="I20" i="17"/>
  <c r="H20" i="17"/>
  <c r="F20" i="17"/>
  <c r="E20" i="17"/>
  <c r="D20" i="17"/>
  <c r="C20" i="17"/>
  <c r="J72" i="17"/>
  <c r="H72" i="17"/>
  <c r="F72" i="17"/>
  <c r="N72" i="17" s="1"/>
  <c r="E72" i="17"/>
  <c r="D72" i="17"/>
  <c r="L72" i="17" s="1"/>
  <c r="C72" i="17"/>
  <c r="J175" i="17"/>
  <c r="H175" i="17"/>
  <c r="F175" i="17"/>
  <c r="J148" i="17"/>
  <c r="H148" i="17"/>
  <c r="F148" i="17"/>
  <c r="E148" i="17"/>
  <c r="J121" i="17"/>
  <c r="H121" i="17"/>
  <c r="F121" i="17"/>
  <c r="E121" i="17"/>
  <c r="C121" i="17"/>
  <c r="J94" i="17"/>
  <c r="H94" i="17"/>
  <c r="F94" i="17"/>
  <c r="E94" i="17"/>
  <c r="D94" i="17"/>
  <c r="C94" i="17"/>
  <c r="J67" i="17"/>
  <c r="H67" i="17"/>
  <c r="F67" i="17"/>
  <c r="E67" i="17"/>
  <c r="J40" i="17"/>
  <c r="H40" i="17"/>
  <c r="F40" i="17"/>
  <c r="C40" i="17"/>
  <c r="G13" i="17"/>
  <c r="A52" i="17"/>
  <c r="A79" i="17" s="1"/>
  <c r="A106" i="17" s="1"/>
  <c r="A133" i="17" s="1"/>
  <c r="A160" i="17" s="1"/>
  <c r="A187" i="17" s="1"/>
  <c r="A53" i="17"/>
  <c r="A80" i="17" s="1"/>
  <c r="A107" i="17" s="1"/>
  <c r="A134" i="17" s="1"/>
  <c r="A161" i="17" s="1"/>
  <c r="A188" i="17" s="1"/>
  <c r="A54" i="17"/>
  <c r="A81" i="17" s="1"/>
  <c r="A108" i="17" s="1"/>
  <c r="A135" i="17" s="1"/>
  <c r="A162" i="17" s="1"/>
  <c r="A189" i="17" s="1"/>
  <c r="A55" i="17"/>
  <c r="A82" i="17" s="1"/>
  <c r="A109" i="17" s="1"/>
  <c r="A136" i="17" s="1"/>
  <c r="A163" i="17" s="1"/>
  <c r="A190" i="17" s="1"/>
  <c r="A56" i="17"/>
  <c r="A83" i="17" s="1"/>
  <c r="A110" i="17" s="1"/>
  <c r="A137" i="17" s="1"/>
  <c r="A164" i="17" s="1"/>
  <c r="A191" i="17" s="1"/>
  <c r="A57" i="17"/>
  <c r="A84" i="17" s="1"/>
  <c r="A111" i="17" s="1"/>
  <c r="A138" i="17" s="1"/>
  <c r="A165" i="17" s="1"/>
  <c r="A192" i="17" s="1"/>
  <c r="A58" i="17"/>
  <c r="A85" i="17" s="1"/>
  <c r="A112" i="17" s="1"/>
  <c r="A139" i="17" s="1"/>
  <c r="A166" i="17" s="1"/>
  <c r="A193" i="17" s="1"/>
  <c r="A59" i="17"/>
  <c r="A86" i="17" s="1"/>
  <c r="A113" i="17" s="1"/>
  <c r="A140" i="17" s="1"/>
  <c r="A167" i="17" s="1"/>
  <c r="A194" i="17" s="1"/>
  <c r="A51" i="17"/>
  <c r="A78" i="17" s="1"/>
  <c r="A105" i="17" s="1"/>
  <c r="A132" i="17" s="1"/>
  <c r="A159" i="17" s="1"/>
  <c r="A186" i="17" s="1"/>
  <c r="B83" i="17"/>
  <c r="B110" i="17" s="1"/>
  <c r="B137" i="17" s="1"/>
  <c r="B164" i="17" s="1"/>
  <c r="B191" i="17" s="1"/>
  <c r="B82" i="17"/>
  <c r="B109" i="17" s="1"/>
  <c r="B136" i="17" s="1"/>
  <c r="B163" i="17" s="1"/>
  <c r="B190" i="17" s="1"/>
  <c r="B81" i="17"/>
  <c r="B108" i="17" s="1"/>
  <c r="B135" i="17" s="1"/>
  <c r="B162" i="17" s="1"/>
  <c r="B189" i="17" s="1"/>
  <c r="B80" i="17"/>
  <c r="B107" i="17" s="1"/>
  <c r="B134" i="17" s="1"/>
  <c r="B161" i="17" s="1"/>
  <c r="B188" i="17" s="1"/>
  <c r="B78" i="17"/>
  <c r="A37" i="15"/>
  <c r="A49" i="15"/>
  <c r="A61" i="15"/>
  <c r="A73" i="15"/>
  <c r="A85" i="15"/>
  <c r="B88" i="15"/>
  <c r="A97" i="15"/>
  <c r="A109" i="15"/>
  <c r="A121" i="15"/>
  <c r="A133" i="15"/>
  <c r="A145" i="15"/>
  <c r="J194" i="17"/>
  <c r="H194" i="17"/>
  <c r="F194" i="17"/>
  <c r="E194" i="17"/>
  <c r="D194" i="17"/>
  <c r="L194" i="17" s="1"/>
  <c r="C194" i="17"/>
  <c r="J167" i="17"/>
  <c r="I167" i="17"/>
  <c r="H167" i="17"/>
  <c r="F167" i="17"/>
  <c r="E167" i="17"/>
  <c r="D167" i="17"/>
  <c r="C167" i="17"/>
  <c r="J140" i="17"/>
  <c r="I140" i="17"/>
  <c r="H140" i="17"/>
  <c r="F140" i="17"/>
  <c r="N140" i="17" s="1"/>
  <c r="E140" i="17"/>
  <c r="M140" i="17" s="1"/>
  <c r="D140" i="17"/>
  <c r="L140" i="17" s="1"/>
  <c r="J113" i="17"/>
  <c r="I113" i="17"/>
  <c r="H113" i="17"/>
  <c r="F113" i="17"/>
  <c r="C113" i="17"/>
  <c r="J86" i="17"/>
  <c r="I86" i="17"/>
  <c r="H86" i="17"/>
  <c r="F86" i="17"/>
  <c r="N86" i="17" s="1"/>
  <c r="J59" i="17"/>
  <c r="I59" i="17"/>
  <c r="H59" i="17"/>
  <c r="F59" i="17"/>
  <c r="C59" i="17"/>
  <c r="J32" i="17"/>
  <c r="I32" i="17"/>
  <c r="H32" i="17"/>
  <c r="F32" i="17"/>
  <c r="N32" i="17" s="1"/>
  <c r="E32" i="17"/>
  <c r="C135" i="17"/>
  <c r="C159" i="17"/>
  <c r="J132" i="17"/>
  <c r="H132" i="17"/>
  <c r="F132" i="17"/>
  <c r="N132" i="17" s="1"/>
  <c r="E132" i="17"/>
  <c r="M132" i="17" s="1"/>
  <c r="D132" i="17"/>
  <c r="L132" i="17" s="1"/>
  <c r="G24" i="17"/>
  <c r="J1" i="17"/>
  <c r="C68" i="16"/>
  <c r="J130" i="16"/>
  <c r="H130" i="16"/>
  <c r="J129" i="16"/>
  <c r="I129" i="16"/>
  <c r="H129" i="16"/>
  <c r="J128" i="16"/>
  <c r="I128" i="16"/>
  <c r="H128" i="16"/>
  <c r="J127" i="16"/>
  <c r="I127" i="16"/>
  <c r="H127" i="16"/>
  <c r="J126" i="16"/>
  <c r="I126" i="16"/>
  <c r="H126" i="16"/>
  <c r="J125" i="16"/>
  <c r="I125" i="16"/>
  <c r="H125" i="16"/>
  <c r="J124" i="16"/>
  <c r="I124" i="16"/>
  <c r="H124" i="16"/>
  <c r="F130" i="16"/>
  <c r="N130" i="16" s="1"/>
  <c r="F129" i="16"/>
  <c r="N129" i="16" s="1"/>
  <c r="F128" i="16"/>
  <c r="N128" i="16" s="1"/>
  <c r="F127" i="16"/>
  <c r="F126" i="16"/>
  <c r="F125" i="16"/>
  <c r="F124" i="16"/>
  <c r="E130" i="16"/>
  <c r="D130" i="16"/>
  <c r="L130" i="16" s="1"/>
  <c r="E129" i="16"/>
  <c r="D129" i="16"/>
  <c r="E128" i="16"/>
  <c r="M128" i="16" s="1"/>
  <c r="D128" i="16"/>
  <c r="E124" i="16"/>
  <c r="A132" i="16"/>
  <c r="C130" i="16"/>
  <c r="C129" i="16"/>
  <c r="C127" i="16"/>
  <c r="C125" i="16"/>
  <c r="A120" i="16"/>
  <c r="B99" i="16"/>
  <c r="A108" i="16"/>
  <c r="A96" i="16"/>
  <c r="B87" i="16"/>
  <c r="B75" i="16"/>
  <c r="B63" i="16"/>
  <c r="A84" i="16"/>
  <c r="A72" i="16"/>
  <c r="A36" i="16"/>
  <c r="A48" i="16"/>
  <c r="A60" i="16"/>
  <c r="B51" i="16"/>
  <c r="B39" i="16"/>
  <c r="J32" i="16"/>
  <c r="H32" i="16"/>
  <c r="D32" i="16"/>
  <c r="L32" i="16" s="1"/>
  <c r="E32" i="16"/>
  <c r="M32" i="16" s="1"/>
  <c r="F32" i="16"/>
  <c r="N32" i="16" s="1"/>
  <c r="C33" i="16"/>
  <c r="B27" i="16"/>
  <c r="J142" i="16"/>
  <c r="I142" i="16"/>
  <c r="H142" i="16"/>
  <c r="F142" i="16"/>
  <c r="E142" i="16"/>
  <c r="M142" i="16" s="1"/>
  <c r="J141" i="16"/>
  <c r="I141" i="16"/>
  <c r="H141" i="16"/>
  <c r="F141" i="16"/>
  <c r="N141" i="16" s="1"/>
  <c r="E141" i="16"/>
  <c r="D141" i="16"/>
  <c r="J140" i="16"/>
  <c r="I140" i="16"/>
  <c r="H140" i="16"/>
  <c r="F140" i="16"/>
  <c r="N140" i="16" s="1"/>
  <c r="J139" i="16"/>
  <c r="I139" i="16"/>
  <c r="H139" i="16"/>
  <c r="F139" i="16"/>
  <c r="E139" i="16"/>
  <c r="D139" i="16"/>
  <c r="J138" i="16"/>
  <c r="I138" i="16"/>
  <c r="H138" i="16"/>
  <c r="F138" i="16"/>
  <c r="N138" i="16" s="1"/>
  <c r="J137" i="16"/>
  <c r="I137" i="16"/>
  <c r="H137" i="16"/>
  <c r="F137" i="16"/>
  <c r="N137" i="16" s="1"/>
  <c r="B135" i="16"/>
  <c r="B34" i="16"/>
  <c r="B46" i="16" s="1"/>
  <c r="B58" i="16" s="1"/>
  <c r="B70" i="16" s="1"/>
  <c r="B82" i="16" s="1"/>
  <c r="B94" i="16" s="1"/>
  <c r="B106" i="16" s="1"/>
  <c r="B118" i="16" s="1"/>
  <c r="B130" i="16" s="1"/>
  <c r="B142" i="16" s="1"/>
  <c r="B33" i="16"/>
  <c r="B45" i="16" s="1"/>
  <c r="B57" i="16" s="1"/>
  <c r="B69" i="16" s="1"/>
  <c r="B81" i="16" s="1"/>
  <c r="B93" i="16" s="1"/>
  <c r="B105" i="16" s="1"/>
  <c r="B117" i="16" s="1"/>
  <c r="B129" i="16" s="1"/>
  <c r="B141" i="16" s="1"/>
  <c r="B32" i="16"/>
  <c r="B44" i="16" s="1"/>
  <c r="B56" i="16" s="1"/>
  <c r="B68" i="16" s="1"/>
  <c r="B80" i="16" s="1"/>
  <c r="B92" i="16" s="1"/>
  <c r="B104" i="16" s="1"/>
  <c r="B116" i="16" s="1"/>
  <c r="B128" i="16" s="1"/>
  <c r="B140" i="16" s="1"/>
  <c r="B31" i="16"/>
  <c r="B43" i="16" s="1"/>
  <c r="B55" i="16" s="1"/>
  <c r="B67" i="16" s="1"/>
  <c r="B79" i="16" s="1"/>
  <c r="B91" i="16" s="1"/>
  <c r="B103" i="16" s="1"/>
  <c r="B115" i="16" s="1"/>
  <c r="B127" i="16" s="1"/>
  <c r="B139" i="16" s="1"/>
  <c r="B30" i="16"/>
  <c r="B42" i="16" s="1"/>
  <c r="B54" i="16" s="1"/>
  <c r="B66" i="16" s="1"/>
  <c r="B78" i="16" s="1"/>
  <c r="B90" i="16" s="1"/>
  <c r="B102" i="16" s="1"/>
  <c r="B114" i="16" s="1"/>
  <c r="B126" i="16" s="1"/>
  <c r="B138" i="16" s="1"/>
  <c r="B29" i="16"/>
  <c r="B41" i="16" s="1"/>
  <c r="B53" i="16" s="1"/>
  <c r="B65" i="16" s="1"/>
  <c r="B77" i="16" s="1"/>
  <c r="B89" i="16" s="1"/>
  <c r="B101" i="16" s="1"/>
  <c r="B113" i="16" s="1"/>
  <c r="B125" i="16" s="1"/>
  <c r="B137" i="16" s="1"/>
  <c r="G28" i="16"/>
  <c r="B28" i="16"/>
  <c r="B40" i="16" s="1"/>
  <c r="B52" i="16" s="1"/>
  <c r="B64" i="16" s="1"/>
  <c r="B76" i="16" s="1"/>
  <c r="B88" i="16" s="1"/>
  <c r="B100" i="16" s="1"/>
  <c r="B112" i="16" s="1"/>
  <c r="B124" i="16" s="1"/>
  <c r="B136" i="16" s="1"/>
  <c r="V23" i="16"/>
  <c r="T23" i="16"/>
  <c r="P8" i="16"/>
  <c r="J1" i="16"/>
  <c r="J40" i="10"/>
  <c r="N40" i="10" s="1"/>
  <c r="H40" i="10"/>
  <c r="L40" i="10" s="1"/>
  <c r="D40" i="10"/>
  <c r="M40" i="10" s="1"/>
  <c r="E40" i="10"/>
  <c r="F40" i="10"/>
  <c r="C40" i="10"/>
  <c r="J25" i="10"/>
  <c r="N25" i="10" s="1"/>
  <c r="F25" i="10"/>
  <c r="J14" i="10"/>
  <c r="N14" i="10" s="1"/>
  <c r="I14" i="10"/>
  <c r="H14" i="10"/>
  <c r="F14" i="10"/>
  <c r="C14" i="10"/>
  <c r="N167" i="17" l="1"/>
  <c r="N139" i="16"/>
  <c r="N127" i="16"/>
  <c r="N113" i="17"/>
  <c r="N94" i="17"/>
  <c r="N148" i="17"/>
  <c r="N121" i="17"/>
  <c r="N142" i="16"/>
  <c r="N194" i="17"/>
  <c r="N175" i="17"/>
  <c r="N126" i="16"/>
  <c r="N67" i="17"/>
  <c r="N125" i="16"/>
  <c r="N40" i="17"/>
  <c r="N124" i="16"/>
  <c r="M167" i="17"/>
  <c r="M129" i="16"/>
  <c r="P51" i="17"/>
  <c r="L51" i="17"/>
  <c r="S46" i="17"/>
  <c r="M124" i="16"/>
  <c r="L167" i="17"/>
  <c r="L129" i="16"/>
  <c r="L139" i="16"/>
  <c r="L94" i="17"/>
  <c r="P20" i="17"/>
  <c r="L20" i="17"/>
  <c r="M20" i="17"/>
  <c r="Q20" i="17"/>
  <c r="N59" i="17"/>
  <c r="C13" i="10"/>
  <c r="L14" i="10"/>
  <c r="M32" i="17"/>
  <c r="R32" i="17"/>
  <c r="M139" i="16"/>
  <c r="L141" i="16"/>
  <c r="M141" i="16"/>
  <c r="L128" i="16"/>
  <c r="E104" i="15"/>
  <c r="E100" i="17"/>
  <c r="E92" i="15"/>
  <c r="E99" i="17"/>
  <c r="M99" i="17" s="1"/>
  <c r="D30" i="16"/>
  <c r="L30" i="16" s="1"/>
  <c r="D78" i="17"/>
  <c r="E51" i="17"/>
  <c r="E29" i="16"/>
  <c r="M29" i="16" s="1"/>
  <c r="M93" i="3"/>
  <c r="E93" i="3"/>
  <c r="T94" i="2"/>
  <c r="A11" i="17"/>
  <c r="B105" i="17"/>
  <c r="B132" i="17" s="1"/>
  <c r="B159" i="17" s="1"/>
  <c r="B79" i="17"/>
  <c r="B106" i="17" s="1"/>
  <c r="B133" i="17" s="1"/>
  <c r="B160" i="17" s="1"/>
  <c r="B187" i="17" s="1"/>
  <c r="F132" i="16"/>
  <c r="H132" i="16"/>
  <c r="J132" i="16"/>
  <c r="H144" i="16"/>
  <c r="H21" i="16" s="1"/>
  <c r="I144" i="16"/>
  <c r="I21" i="16" s="1"/>
  <c r="J144" i="16"/>
  <c r="J21" i="16" s="1"/>
  <c r="F144" i="16"/>
  <c r="F48" i="4"/>
  <c r="J48" i="4"/>
  <c r="N48" i="4" s="1"/>
  <c r="H48" i="4"/>
  <c r="L48" i="4" s="1"/>
  <c r="N132" i="16" l="1"/>
  <c r="M51" i="17"/>
  <c r="Q51" i="17"/>
  <c r="R51" i="17"/>
  <c r="S51" i="17"/>
  <c r="F21" i="16"/>
  <c r="N21" i="16" s="1"/>
  <c r="N144" i="16"/>
  <c r="E30" i="16"/>
  <c r="M30" i="16" s="1"/>
  <c r="E78" i="17"/>
  <c r="T94" i="3"/>
  <c r="T93" i="2"/>
  <c r="B186" i="17"/>
  <c r="B84" i="17"/>
  <c r="B111" i="17" s="1"/>
  <c r="B138" i="17" s="1"/>
  <c r="E13" i="2"/>
  <c r="D95" i="7"/>
  <c r="E95" i="7"/>
  <c r="F95" i="7"/>
  <c r="J95" i="7"/>
  <c r="N95" i="7" s="1"/>
  <c r="C95" i="7"/>
  <c r="E99" i="7"/>
  <c r="E118" i="16" s="1"/>
  <c r="F99" i="7"/>
  <c r="H99" i="7"/>
  <c r="J99" i="7"/>
  <c r="N99" i="7" s="1"/>
  <c r="D103" i="6"/>
  <c r="D117" i="16" s="1"/>
  <c r="E103" i="6"/>
  <c r="H103" i="6"/>
  <c r="I103" i="6"/>
  <c r="M103" i="6" s="1"/>
  <c r="J103" i="6"/>
  <c r="N103" i="6" s="1"/>
  <c r="D29" i="6"/>
  <c r="E29" i="6"/>
  <c r="F29" i="6"/>
  <c r="H29" i="6"/>
  <c r="L29" i="6" s="1"/>
  <c r="J29" i="6"/>
  <c r="N29" i="6" s="1"/>
  <c r="C29" i="6"/>
  <c r="D33" i="6"/>
  <c r="F33" i="6"/>
  <c r="H33" i="6"/>
  <c r="L33" i="6" s="1"/>
  <c r="J33" i="6"/>
  <c r="N33" i="6" s="1"/>
  <c r="D41" i="6"/>
  <c r="E41" i="6"/>
  <c r="F41" i="6"/>
  <c r="H41" i="6"/>
  <c r="L41" i="6" s="1"/>
  <c r="I41" i="6"/>
  <c r="M41" i="6" s="1"/>
  <c r="J41" i="6"/>
  <c r="N41" i="6" s="1"/>
  <c r="D48" i="6"/>
  <c r="E48" i="6"/>
  <c r="F48" i="6"/>
  <c r="H48" i="6"/>
  <c r="L48" i="6" s="1"/>
  <c r="J48" i="6"/>
  <c r="N48" i="6" s="1"/>
  <c r="D66" i="6"/>
  <c r="E66" i="6"/>
  <c r="F66" i="6"/>
  <c r="J66" i="6"/>
  <c r="N66" i="6" s="1"/>
  <c r="E71" i="6"/>
  <c r="F71" i="6"/>
  <c r="H71" i="6"/>
  <c r="L71" i="6" s="1"/>
  <c r="J71" i="6"/>
  <c r="N71" i="6" s="1"/>
  <c r="D33" i="5"/>
  <c r="E33" i="5"/>
  <c r="F33" i="5"/>
  <c r="H33" i="5"/>
  <c r="L33" i="5" s="1"/>
  <c r="J33" i="5"/>
  <c r="N33" i="5" s="1"/>
  <c r="C33" i="5"/>
  <c r="E71" i="5"/>
  <c r="F71" i="5"/>
  <c r="H71" i="5"/>
  <c r="L71" i="5" s="1"/>
  <c r="J71" i="5"/>
  <c r="N71" i="5" s="1"/>
  <c r="D66" i="5"/>
  <c r="E66" i="5"/>
  <c r="F66" i="5"/>
  <c r="H66" i="5"/>
  <c r="L66" i="5" s="1"/>
  <c r="J66" i="5"/>
  <c r="N66" i="5" s="1"/>
  <c r="D48" i="5"/>
  <c r="E48" i="5"/>
  <c r="F48" i="5"/>
  <c r="H48" i="5"/>
  <c r="L48" i="5" s="1"/>
  <c r="J48" i="5"/>
  <c r="N48" i="5" s="1"/>
  <c r="C48" i="5"/>
  <c r="D41" i="5"/>
  <c r="E41" i="5"/>
  <c r="F41" i="5"/>
  <c r="H41" i="5"/>
  <c r="L41" i="5" s="1"/>
  <c r="J41" i="5"/>
  <c r="N41" i="5" s="1"/>
  <c r="C41" i="5"/>
  <c r="D29" i="5"/>
  <c r="D122" i="17" s="1"/>
  <c r="E29" i="5"/>
  <c r="E224" i="9" s="1"/>
  <c r="F29" i="5"/>
  <c r="H29" i="5"/>
  <c r="L29" i="5" s="1"/>
  <c r="J29" i="5"/>
  <c r="N29" i="5" s="1"/>
  <c r="C29" i="5"/>
  <c r="C45" i="15" s="1"/>
  <c r="F99" i="4"/>
  <c r="H99" i="4"/>
  <c r="L99" i="4" s="1"/>
  <c r="I99" i="4"/>
  <c r="M99" i="4" s="1"/>
  <c r="J99" i="4"/>
  <c r="N99" i="4" s="1"/>
  <c r="F71" i="4"/>
  <c r="F32" i="4" s="1"/>
  <c r="H71" i="4"/>
  <c r="L71" i="4" s="1"/>
  <c r="J71" i="4"/>
  <c r="N71" i="4" s="1"/>
  <c r="D41" i="4"/>
  <c r="E41" i="4"/>
  <c r="F41" i="4"/>
  <c r="H41" i="4"/>
  <c r="L41" i="4" s="1"/>
  <c r="J41" i="4"/>
  <c r="N41" i="4" s="1"/>
  <c r="J33" i="4"/>
  <c r="N33" i="4" s="1"/>
  <c r="H33" i="4"/>
  <c r="L33" i="4" s="1"/>
  <c r="E33" i="4"/>
  <c r="F33" i="4"/>
  <c r="J29" i="4"/>
  <c r="H29" i="4"/>
  <c r="L29" i="4" s="1"/>
  <c r="F29" i="4"/>
  <c r="C29" i="4"/>
  <c r="C44" i="15" s="1"/>
  <c r="J99" i="3"/>
  <c r="J102" i="3" s="1"/>
  <c r="I99" i="3"/>
  <c r="H99" i="3"/>
  <c r="H102" i="3" s="1"/>
  <c r="F99" i="3"/>
  <c r="J29" i="2"/>
  <c r="J41" i="17" s="1"/>
  <c r="H29" i="2"/>
  <c r="D29" i="2"/>
  <c r="D41" i="17" s="1"/>
  <c r="E29" i="2"/>
  <c r="E42" i="15" s="1"/>
  <c r="F29" i="2"/>
  <c r="F221" i="9" s="1"/>
  <c r="C29" i="2"/>
  <c r="C221" i="9" s="1"/>
  <c r="J99" i="2"/>
  <c r="I99" i="2"/>
  <c r="H99" i="2"/>
  <c r="F99" i="2"/>
  <c r="J71" i="2"/>
  <c r="H71" i="2"/>
  <c r="E71" i="2"/>
  <c r="F71" i="2"/>
  <c r="C71" i="2"/>
  <c r="J66" i="2"/>
  <c r="I66" i="2"/>
  <c r="H66" i="2"/>
  <c r="D66" i="2"/>
  <c r="E66" i="2"/>
  <c r="F66" i="2"/>
  <c r="C66" i="2"/>
  <c r="J48" i="2"/>
  <c r="J41" i="2"/>
  <c r="H41" i="2"/>
  <c r="E48" i="2"/>
  <c r="F48" i="2"/>
  <c r="C48" i="2"/>
  <c r="D41" i="2"/>
  <c r="E41" i="2"/>
  <c r="F41" i="2"/>
  <c r="C41" i="2"/>
  <c r="J34" i="3"/>
  <c r="H34" i="3"/>
  <c r="D34" i="3"/>
  <c r="F34" i="3"/>
  <c r="C34" i="3"/>
  <c r="F33" i="2"/>
  <c r="E33" i="2"/>
  <c r="D33" i="2"/>
  <c r="C33" i="2"/>
  <c r="J33" i="2"/>
  <c r="H33" i="2"/>
  <c r="J143" i="15"/>
  <c r="I143" i="15"/>
  <c r="H143" i="15"/>
  <c r="J142" i="15"/>
  <c r="I142" i="15"/>
  <c r="H142" i="15"/>
  <c r="J141" i="15"/>
  <c r="I141" i="15"/>
  <c r="H141" i="15"/>
  <c r="J140" i="15"/>
  <c r="I140" i="15"/>
  <c r="H140" i="15"/>
  <c r="J139" i="15"/>
  <c r="I139" i="15"/>
  <c r="H139" i="15"/>
  <c r="J138" i="15"/>
  <c r="I138" i="15"/>
  <c r="H138" i="15"/>
  <c r="F138" i="15"/>
  <c r="F139" i="15"/>
  <c r="D140" i="15"/>
  <c r="E140" i="15"/>
  <c r="F140" i="15"/>
  <c r="F141" i="15"/>
  <c r="D142" i="15"/>
  <c r="E142" i="15"/>
  <c r="F142" i="15"/>
  <c r="E143" i="15"/>
  <c r="F143" i="15"/>
  <c r="C113" i="15"/>
  <c r="C121" i="15" s="1"/>
  <c r="B136" i="15"/>
  <c r="D113" i="15"/>
  <c r="E113" i="15"/>
  <c r="F113" i="15"/>
  <c r="J91" i="15"/>
  <c r="H91" i="15"/>
  <c r="D91" i="15"/>
  <c r="E91" i="15"/>
  <c r="F91" i="15"/>
  <c r="C91" i="15"/>
  <c r="V24" i="15"/>
  <c r="T24" i="15"/>
  <c r="B124" i="15"/>
  <c r="J113" i="15"/>
  <c r="I113" i="15"/>
  <c r="H113" i="15"/>
  <c r="B112" i="15"/>
  <c r="B100" i="15"/>
  <c r="B76" i="15"/>
  <c r="B64" i="15"/>
  <c r="B52" i="15"/>
  <c r="B40" i="15"/>
  <c r="B28" i="15"/>
  <c r="G29" i="15"/>
  <c r="B29" i="15"/>
  <c r="B41" i="15" s="1"/>
  <c r="B53" i="15" s="1"/>
  <c r="B65" i="15" s="1"/>
  <c r="B77" i="15" s="1"/>
  <c r="B89" i="15" s="1"/>
  <c r="B101" i="15" s="1"/>
  <c r="B113" i="15" s="1"/>
  <c r="B125" i="15" s="1"/>
  <c r="B137" i="15" s="1"/>
  <c r="D46" i="15"/>
  <c r="J35" i="15"/>
  <c r="H35" i="15"/>
  <c r="F35" i="15"/>
  <c r="B47" i="15"/>
  <c r="B59" i="15" s="1"/>
  <c r="B71" i="15" s="1"/>
  <c r="B83" i="15" s="1"/>
  <c r="B95" i="15" s="1"/>
  <c r="B107" i="15" s="1"/>
  <c r="B119" i="15" s="1"/>
  <c r="B131" i="15" s="1"/>
  <c r="B143" i="15" s="1"/>
  <c r="J34" i="15"/>
  <c r="H34" i="15"/>
  <c r="F34" i="15"/>
  <c r="E34" i="15"/>
  <c r="B46" i="15"/>
  <c r="B58" i="15" s="1"/>
  <c r="B70" i="15" s="1"/>
  <c r="B82" i="15" s="1"/>
  <c r="B94" i="15" s="1"/>
  <c r="B106" i="15" s="1"/>
  <c r="B118" i="15" s="1"/>
  <c r="B130" i="15" s="1"/>
  <c r="B142" i="15" s="1"/>
  <c r="J33" i="15"/>
  <c r="H33" i="15"/>
  <c r="F33" i="15"/>
  <c r="E33" i="15"/>
  <c r="C33" i="15"/>
  <c r="B45" i="15"/>
  <c r="B57" i="15" s="1"/>
  <c r="B69" i="15" s="1"/>
  <c r="B81" i="15" s="1"/>
  <c r="B93" i="15" s="1"/>
  <c r="B105" i="15" s="1"/>
  <c r="B117" i="15" s="1"/>
  <c r="B129" i="15" s="1"/>
  <c r="B141" i="15" s="1"/>
  <c r="J32" i="15"/>
  <c r="H32" i="15"/>
  <c r="F32" i="15"/>
  <c r="E32" i="15"/>
  <c r="D32" i="15"/>
  <c r="C32" i="15"/>
  <c r="B44" i="15"/>
  <c r="B56" i="15" s="1"/>
  <c r="B68" i="15" s="1"/>
  <c r="B80" i="15" s="1"/>
  <c r="B92" i="15" s="1"/>
  <c r="B104" i="15" s="1"/>
  <c r="B116" i="15" s="1"/>
  <c r="B128" i="15" s="1"/>
  <c r="B140" i="15" s="1"/>
  <c r="J31" i="15"/>
  <c r="H31" i="15"/>
  <c r="F31" i="15"/>
  <c r="E31" i="15"/>
  <c r="B43" i="15"/>
  <c r="B55" i="15" s="1"/>
  <c r="B67" i="15" s="1"/>
  <c r="B79" i="15" s="1"/>
  <c r="B91" i="15" s="1"/>
  <c r="B103" i="15" s="1"/>
  <c r="B115" i="15" s="1"/>
  <c r="B127" i="15" s="1"/>
  <c r="B139" i="15" s="1"/>
  <c r="J30" i="15"/>
  <c r="H30" i="15"/>
  <c r="F30" i="15"/>
  <c r="C30" i="15"/>
  <c r="B42" i="15"/>
  <c r="B54" i="15" s="1"/>
  <c r="B66" i="15" s="1"/>
  <c r="B78" i="15" s="1"/>
  <c r="B90" i="15" s="1"/>
  <c r="B102" i="15" s="1"/>
  <c r="B114" i="15" s="1"/>
  <c r="B126" i="15" s="1"/>
  <c r="B138" i="15" s="1"/>
  <c r="J1" i="15"/>
  <c r="F213" i="9"/>
  <c r="H213" i="9"/>
  <c r="J213" i="9"/>
  <c r="E214" i="9"/>
  <c r="F214" i="9"/>
  <c r="H214" i="9"/>
  <c r="J214" i="9"/>
  <c r="D215" i="9"/>
  <c r="E215" i="9"/>
  <c r="F215" i="9"/>
  <c r="H215" i="9"/>
  <c r="J215" i="9"/>
  <c r="E216" i="9"/>
  <c r="F216" i="9"/>
  <c r="H216" i="9"/>
  <c r="J216" i="9"/>
  <c r="E217" i="9"/>
  <c r="F217" i="9"/>
  <c r="H217" i="9"/>
  <c r="J217" i="9"/>
  <c r="F218" i="9"/>
  <c r="H218" i="9"/>
  <c r="J218" i="9"/>
  <c r="C216" i="9"/>
  <c r="C215" i="9"/>
  <c r="C213" i="9"/>
  <c r="B218" i="9"/>
  <c r="B226" i="9" s="1"/>
  <c r="B234" i="9" s="1"/>
  <c r="B217" i="9"/>
  <c r="B225" i="9" s="1"/>
  <c r="B233" i="9" s="1"/>
  <c r="B216" i="9"/>
  <c r="B224" i="9" s="1"/>
  <c r="B232" i="9" s="1"/>
  <c r="B215" i="9"/>
  <c r="B223" i="9" s="1"/>
  <c r="B231" i="9" s="1"/>
  <c r="B214" i="9"/>
  <c r="B222" i="9" s="1"/>
  <c r="B230" i="9" s="1"/>
  <c r="B213" i="9"/>
  <c r="B221" i="9" s="1"/>
  <c r="B229" i="9" s="1"/>
  <c r="J44" i="15" l="1"/>
  <c r="N29" i="4"/>
  <c r="F32" i="6"/>
  <c r="F46" i="15"/>
  <c r="E117" i="16"/>
  <c r="M117" i="16" s="1"/>
  <c r="E106" i="6"/>
  <c r="H44" i="15"/>
  <c r="C42" i="15"/>
  <c r="F225" i="9"/>
  <c r="E149" i="17"/>
  <c r="H225" i="9"/>
  <c r="D224" i="9"/>
  <c r="D42" i="15"/>
  <c r="D221" i="9"/>
  <c r="J32" i="5"/>
  <c r="J89" i="5" s="1"/>
  <c r="N89" i="5" s="1"/>
  <c r="F89" i="6"/>
  <c r="F32" i="5"/>
  <c r="F123" i="17" s="1"/>
  <c r="J149" i="17"/>
  <c r="F102" i="3"/>
  <c r="C32" i="6"/>
  <c r="C150" i="17" s="1"/>
  <c r="F149" i="17"/>
  <c r="C224" i="9"/>
  <c r="J42" i="15"/>
  <c r="J221" i="9"/>
  <c r="J223" i="9"/>
  <c r="E32" i="6"/>
  <c r="E45" i="15"/>
  <c r="I102" i="3"/>
  <c r="E32" i="5"/>
  <c r="E123" i="17" s="1"/>
  <c r="E40" i="17"/>
  <c r="C41" i="17"/>
  <c r="P41" i="17" s="1"/>
  <c r="C32" i="5"/>
  <c r="C123" i="17" s="1"/>
  <c r="D45" i="15"/>
  <c r="H32" i="5"/>
  <c r="C189" i="17"/>
  <c r="C70" i="16"/>
  <c r="J193" i="17"/>
  <c r="E193" i="17"/>
  <c r="D70" i="16"/>
  <c r="D189" i="17"/>
  <c r="H193" i="17"/>
  <c r="F102" i="7"/>
  <c r="F70" i="16"/>
  <c r="F189" i="17"/>
  <c r="N118" i="16"/>
  <c r="F193" i="17"/>
  <c r="J102" i="7"/>
  <c r="N102" i="7" s="1"/>
  <c r="J189" i="17"/>
  <c r="J70" i="16"/>
  <c r="E102" i="7"/>
  <c r="E189" i="17"/>
  <c r="E70" i="16"/>
  <c r="I166" i="17"/>
  <c r="C225" i="9"/>
  <c r="C149" i="17"/>
  <c r="N117" i="16"/>
  <c r="J166" i="17"/>
  <c r="E166" i="17"/>
  <c r="J46" i="15"/>
  <c r="D225" i="9"/>
  <c r="D149" i="17"/>
  <c r="H166" i="17"/>
  <c r="L117" i="16"/>
  <c r="D166" i="17"/>
  <c r="E225" i="9"/>
  <c r="J225" i="9"/>
  <c r="E46" i="15"/>
  <c r="H46" i="15"/>
  <c r="H149" i="17"/>
  <c r="F166" i="17"/>
  <c r="N166" i="17" s="1"/>
  <c r="F45" i="15"/>
  <c r="F122" i="17"/>
  <c r="N122" i="17" s="1"/>
  <c r="J224" i="9"/>
  <c r="J122" i="17"/>
  <c r="E122" i="17"/>
  <c r="H45" i="15"/>
  <c r="H122" i="17"/>
  <c r="L122" i="17" s="1"/>
  <c r="H224" i="9"/>
  <c r="C122" i="17"/>
  <c r="C223" i="9"/>
  <c r="J95" i="17"/>
  <c r="C95" i="17"/>
  <c r="F44" i="15"/>
  <c r="F95" i="17"/>
  <c r="J112" i="17"/>
  <c r="H223" i="9"/>
  <c r="H95" i="17"/>
  <c r="N115" i="16"/>
  <c r="F112" i="17"/>
  <c r="I112" i="17"/>
  <c r="F223" i="9"/>
  <c r="H112" i="17"/>
  <c r="T93" i="3"/>
  <c r="J145" i="15"/>
  <c r="J36" i="11" s="1"/>
  <c r="F85" i="17"/>
  <c r="N85" i="17" s="1"/>
  <c r="E66" i="16"/>
  <c r="E81" i="17"/>
  <c r="M81" i="17" s="1"/>
  <c r="J66" i="16"/>
  <c r="J81" i="17"/>
  <c r="J85" i="17"/>
  <c r="D81" i="17"/>
  <c r="D66" i="16"/>
  <c r="C81" i="17"/>
  <c r="C66" i="16"/>
  <c r="H81" i="17"/>
  <c r="H66" i="16"/>
  <c r="H85" i="17"/>
  <c r="F81" i="17"/>
  <c r="N81" i="17" s="1"/>
  <c r="F66" i="16"/>
  <c r="N66" i="16" s="1"/>
  <c r="I81" i="17"/>
  <c r="I66" i="16"/>
  <c r="I85" i="17"/>
  <c r="H145" i="15"/>
  <c r="H22" i="15" s="1"/>
  <c r="F145" i="15"/>
  <c r="I145" i="15"/>
  <c r="I58" i="17"/>
  <c r="E221" i="9"/>
  <c r="E41" i="17"/>
  <c r="F58" i="17"/>
  <c r="J58" i="17"/>
  <c r="H221" i="9"/>
  <c r="H41" i="17"/>
  <c r="L41" i="17" s="1"/>
  <c r="H58" i="17"/>
  <c r="F42" i="15"/>
  <c r="F41" i="17"/>
  <c r="N41" i="17" s="1"/>
  <c r="F121" i="15"/>
  <c r="F20" i="15" s="1"/>
  <c r="F34" i="11" s="1"/>
  <c r="F219" i="9"/>
  <c r="H219" i="9"/>
  <c r="J219" i="9"/>
  <c r="I121" i="15"/>
  <c r="I20" i="15" s="1"/>
  <c r="I34" i="11" s="1"/>
  <c r="E121" i="15"/>
  <c r="E20" i="15" s="1"/>
  <c r="E34" i="11" s="1"/>
  <c r="H121" i="15"/>
  <c r="H20" i="15" s="1"/>
  <c r="H34" i="11" s="1"/>
  <c r="J121" i="15"/>
  <c r="J20" i="15" s="1"/>
  <c r="J34" i="11" s="1"/>
  <c r="D121" i="15"/>
  <c r="D20" i="15" s="1"/>
  <c r="D34" i="11" s="1"/>
  <c r="B165" i="17"/>
  <c r="C46" i="15"/>
  <c r="F224" i="9"/>
  <c r="J45" i="15"/>
  <c r="H42" i="15"/>
  <c r="C20" i="15"/>
  <c r="C34" i="11" s="1"/>
  <c r="E193" i="9"/>
  <c r="F193" i="9"/>
  <c r="D193" i="9"/>
  <c r="K179" i="9"/>
  <c r="O179" i="9"/>
  <c r="K180" i="9"/>
  <c r="O180" i="9"/>
  <c r="K181" i="9"/>
  <c r="O181" i="9"/>
  <c r="K182" i="9"/>
  <c r="O182" i="9"/>
  <c r="K183" i="9"/>
  <c r="O183" i="9"/>
  <c r="K184" i="9"/>
  <c r="O184" i="9"/>
  <c r="K194" i="9"/>
  <c r="O194" i="9"/>
  <c r="K195" i="9"/>
  <c r="O195" i="9"/>
  <c r="J187" i="9"/>
  <c r="K187" i="9"/>
  <c r="O187" i="9"/>
  <c r="J189" i="9"/>
  <c r="K189" i="9"/>
  <c r="O189" i="9"/>
  <c r="D189" i="9"/>
  <c r="E189" i="9"/>
  <c r="F189" i="9"/>
  <c r="G189" i="9"/>
  <c r="H189" i="9"/>
  <c r="C189" i="9"/>
  <c r="D187" i="9"/>
  <c r="E187" i="9"/>
  <c r="F187" i="9"/>
  <c r="G187" i="9"/>
  <c r="H187" i="9"/>
  <c r="C187" i="9"/>
  <c r="N112" i="17" l="1"/>
  <c r="N95" i="17"/>
  <c r="J150" i="17"/>
  <c r="J157" i="17" s="1"/>
  <c r="N32" i="6"/>
  <c r="N149" i="17"/>
  <c r="J123" i="17"/>
  <c r="N123" i="17" s="1"/>
  <c r="N32" i="5"/>
  <c r="N193" i="17"/>
  <c r="N189" i="17"/>
  <c r="N70" i="16"/>
  <c r="N114" i="16"/>
  <c r="N113" i="16"/>
  <c r="M166" i="17"/>
  <c r="M66" i="16"/>
  <c r="L166" i="17"/>
  <c r="L149" i="17"/>
  <c r="L66" i="16"/>
  <c r="L81" i="17"/>
  <c r="F150" i="17"/>
  <c r="H123" i="17"/>
  <c r="H130" i="17" s="1"/>
  <c r="L32" i="5"/>
  <c r="N58" i="17"/>
  <c r="R41" i="17"/>
  <c r="Q41" i="17"/>
  <c r="S41" i="17" s="1"/>
  <c r="R40" i="17"/>
  <c r="F130" i="17"/>
  <c r="J89" i="6"/>
  <c r="N89" i="6" s="1"/>
  <c r="F89" i="5"/>
  <c r="J195" i="17"/>
  <c r="J130" i="17"/>
  <c r="E89" i="5"/>
  <c r="C89" i="5"/>
  <c r="E150" i="17"/>
  <c r="E89" i="6"/>
  <c r="E130" i="17"/>
  <c r="C130" i="17"/>
  <c r="H89" i="5"/>
  <c r="L89" i="5" s="1"/>
  <c r="E195" i="17"/>
  <c r="F195" i="17"/>
  <c r="F87" i="17"/>
  <c r="I87" i="17"/>
  <c r="J87" i="17"/>
  <c r="H87" i="17"/>
  <c r="B192" i="17"/>
  <c r="H36" i="11"/>
  <c r="J22" i="15"/>
  <c r="I36" i="11"/>
  <c r="I22" i="15"/>
  <c r="F36" i="11"/>
  <c r="N36" i="11" s="1"/>
  <c r="F22" i="15"/>
  <c r="N130" i="17" l="1"/>
  <c r="N195" i="17"/>
  <c r="N87" i="17"/>
  <c r="N150" i="17"/>
  <c r="F157" i="17"/>
  <c r="N157" i="17" s="1"/>
  <c r="E157" i="17"/>
  <c r="B184" i="9"/>
  <c r="B191" i="9" s="1"/>
  <c r="B183" i="9"/>
  <c r="B190" i="9" s="1"/>
  <c r="B182" i="9"/>
  <c r="B189" i="9" s="1"/>
  <c r="B181" i="9"/>
  <c r="B188" i="9" s="1"/>
  <c r="B180" i="9"/>
  <c r="B187" i="9" s="1"/>
  <c r="B179" i="9"/>
  <c r="B186" i="9" s="1"/>
  <c r="T14" i="7" l="1"/>
  <c r="T16" i="7"/>
  <c r="T17" i="7"/>
  <c r="T18" i="7"/>
  <c r="T22" i="7"/>
  <c r="T24" i="7"/>
  <c r="T25" i="7"/>
  <c r="T26" i="7"/>
  <c r="T27" i="7"/>
  <c r="T28" i="7"/>
  <c r="T31" i="7"/>
  <c r="T35" i="7"/>
  <c r="T37" i="7"/>
  <c r="T38" i="7"/>
  <c r="T39" i="7"/>
  <c r="T40" i="7"/>
  <c r="T43" i="7"/>
  <c r="T44" i="7"/>
  <c r="T45" i="7"/>
  <c r="T47" i="7"/>
  <c r="T50" i="7"/>
  <c r="T51" i="7"/>
  <c r="T52" i="7"/>
  <c r="T53" i="7"/>
  <c r="T54" i="7"/>
  <c r="T55" i="7"/>
  <c r="T57" i="7"/>
  <c r="T59" i="7"/>
  <c r="T60" i="7"/>
  <c r="T61" i="7"/>
  <c r="T63" i="7"/>
  <c r="T65" i="7"/>
  <c r="T68" i="7"/>
  <c r="T70" i="7"/>
  <c r="T73" i="7"/>
  <c r="T75" i="7"/>
  <c r="T76" i="7"/>
  <c r="T77" i="7"/>
  <c r="T78" i="7"/>
  <c r="T79" i="7"/>
  <c r="T81" i="7"/>
  <c r="T82" i="7"/>
  <c r="T95" i="7"/>
  <c r="T96" i="7"/>
  <c r="J29" i="7"/>
  <c r="F29" i="7"/>
  <c r="J1" i="7"/>
  <c r="T14" i="6"/>
  <c r="T24" i="6"/>
  <c r="T25" i="6"/>
  <c r="T26" i="6"/>
  <c r="T27" i="6"/>
  <c r="T28" i="6"/>
  <c r="T31" i="6"/>
  <c r="T35" i="6"/>
  <c r="T37" i="6"/>
  <c r="T38" i="6"/>
  <c r="T39" i="6"/>
  <c r="T40" i="6"/>
  <c r="T43" i="6"/>
  <c r="T44" i="6"/>
  <c r="T45" i="6"/>
  <c r="T47" i="6"/>
  <c r="T50" i="6"/>
  <c r="T51" i="6"/>
  <c r="T52" i="6"/>
  <c r="T53" i="6"/>
  <c r="T54" i="6"/>
  <c r="T55" i="6"/>
  <c r="T57" i="6"/>
  <c r="T59" i="6"/>
  <c r="T60" i="6"/>
  <c r="T61" i="6"/>
  <c r="T63" i="6"/>
  <c r="T65" i="6"/>
  <c r="T68" i="6"/>
  <c r="T70" i="6"/>
  <c r="T73" i="6"/>
  <c r="T75" i="6"/>
  <c r="T76" i="6"/>
  <c r="T77" i="6"/>
  <c r="T78" i="6"/>
  <c r="T79" i="6"/>
  <c r="T81" i="6"/>
  <c r="T93" i="6"/>
  <c r="T94" i="6"/>
  <c r="J97" i="6"/>
  <c r="N97" i="6" s="1"/>
  <c r="J93" i="6"/>
  <c r="N93" i="6" s="1"/>
  <c r="F97" i="6"/>
  <c r="F93" i="6"/>
  <c r="J1" i="5"/>
  <c r="T14" i="5"/>
  <c r="T16" i="5"/>
  <c r="T24" i="5"/>
  <c r="T26" i="5"/>
  <c r="T35" i="5"/>
  <c r="T37" i="5"/>
  <c r="T38" i="5"/>
  <c r="T39" i="5"/>
  <c r="T40" i="5"/>
  <c r="T43" i="5"/>
  <c r="T44" i="5"/>
  <c r="T45" i="5"/>
  <c r="T47" i="5"/>
  <c r="T50" i="5"/>
  <c r="T51" i="5"/>
  <c r="T52" i="5"/>
  <c r="T54" i="5"/>
  <c r="T55" i="5"/>
  <c r="T57" i="5"/>
  <c r="T59" i="5"/>
  <c r="T60" i="5"/>
  <c r="T61" i="5"/>
  <c r="T63" i="5"/>
  <c r="T65" i="5"/>
  <c r="T68" i="5"/>
  <c r="T69" i="5"/>
  <c r="T70" i="5"/>
  <c r="T73" i="5"/>
  <c r="T75" i="5"/>
  <c r="T76" i="5"/>
  <c r="T77" i="5"/>
  <c r="T78" i="5"/>
  <c r="T79" i="5"/>
  <c r="T81" i="5"/>
  <c r="T96" i="5"/>
  <c r="F101" i="5"/>
  <c r="F95" i="5"/>
  <c r="J1" i="4"/>
  <c r="T14" i="4"/>
  <c r="T73" i="4"/>
  <c r="T75" i="4"/>
  <c r="J66" i="4"/>
  <c r="N66" i="4" s="1"/>
  <c r="T81" i="4"/>
  <c r="T79" i="4"/>
  <c r="T78" i="4"/>
  <c r="T77" i="4"/>
  <c r="T76" i="4"/>
  <c r="T70" i="4"/>
  <c r="T69" i="4"/>
  <c r="T68" i="4"/>
  <c r="T65" i="4"/>
  <c r="T63" i="4"/>
  <c r="T61" i="4"/>
  <c r="T60" i="4"/>
  <c r="T59" i="4"/>
  <c r="T57" i="4"/>
  <c r="T56" i="4"/>
  <c r="T55" i="4"/>
  <c r="T54" i="4"/>
  <c r="T53" i="4"/>
  <c r="T52" i="4"/>
  <c r="T51" i="4"/>
  <c r="T50" i="4"/>
  <c r="T47" i="4"/>
  <c r="T45" i="4"/>
  <c r="T44" i="4"/>
  <c r="T43" i="4"/>
  <c r="T40" i="4"/>
  <c r="T39" i="4"/>
  <c r="T38" i="4"/>
  <c r="T37" i="4"/>
  <c r="T35" i="4"/>
  <c r="T25" i="4"/>
  <c r="T24" i="4"/>
  <c r="T22" i="4"/>
  <c r="T18" i="4"/>
  <c r="T17" i="4"/>
  <c r="T97" i="3"/>
  <c r="T96" i="3"/>
  <c r="F95" i="4"/>
  <c r="F102" i="4" s="1"/>
  <c r="F66" i="4"/>
  <c r="F89" i="7" l="1"/>
  <c r="F5" i="7" s="1"/>
  <c r="F184" i="9" s="1"/>
  <c r="J89" i="7"/>
  <c r="C28" i="16"/>
  <c r="C24" i="17"/>
  <c r="F176" i="17"/>
  <c r="F226" i="9"/>
  <c r="F47" i="15"/>
  <c r="J177" i="17"/>
  <c r="J59" i="15"/>
  <c r="J234" i="9"/>
  <c r="F177" i="17"/>
  <c r="F234" i="9"/>
  <c r="F59" i="15"/>
  <c r="J176" i="17"/>
  <c r="J47" i="15"/>
  <c r="J226" i="9"/>
  <c r="F33" i="16"/>
  <c r="F159" i="17"/>
  <c r="J159" i="17"/>
  <c r="J33" i="16"/>
  <c r="F69" i="16"/>
  <c r="F162" i="17"/>
  <c r="J69" i="16"/>
  <c r="J162" i="17"/>
  <c r="F135" i="17"/>
  <c r="F68" i="16"/>
  <c r="F6" i="5"/>
  <c r="F139" i="17"/>
  <c r="F67" i="16"/>
  <c r="F108" i="17"/>
  <c r="J58" i="15"/>
  <c r="J233" i="9"/>
  <c r="F233" i="9"/>
  <c r="F58" i="15"/>
  <c r="F232" i="9"/>
  <c r="F57" i="15"/>
  <c r="J6" i="7"/>
  <c r="F6" i="7"/>
  <c r="N106" i="6"/>
  <c r="F106" i="6"/>
  <c r="F6" i="4"/>
  <c r="N162" i="17" l="1"/>
  <c r="N69" i="16"/>
  <c r="N159" i="17"/>
  <c r="N33" i="16"/>
  <c r="N177" i="17"/>
  <c r="N176" i="17"/>
  <c r="F114" i="17"/>
  <c r="J5" i="7"/>
  <c r="N5" i="7" s="1"/>
  <c r="N89" i="7"/>
  <c r="J168" i="17"/>
  <c r="F184" i="17"/>
  <c r="J184" i="17"/>
  <c r="F168" i="17"/>
  <c r="F141" i="17"/>
  <c r="F18" i="11"/>
  <c r="F96" i="17"/>
  <c r="F89" i="4"/>
  <c r="F5" i="4" s="1"/>
  <c r="F181" i="9" s="1"/>
  <c r="F7" i="7"/>
  <c r="N6" i="7"/>
  <c r="F231" i="9"/>
  <c r="F56" i="15"/>
  <c r="J5" i="6"/>
  <c r="F5" i="6"/>
  <c r="F183" i="9" s="1"/>
  <c r="F6" i="6"/>
  <c r="J6" i="6"/>
  <c r="F5" i="5"/>
  <c r="J7" i="7" l="1"/>
  <c r="J184" i="9"/>
  <c r="F170" i="17"/>
  <c r="N168" i="17"/>
  <c r="F143" i="17"/>
  <c r="F103" i="17"/>
  <c r="F116" i="17" s="1"/>
  <c r="F197" i="17"/>
  <c r="N184" i="17"/>
  <c r="J170" i="17"/>
  <c r="J197" i="17"/>
  <c r="J183" i="9"/>
  <c r="F7" i="6"/>
  <c r="F7" i="5"/>
  <c r="F182" i="9"/>
  <c r="F7" i="4"/>
  <c r="J7" i="6"/>
  <c r="N6" i="6"/>
  <c r="N13" i="3"/>
  <c r="K13" i="3"/>
  <c r="O13" i="3"/>
  <c r="N95" i="3"/>
  <c r="M95" i="3"/>
  <c r="T82" i="3"/>
  <c r="T80" i="3"/>
  <c r="T79" i="3"/>
  <c r="T78" i="3"/>
  <c r="T77" i="3"/>
  <c r="T76" i="3"/>
  <c r="T71" i="3"/>
  <c r="T70" i="3"/>
  <c r="T69" i="3"/>
  <c r="T66" i="3"/>
  <c r="T64" i="3"/>
  <c r="T62" i="3"/>
  <c r="T61" i="3"/>
  <c r="T60" i="3"/>
  <c r="T58" i="3"/>
  <c r="T57" i="3"/>
  <c r="T56" i="3"/>
  <c r="T55" i="3"/>
  <c r="T54" i="3"/>
  <c r="T53" i="3"/>
  <c r="T52" i="3"/>
  <c r="T48" i="3"/>
  <c r="T46" i="3"/>
  <c r="T45" i="3"/>
  <c r="T44" i="3"/>
  <c r="T41" i="3"/>
  <c r="T40" i="3"/>
  <c r="T39" i="3"/>
  <c r="T38" i="3"/>
  <c r="T36" i="3"/>
  <c r="T16" i="3"/>
  <c r="T18" i="3"/>
  <c r="T23" i="3"/>
  <c r="T25" i="3"/>
  <c r="T26" i="3"/>
  <c r="T29" i="3"/>
  <c r="L15" i="3"/>
  <c r="F42" i="3"/>
  <c r="J1" i="3"/>
  <c r="J1" i="2"/>
  <c r="J1" i="10"/>
  <c r="L82" i="3"/>
  <c r="M82" i="3"/>
  <c r="N82" i="3"/>
  <c r="N101" i="3"/>
  <c r="M101" i="3"/>
  <c r="L101" i="3"/>
  <c r="N97" i="3"/>
  <c r="M97" i="3"/>
  <c r="L97" i="3"/>
  <c r="N96" i="3"/>
  <c r="M96" i="3"/>
  <c r="L96" i="3"/>
  <c r="L84" i="3"/>
  <c r="L81" i="3"/>
  <c r="N80" i="3"/>
  <c r="M80" i="3"/>
  <c r="L80" i="3"/>
  <c r="N79" i="3"/>
  <c r="M79" i="3"/>
  <c r="L79" i="3"/>
  <c r="N78" i="3"/>
  <c r="M78" i="3"/>
  <c r="L78" i="3"/>
  <c r="N77" i="3"/>
  <c r="M77" i="3"/>
  <c r="L77" i="3"/>
  <c r="N76" i="3"/>
  <c r="M76" i="3"/>
  <c r="L76" i="3"/>
  <c r="N75" i="3"/>
  <c r="M75" i="3"/>
  <c r="L75" i="3"/>
  <c r="N74" i="3"/>
  <c r="M74" i="3"/>
  <c r="L74" i="3"/>
  <c r="L73" i="3"/>
  <c r="N71" i="3"/>
  <c r="M71" i="3"/>
  <c r="L71" i="3"/>
  <c r="N70" i="3"/>
  <c r="M70" i="3"/>
  <c r="L70" i="3"/>
  <c r="N69" i="3"/>
  <c r="M69" i="3"/>
  <c r="L69" i="3"/>
  <c r="N68" i="3"/>
  <c r="M68" i="3"/>
  <c r="L68" i="3"/>
  <c r="N67" i="3"/>
  <c r="M67" i="3"/>
  <c r="L67" i="3"/>
  <c r="N66" i="3"/>
  <c r="M66" i="3"/>
  <c r="L66" i="3"/>
  <c r="L65" i="3"/>
  <c r="N64" i="3"/>
  <c r="M64" i="3"/>
  <c r="L64" i="3"/>
  <c r="L63" i="3"/>
  <c r="N62" i="3"/>
  <c r="M62" i="3"/>
  <c r="L62" i="3"/>
  <c r="N61" i="3"/>
  <c r="M61" i="3"/>
  <c r="L61" i="3"/>
  <c r="N60" i="3"/>
  <c r="M60" i="3"/>
  <c r="L60" i="3"/>
  <c r="L59" i="3"/>
  <c r="N58" i="3"/>
  <c r="M58" i="3"/>
  <c r="L58" i="3"/>
  <c r="N57" i="3"/>
  <c r="M57" i="3"/>
  <c r="L57" i="3"/>
  <c r="N56" i="3"/>
  <c r="M56" i="3"/>
  <c r="L56" i="3"/>
  <c r="N55" i="3"/>
  <c r="M55" i="3"/>
  <c r="L55" i="3"/>
  <c r="N54" i="3"/>
  <c r="M54" i="3"/>
  <c r="L54" i="3"/>
  <c r="N53" i="3"/>
  <c r="M53" i="3"/>
  <c r="L53" i="3"/>
  <c r="N52" i="3"/>
  <c r="M52" i="3"/>
  <c r="L52" i="3"/>
  <c r="N51" i="3"/>
  <c r="M51" i="3"/>
  <c r="L51" i="3"/>
  <c r="L50" i="3"/>
  <c r="N48" i="3"/>
  <c r="M48" i="3"/>
  <c r="L48" i="3"/>
  <c r="L47" i="3"/>
  <c r="N46" i="3"/>
  <c r="M46" i="3"/>
  <c r="L46" i="3"/>
  <c r="N45" i="3"/>
  <c r="M45" i="3"/>
  <c r="L45" i="3"/>
  <c r="N44" i="3"/>
  <c r="M44" i="3"/>
  <c r="L44" i="3"/>
  <c r="N43" i="3"/>
  <c r="M43" i="3"/>
  <c r="L43" i="3"/>
  <c r="N41" i="3"/>
  <c r="M41" i="3"/>
  <c r="L41" i="3"/>
  <c r="N40" i="3"/>
  <c r="M40" i="3"/>
  <c r="L40" i="3"/>
  <c r="N39" i="3"/>
  <c r="M39" i="3"/>
  <c r="L39" i="3"/>
  <c r="N38" i="3"/>
  <c r="M38" i="3"/>
  <c r="L38" i="3"/>
  <c r="L37" i="3"/>
  <c r="N36" i="3"/>
  <c r="M36" i="3"/>
  <c r="L36" i="3"/>
  <c r="L35" i="3"/>
  <c r="L31" i="3"/>
  <c r="L28" i="3"/>
  <c r="N27" i="3"/>
  <c r="M27" i="3"/>
  <c r="L27" i="3"/>
  <c r="N26" i="3"/>
  <c r="M26" i="3"/>
  <c r="L26" i="3"/>
  <c r="N25" i="3"/>
  <c r="M25" i="3"/>
  <c r="L25" i="3"/>
  <c r="L24" i="3"/>
  <c r="N23" i="3"/>
  <c r="M23" i="3"/>
  <c r="L23" i="3"/>
  <c r="L22" i="3"/>
  <c r="N21" i="3"/>
  <c r="M21" i="3"/>
  <c r="L21" i="3"/>
  <c r="L20" i="3"/>
  <c r="N19" i="3"/>
  <c r="M19" i="3"/>
  <c r="L19" i="3"/>
  <c r="N18" i="3"/>
  <c r="M18" i="3"/>
  <c r="L18" i="3"/>
  <c r="L17" i="3"/>
  <c r="N16" i="3"/>
  <c r="M16" i="3"/>
  <c r="L16" i="3"/>
  <c r="F72" i="3"/>
  <c r="F49" i="3"/>
  <c r="V14" i="2"/>
  <c r="V24" i="2"/>
  <c r="V28" i="2"/>
  <c r="V31" i="2"/>
  <c r="V90" i="2"/>
  <c r="T32" i="10"/>
  <c r="T34" i="10"/>
  <c r="T95" i="10"/>
  <c r="T94" i="10"/>
  <c r="T93" i="10"/>
  <c r="T92" i="10"/>
  <c r="T91" i="10"/>
  <c r="T89" i="10"/>
  <c r="T86" i="10"/>
  <c r="T85" i="10"/>
  <c r="T84" i="10"/>
  <c r="T83" i="10"/>
  <c r="T82" i="10"/>
  <c r="T78" i="10"/>
  <c r="T74" i="10"/>
  <c r="T73" i="10"/>
  <c r="T68" i="10"/>
  <c r="T71" i="10"/>
  <c r="T70" i="10"/>
  <c r="T64" i="10"/>
  <c r="T62" i="10"/>
  <c r="T61" i="10"/>
  <c r="T60" i="10"/>
  <c r="T58" i="10"/>
  <c r="T57" i="10"/>
  <c r="T56" i="10"/>
  <c r="T54" i="10"/>
  <c r="T21" i="10"/>
  <c r="T22" i="10"/>
  <c r="T23" i="10"/>
  <c r="T24" i="10"/>
  <c r="T19" i="10"/>
  <c r="J76" i="10"/>
  <c r="N76" i="10" s="1"/>
  <c r="J72" i="10"/>
  <c r="N72" i="10" s="1"/>
  <c r="J67" i="10"/>
  <c r="N67" i="10" s="1"/>
  <c r="J50" i="10"/>
  <c r="J47" i="10"/>
  <c r="N47" i="10" s="1"/>
  <c r="J42" i="10"/>
  <c r="N42" i="10" s="1"/>
  <c r="J30" i="10"/>
  <c r="N30" i="10" s="1"/>
  <c r="F43" i="10"/>
  <c r="F42" i="10" s="1"/>
  <c r="F76" i="10"/>
  <c r="F72" i="10"/>
  <c r="F67" i="10"/>
  <c r="F50" i="10"/>
  <c r="F47" i="10"/>
  <c r="F30" i="10"/>
  <c r="N170" i="17" l="1"/>
  <c r="N197" i="17"/>
  <c r="J30" i="17"/>
  <c r="J100" i="16"/>
  <c r="J108" i="16" s="1"/>
  <c r="J19" i="16" s="1"/>
  <c r="J88" i="16"/>
  <c r="J96" i="16" s="1"/>
  <c r="J18" i="16" s="1"/>
  <c r="J29" i="17"/>
  <c r="F76" i="16"/>
  <c r="F28" i="17"/>
  <c r="F88" i="16"/>
  <c r="F29" i="17"/>
  <c r="J28" i="17"/>
  <c r="J76" i="16"/>
  <c r="J84" i="16" s="1"/>
  <c r="J17" i="16" s="1"/>
  <c r="F30" i="17"/>
  <c r="F100" i="16"/>
  <c r="F31" i="17"/>
  <c r="J31" i="17"/>
  <c r="J25" i="17"/>
  <c r="J40" i="16"/>
  <c r="J48" i="16" s="1"/>
  <c r="J14" i="16" s="1"/>
  <c r="F40" i="16"/>
  <c r="F25" i="17"/>
  <c r="N25" i="17" s="1"/>
  <c r="J64" i="16"/>
  <c r="J27" i="17"/>
  <c r="F27" i="17"/>
  <c r="N27" i="17" s="1"/>
  <c r="F64" i="16"/>
  <c r="L95" i="3"/>
  <c r="J13" i="10"/>
  <c r="N13" i="10" s="1"/>
  <c r="J39" i="10"/>
  <c r="N39" i="10" s="1"/>
  <c r="F13" i="10"/>
  <c r="F39" i="10"/>
  <c r="T81" i="2"/>
  <c r="T79" i="2"/>
  <c r="T78" i="2"/>
  <c r="T77" i="2"/>
  <c r="T76" i="2"/>
  <c r="T75" i="2"/>
  <c r="T73" i="2"/>
  <c r="T70" i="2"/>
  <c r="T69" i="2"/>
  <c r="T68" i="2"/>
  <c r="T65" i="2"/>
  <c r="T63" i="2"/>
  <c r="T61" i="2"/>
  <c r="T60" i="2"/>
  <c r="T59" i="2"/>
  <c r="T57" i="2"/>
  <c r="T56" i="2"/>
  <c r="T55" i="2"/>
  <c r="T54" i="2"/>
  <c r="T52" i="2"/>
  <c r="T51" i="2"/>
  <c r="T50" i="2"/>
  <c r="T47" i="2"/>
  <c r="T45" i="2"/>
  <c r="T44" i="2"/>
  <c r="T43" i="2"/>
  <c r="T39" i="2"/>
  <c r="T38" i="2"/>
  <c r="T37" i="2"/>
  <c r="T35" i="2"/>
  <c r="T17" i="2"/>
  <c r="T25" i="2"/>
  <c r="T26" i="2"/>
  <c r="T27" i="2"/>
  <c r="T158" i="9"/>
  <c r="T157" i="9"/>
  <c r="T156" i="9"/>
  <c r="T155" i="9"/>
  <c r="T154" i="9"/>
  <c r="T153" i="9"/>
  <c r="T152" i="9"/>
  <c r="T151" i="9"/>
  <c r="T150" i="9"/>
  <c r="T149" i="9"/>
  <c r="T148" i="9"/>
  <c r="T147" i="9"/>
  <c r="T143" i="9"/>
  <c r="T142" i="9"/>
  <c r="T140" i="9"/>
  <c r="T139" i="9"/>
  <c r="T138" i="9"/>
  <c r="T137" i="9"/>
  <c r="T136" i="9"/>
  <c r="T135" i="9"/>
  <c r="T131" i="9"/>
  <c r="T127" i="9"/>
  <c r="T123" i="9"/>
  <c r="T121" i="9"/>
  <c r="T115" i="9"/>
  <c r="T113" i="9"/>
  <c r="T111" i="9"/>
  <c r="T110" i="9"/>
  <c r="T109" i="9"/>
  <c r="T108" i="9"/>
  <c r="T107" i="9"/>
  <c r="T104" i="9"/>
  <c r="T103" i="9"/>
  <c r="T102" i="9"/>
  <c r="T101" i="9"/>
  <c r="T100" i="9"/>
  <c r="T99" i="9"/>
  <c r="T98" i="9"/>
  <c r="T97" i="9"/>
  <c r="T96" i="9"/>
  <c r="T95" i="9"/>
  <c r="T94" i="9"/>
  <c r="T91" i="9"/>
  <c r="T90" i="9"/>
  <c r="T89" i="9"/>
  <c r="T88" i="9"/>
  <c r="T87" i="9"/>
  <c r="T86" i="9"/>
  <c r="T85" i="9"/>
  <c r="T84" i="9"/>
  <c r="T83" i="9"/>
  <c r="T79" i="9"/>
  <c r="T77" i="9"/>
  <c r="T76" i="9"/>
  <c r="T75" i="9"/>
  <c r="T74" i="9"/>
  <c r="T73" i="9"/>
  <c r="T71" i="9"/>
  <c r="T69" i="9"/>
  <c r="T68" i="9"/>
  <c r="T66" i="9"/>
  <c r="T64" i="9"/>
  <c r="T63" i="9"/>
  <c r="T61" i="9"/>
  <c r="T59" i="9"/>
  <c r="T57" i="9"/>
  <c r="T55" i="9"/>
  <c r="T53" i="9"/>
  <c r="T52" i="9"/>
  <c r="T50" i="9"/>
  <c r="T49" i="9"/>
  <c r="T48" i="9"/>
  <c r="T46" i="9"/>
  <c r="T45" i="9"/>
  <c r="T43" i="9"/>
  <c r="T42" i="9"/>
  <c r="T41" i="9"/>
  <c r="T39" i="9"/>
  <c r="T38" i="9"/>
  <c r="T37" i="9"/>
  <c r="T35" i="9"/>
  <c r="T33" i="9"/>
  <c r="T17" i="9"/>
  <c r="V14" i="9"/>
  <c r="V24" i="9"/>
  <c r="V28" i="9"/>
  <c r="V31" i="9"/>
  <c r="V80" i="9"/>
  <c r="V119" i="9"/>
  <c r="V128" i="9"/>
  <c r="V134" i="9"/>
  <c r="V144" i="9"/>
  <c r="V167" i="9"/>
  <c r="N101" i="2"/>
  <c r="N81" i="2"/>
  <c r="N80" i="2"/>
  <c r="N79" i="2"/>
  <c r="N78" i="2"/>
  <c r="N77" i="2"/>
  <c r="N76" i="2"/>
  <c r="N75" i="2"/>
  <c r="N74" i="2"/>
  <c r="N73" i="2"/>
  <c r="N70" i="2"/>
  <c r="N69" i="2"/>
  <c r="N68" i="2"/>
  <c r="N67" i="2"/>
  <c r="N65" i="2"/>
  <c r="N63" i="2"/>
  <c r="N62" i="2"/>
  <c r="N61" i="2"/>
  <c r="N60" i="2"/>
  <c r="N59" i="2"/>
  <c r="N58" i="2"/>
  <c r="N57" i="2"/>
  <c r="N56" i="2"/>
  <c r="N55" i="2"/>
  <c r="N54" i="2"/>
  <c r="N52" i="2"/>
  <c r="N51" i="2"/>
  <c r="N50" i="2"/>
  <c r="N47" i="2"/>
  <c r="N45" i="2"/>
  <c r="N44" i="2"/>
  <c r="N43" i="2"/>
  <c r="N40" i="2"/>
  <c r="N39" i="2"/>
  <c r="N38" i="2"/>
  <c r="N37" i="2"/>
  <c r="N35" i="2"/>
  <c r="N34" i="2"/>
  <c r="N16" i="2"/>
  <c r="N17" i="2"/>
  <c r="N18" i="2"/>
  <c r="N19" i="2"/>
  <c r="N20" i="2"/>
  <c r="N21" i="2"/>
  <c r="N22" i="2"/>
  <c r="N23" i="2"/>
  <c r="N15" i="2"/>
  <c r="N72" i="2"/>
  <c r="N64" i="2"/>
  <c r="N53" i="2"/>
  <c r="N49" i="2"/>
  <c r="N46" i="2"/>
  <c r="N42" i="2"/>
  <c r="N36" i="2"/>
  <c r="N27" i="2"/>
  <c r="N26" i="2"/>
  <c r="N25" i="2"/>
  <c r="M101" i="2"/>
  <c r="M81" i="2"/>
  <c r="M80" i="2"/>
  <c r="M79" i="2"/>
  <c r="M78" i="2"/>
  <c r="M77" i="2"/>
  <c r="M76" i="2"/>
  <c r="M75" i="2"/>
  <c r="M74" i="2"/>
  <c r="M73" i="2"/>
  <c r="M70" i="2"/>
  <c r="M69" i="2"/>
  <c r="M68" i="2"/>
  <c r="M67" i="2"/>
  <c r="M65" i="2"/>
  <c r="M63" i="2"/>
  <c r="M62" i="2"/>
  <c r="M61" i="2"/>
  <c r="M60" i="2"/>
  <c r="M59" i="2"/>
  <c r="M58" i="2"/>
  <c r="M57" i="2"/>
  <c r="M56" i="2"/>
  <c r="M55" i="2"/>
  <c r="M54" i="2"/>
  <c r="M52" i="2"/>
  <c r="M51" i="2"/>
  <c r="M50" i="2"/>
  <c r="M47" i="2"/>
  <c r="M45" i="2"/>
  <c r="M44" i="2"/>
  <c r="M43" i="2"/>
  <c r="M40" i="2"/>
  <c r="M39" i="2"/>
  <c r="M38" i="2"/>
  <c r="M37" i="2"/>
  <c r="M35" i="2"/>
  <c r="M34" i="2"/>
  <c r="M27" i="2"/>
  <c r="M26" i="2"/>
  <c r="M25" i="2"/>
  <c r="M22" i="2"/>
  <c r="M20" i="2"/>
  <c r="M18" i="2"/>
  <c r="L101" i="2"/>
  <c r="L98" i="2"/>
  <c r="L97" i="2"/>
  <c r="L96" i="2"/>
  <c r="L81" i="2"/>
  <c r="L80" i="2"/>
  <c r="L79" i="2"/>
  <c r="L78" i="2"/>
  <c r="L77" i="2"/>
  <c r="L76" i="2"/>
  <c r="L75" i="2"/>
  <c r="L74" i="2"/>
  <c r="L73" i="2"/>
  <c r="L72" i="2"/>
  <c r="L70" i="2"/>
  <c r="L69" i="2"/>
  <c r="L68" i="2"/>
  <c r="L67" i="2"/>
  <c r="L65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0" i="2"/>
  <c r="L27" i="2"/>
  <c r="M16" i="2"/>
  <c r="M17" i="2"/>
  <c r="L20" i="2"/>
  <c r="L21" i="2"/>
  <c r="L22" i="2"/>
  <c r="L23" i="2"/>
  <c r="L25" i="2"/>
  <c r="L26" i="2"/>
  <c r="L16" i="2"/>
  <c r="L17" i="2"/>
  <c r="L18" i="2"/>
  <c r="L19" i="2"/>
  <c r="L15" i="2"/>
  <c r="F95" i="2"/>
  <c r="F102" i="2" s="1"/>
  <c r="R135" i="9"/>
  <c r="Q135" i="9"/>
  <c r="P135" i="9"/>
  <c r="R82" i="9"/>
  <c r="Q82" i="9"/>
  <c r="N166" i="9"/>
  <c r="N165" i="9"/>
  <c r="N164" i="9"/>
  <c r="N163" i="9"/>
  <c r="N162" i="9"/>
  <c r="N143" i="9"/>
  <c r="N142" i="9"/>
  <c r="N145" i="9"/>
  <c r="J129" i="9"/>
  <c r="N129" i="9" s="1"/>
  <c r="J120" i="9"/>
  <c r="N120" i="9" s="1"/>
  <c r="J106" i="9"/>
  <c r="N106" i="9" s="1"/>
  <c r="J81" i="9"/>
  <c r="N81" i="9" s="1"/>
  <c r="J32" i="9"/>
  <c r="N32" i="9" s="1"/>
  <c r="J29" i="9"/>
  <c r="J13" i="9"/>
  <c r="N13" i="9" s="1"/>
  <c r="F145" i="9"/>
  <c r="F129" i="9"/>
  <c r="F120" i="9"/>
  <c r="F106" i="9"/>
  <c r="F81" i="9"/>
  <c r="F32" i="9"/>
  <c r="F29" i="9"/>
  <c r="F13" i="9"/>
  <c r="N31" i="17" l="1"/>
  <c r="N29" i="17"/>
  <c r="N28" i="17"/>
  <c r="N64" i="16"/>
  <c r="S135" i="9"/>
  <c r="N30" i="17"/>
  <c r="F96" i="16"/>
  <c r="N88" i="16"/>
  <c r="F120" i="16"/>
  <c r="N112" i="16"/>
  <c r="F84" i="16"/>
  <c r="N76" i="16"/>
  <c r="F108" i="16"/>
  <c r="N100" i="16"/>
  <c r="F48" i="16"/>
  <c r="N40" i="16"/>
  <c r="J28" i="16"/>
  <c r="J36" i="16" s="1"/>
  <c r="J13" i="16" s="1"/>
  <c r="J24" i="17"/>
  <c r="J15" i="11"/>
  <c r="J14" i="11"/>
  <c r="J16" i="11"/>
  <c r="F28" i="16"/>
  <c r="F24" i="17"/>
  <c r="F52" i="16"/>
  <c r="F26" i="17"/>
  <c r="N26" i="17" s="1"/>
  <c r="J52" i="16"/>
  <c r="J60" i="16" s="1"/>
  <c r="J15" i="16" s="1"/>
  <c r="J26" i="17"/>
  <c r="J11" i="11"/>
  <c r="F54" i="17"/>
  <c r="F65" i="16"/>
  <c r="R29" i="9"/>
  <c r="F14" i="17"/>
  <c r="F41" i="15"/>
  <c r="R32" i="9"/>
  <c r="F15" i="17"/>
  <c r="F53" i="15"/>
  <c r="R13" i="9"/>
  <c r="F13" i="17"/>
  <c r="F29" i="15"/>
  <c r="F37" i="15" s="1"/>
  <c r="F13" i="15" s="1"/>
  <c r="F27" i="11" s="1"/>
  <c r="R106" i="9"/>
  <c r="F17" i="17"/>
  <c r="F77" i="15"/>
  <c r="J13" i="17"/>
  <c r="J29" i="15"/>
  <c r="J37" i="15" s="1"/>
  <c r="J13" i="15" s="1"/>
  <c r="J17" i="17"/>
  <c r="J77" i="15"/>
  <c r="Q113" i="15"/>
  <c r="Q121" i="15" s="1"/>
  <c r="F18" i="17"/>
  <c r="F89" i="15"/>
  <c r="F97" i="15" s="1"/>
  <c r="F18" i="15" s="1"/>
  <c r="F32" i="11" s="1"/>
  <c r="R20" i="17"/>
  <c r="S20" i="17" s="1"/>
  <c r="T20" i="17" s="1"/>
  <c r="R113" i="15"/>
  <c r="R121" i="15" s="1"/>
  <c r="J194" i="9"/>
  <c r="J18" i="17"/>
  <c r="J89" i="15"/>
  <c r="J97" i="15" s="1"/>
  <c r="J18" i="15" s="1"/>
  <c r="J15" i="17"/>
  <c r="J53" i="15"/>
  <c r="J19" i="17"/>
  <c r="J101" i="15"/>
  <c r="J14" i="17"/>
  <c r="J41" i="15"/>
  <c r="F19" i="17"/>
  <c r="F101" i="15"/>
  <c r="R81" i="9"/>
  <c r="F16" i="17"/>
  <c r="F65" i="15"/>
  <c r="F21" i="17"/>
  <c r="F125" i="15"/>
  <c r="J16" i="17"/>
  <c r="J65" i="15"/>
  <c r="J21" i="17"/>
  <c r="J125" i="15"/>
  <c r="P113" i="15"/>
  <c r="P121" i="15" s="1"/>
  <c r="J195" i="9"/>
  <c r="J197" i="9"/>
  <c r="R145" i="9"/>
  <c r="R21" i="17" s="1"/>
  <c r="F197" i="9"/>
  <c r="R120" i="9"/>
  <c r="F194" i="9"/>
  <c r="R129" i="9"/>
  <c r="F195" i="9"/>
  <c r="J96" i="10"/>
  <c r="F96" i="10"/>
  <c r="F9" i="10" s="1"/>
  <c r="F32" i="2"/>
  <c r="F42" i="17" s="1"/>
  <c r="J168" i="9"/>
  <c r="F168" i="9"/>
  <c r="N24" i="17" l="1"/>
  <c r="F33" i="17"/>
  <c r="N21" i="17"/>
  <c r="N19" i="17"/>
  <c r="N18" i="17"/>
  <c r="N17" i="17"/>
  <c r="N16" i="17"/>
  <c r="N15" i="17"/>
  <c r="N14" i="17"/>
  <c r="N13" i="17"/>
  <c r="F60" i="17"/>
  <c r="J9" i="10"/>
  <c r="F19" i="16"/>
  <c r="N108" i="16"/>
  <c r="F17" i="16"/>
  <c r="N84" i="16"/>
  <c r="F20" i="16"/>
  <c r="F60" i="16"/>
  <c r="N52" i="16"/>
  <c r="F36" i="16"/>
  <c r="N28" i="16"/>
  <c r="F72" i="16"/>
  <c r="F14" i="16"/>
  <c r="N48" i="16"/>
  <c r="F18" i="16"/>
  <c r="N96" i="16"/>
  <c r="J10" i="11"/>
  <c r="J12" i="11"/>
  <c r="J33" i="17"/>
  <c r="F49" i="17"/>
  <c r="F89" i="2"/>
  <c r="F5" i="2" s="1"/>
  <c r="F179" i="9" s="1"/>
  <c r="R16" i="17"/>
  <c r="R65" i="15"/>
  <c r="R73" i="15" s="1"/>
  <c r="R195" i="9"/>
  <c r="R19" i="17"/>
  <c r="R101" i="15"/>
  <c r="V135" i="9"/>
  <c r="S113" i="15"/>
  <c r="S121" i="15" s="1"/>
  <c r="J133" i="15"/>
  <c r="J21" i="15" s="1"/>
  <c r="F85" i="15"/>
  <c r="F17" i="15" s="1"/>
  <c r="F31" i="11" s="1"/>
  <c r="F22" i="17"/>
  <c r="R15" i="17"/>
  <c r="R53" i="15"/>
  <c r="R194" i="9"/>
  <c r="R18" i="17"/>
  <c r="R89" i="15"/>
  <c r="F133" i="15"/>
  <c r="F21" i="15" s="1"/>
  <c r="F35" i="11" s="1"/>
  <c r="J73" i="15"/>
  <c r="J16" i="15" s="1"/>
  <c r="F109" i="15"/>
  <c r="F19" i="15" s="1"/>
  <c r="F33" i="11" s="1"/>
  <c r="J109" i="15"/>
  <c r="J19" i="15" s="1"/>
  <c r="J32" i="11"/>
  <c r="N32" i="11" s="1"/>
  <c r="N18" i="15"/>
  <c r="J27" i="11"/>
  <c r="N27" i="11" s="1"/>
  <c r="N13" i="15"/>
  <c r="R17" i="17"/>
  <c r="R77" i="15"/>
  <c r="R85" i="15" s="1"/>
  <c r="R29" i="15"/>
  <c r="F73" i="15"/>
  <c r="F16" i="15" s="1"/>
  <c r="F30" i="11" s="1"/>
  <c r="J85" i="15"/>
  <c r="J17" i="15" s="1"/>
  <c r="J22" i="17"/>
  <c r="R14" i="17"/>
  <c r="R41" i="15"/>
  <c r="R197" i="9"/>
  <c r="R125" i="15"/>
  <c r="R133" i="15" s="1"/>
  <c r="F54" i="15"/>
  <c r="F229" i="9"/>
  <c r="J32" i="2"/>
  <c r="N13" i="2"/>
  <c r="F6" i="2"/>
  <c r="J9" i="9"/>
  <c r="F9" i="9"/>
  <c r="L30" i="9"/>
  <c r="I32" i="9"/>
  <c r="M32" i="9" s="1"/>
  <c r="H129" i="9"/>
  <c r="H120" i="9"/>
  <c r="H106" i="9"/>
  <c r="H81" i="9"/>
  <c r="L81" i="9" s="1"/>
  <c r="H32" i="9"/>
  <c r="H29" i="9"/>
  <c r="H13" i="9"/>
  <c r="L13" i="9" s="1"/>
  <c r="N33" i="17" l="1"/>
  <c r="F17" i="11"/>
  <c r="F14" i="11"/>
  <c r="N14" i="11" s="1"/>
  <c r="N17" i="16"/>
  <c r="F15" i="11"/>
  <c r="N15" i="11" s="1"/>
  <c r="N18" i="16"/>
  <c r="F16" i="16"/>
  <c r="F15" i="16"/>
  <c r="N60" i="16"/>
  <c r="F16" i="11"/>
  <c r="N16" i="11" s="1"/>
  <c r="N19" i="16"/>
  <c r="F13" i="16"/>
  <c r="N36" i="16"/>
  <c r="F11" i="11"/>
  <c r="N11" i="11" s="1"/>
  <c r="N14" i="16"/>
  <c r="F35" i="17"/>
  <c r="N22" i="17"/>
  <c r="F62" i="17"/>
  <c r="J35" i="17"/>
  <c r="J42" i="17"/>
  <c r="N42" i="17" s="1"/>
  <c r="J89" i="2"/>
  <c r="J35" i="11"/>
  <c r="N35" i="11" s="1"/>
  <c r="N21" i="15"/>
  <c r="H16" i="17"/>
  <c r="H65" i="15"/>
  <c r="I15" i="17"/>
  <c r="I53" i="15"/>
  <c r="J31" i="11"/>
  <c r="N31" i="11" s="1"/>
  <c r="N17" i="15"/>
  <c r="J33" i="11"/>
  <c r="N33" i="11" s="1"/>
  <c r="N19" i="15"/>
  <c r="N16" i="15"/>
  <c r="J30" i="11"/>
  <c r="N30" i="11" s="1"/>
  <c r="H13" i="17"/>
  <c r="H29" i="15"/>
  <c r="H37" i="15" s="1"/>
  <c r="H13" i="15" s="1"/>
  <c r="H14" i="17"/>
  <c r="H41" i="15"/>
  <c r="H194" i="9"/>
  <c r="H18" i="17"/>
  <c r="H89" i="15"/>
  <c r="H97" i="15" s="1"/>
  <c r="H18" i="15" s="1"/>
  <c r="H17" i="17"/>
  <c r="H77" i="15"/>
  <c r="H15" i="17"/>
  <c r="H53" i="15"/>
  <c r="H19" i="17"/>
  <c r="H101" i="15"/>
  <c r="J54" i="15"/>
  <c r="J229" i="9"/>
  <c r="H195" i="9"/>
  <c r="F7" i="2"/>
  <c r="E81" i="9"/>
  <c r="N35" i="17" l="1"/>
  <c r="F13" i="11"/>
  <c r="F10" i="11"/>
  <c r="N10" i="11" s="1"/>
  <c r="N13" i="16"/>
  <c r="F22" i="16"/>
  <c r="F12" i="11"/>
  <c r="N12" i="11" s="1"/>
  <c r="N15" i="16"/>
  <c r="J49" i="17"/>
  <c r="N49" i="17" s="1"/>
  <c r="H27" i="11"/>
  <c r="H73" i="15"/>
  <c r="H16" i="15" s="1"/>
  <c r="H109" i="15"/>
  <c r="H19" i="15" s="1"/>
  <c r="E16" i="17"/>
  <c r="E65" i="15"/>
  <c r="H85" i="15"/>
  <c r="H17" i="15" s="1"/>
  <c r="H32" i="11"/>
  <c r="E42" i="10"/>
  <c r="E30" i="10"/>
  <c r="I30" i="10"/>
  <c r="E47" i="10"/>
  <c r="E50" i="10"/>
  <c r="N50" i="10" s="1"/>
  <c r="E67" i="10"/>
  <c r="E72" i="10"/>
  <c r="E76" i="10"/>
  <c r="I76" i="10"/>
  <c r="C72" i="10"/>
  <c r="H72" i="10"/>
  <c r="L72" i="10" s="1"/>
  <c r="I72" i="10"/>
  <c r="H67" i="10"/>
  <c r="D67" i="10"/>
  <c r="I67" i="10"/>
  <c r="I50" i="10"/>
  <c r="C47" i="10"/>
  <c r="L47" i="10" s="1"/>
  <c r="I47" i="10"/>
  <c r="H43" i="10"/>
  <c r="I42" i="10"/>
  <c r="H76" i="10"/>
  <c r="L76" i="10" s="1"/>
  <c r="M67" i="10" l="1"/>
  <c r="H42" i="10"/>
  <c r="L43" i="10"/>
  <c r="F9" i="16"/>
  <c r="F19" i="11"/>
  <c r="I31" i="17"/>
  <c r="I76" i="16"/>
  <c r="I84" i="16" s="1"/>
  <c r="I17" i="16" s="1"/>
  <c r="I14" i="11" s="1"/>
  <c r="I28" i="17"/>
  <c r="I88" i="16"/>
  <c r="I96" i="16" s="1"/>
  <c r="I18" i="16" s="1"/>
  <c r="I15" i="11" s="1"/>
  <c r="I29" i="17"/>
  <c r="I30" i="17"/>
  <c r="I100" i="16"/>
  <c r="I108" i="16" s="1"/>
  <c r="I19" i="16" s="1"/>
  <c r="I16" i="11" s="1"/>
  <c r="H31" i="17"/>
  <c r="H100" i="16"/>
  <c r="H108" i="16" s="1"/>
  <c r="H19" i="16" s="1"/>
  <c r="H16" i="11" s="1"/>
  <c r="H30" i="17"/>
  <c r="H88" i="16"/>
  <c r="H96" i="16" s="1"/>
  <c r="H18" i="16" s="1"/>
  <c r="H15" i="11" s="1"/>
  <c r="H29" i="17"/>
  <c r="H76" i="16"/>
  <c r="H84" i="16" s="1"/>
  <c r="H17" i="16" s="1"/>
  <c r="H14" i="11" s="1"/>
  <c r="H28" i="17"/>
  <c r="I40" i="16"/>
  <c r="I48" i="16" s="1"/>
  <c r="I14" i="16" s="1"/>
  <c r="I11" i="11" s="1"/>
  <c r="I25" i="17"/>
  <c r="I64" i="16"/>
  <c r="I27" i="17"/>
  <c r="E112" i="16"/>
  <c r="E31" i="17"/>
  <c r="E30" i="17"/>
  <c r="E100" i="16"/>
  <c r="E29" i="17"/>
  <c r="E88" i="16"/>
  <c r="E76" i="16"/>
  <c r="E28" i="17"/>
  <c r="E27" i="17"/>
  <c r="E64" i="16"/>
  <c r="E40" i="16"/>
  <c r="E25" i="17"/>
  <c r="D76" i="16"/>
  <c r="D28" i="17"/>
  <c r="C88" i="16"/>
  <c r="C96" i="16" s="1"/>
  <c r="C18" i="16" s="1"/>
  <c r="C15" i="11" s="1"/>
  <c r="C29" i="17"/>
  <c r="H33" i="11"/>
  <c r="E73" i="15"/>
  <c r="E16" i="15" s="1"/>
  <c r="E30" i="11" s="1"/>
  <c r="H31" i="11"/>
  <c r="H30" i="11"/>
  <c r="H13" i="10"/>
  <c r="L13" i="10" s="1"/>
  <c r="H50" i="10"/>
  <c r="H30" i="10"/>
  <c r="I13" i="10"/>
  <c r="E39" i="10"/>
  <c r="E13" i="10"/>
  <c r="M112" i="16" l="1"/>
  <c r="M30" i="17"/>
  <c r="R30" i="17"/>
  <c r="M29" i="17"/>
  <c r="R29" i="17"/>
  <c r="R27" i="17"/>
  <c r="M27" i="17"/>
  <c r="M28" i="17"/>
  <c r="R28" i="17"/>
  <c r="Q28" i="17"/>
  <c r="L28" i="17"/>
  <c r="R25" i="17"/>
  <c r="M25" i="17"/>
  <c r="R31" i="17"/>
  <c r="M31" i="17"/>
  <c r="E96" i="16"/>
  <c r="M88" i="16"/>
  <c r="D84" i="16"/>
  <c r="L76" i="16"/>
  <c r="E108" i="16"/>
  <c r="M100" i="16"/>
  <c r="E84" i="16"/>
  <c r="M76" i="16"/>
  <c r="E48" i="16"/>
  <c r="M40" i="16"/>
  <c r="M64" i="16"/>
  <c r="H27" i="17"/>
  <c r="H64" i="16"/>
  <c r="H39" i="10"/>
  <c r="H52" i="16" s="1"/>
  <c r="H60" i="16" s="1"/>
  <c r="H15" i="16" s="1"/>
  <c r="H12" i="11" s="1"/>
  <c r="H40" i="16"/>
  <c r="H48" i="16" s="1"/>
  <c r="H14" i="16" s="1"/>
  <c r="H11" i="11" s="1"/>
  <c r="H25" i="17"/>
  <c r="H24" i="17"/>
  <c r="H28" i="16"/>
  <c r="I28" i="16"/>
  <c r="I24" i="17"/>
  <c r="E24" i="17"/>
  <c r="E28" i="16"/>
  <c r="E26" i="17"/>
  <c r="E52" i="16"/>
  <c r="E96" i="10"/>
  <c r="N96" i="10" s="1"/>
  <c r="E29" i="7"/>
  <c r="E13" i="7"/>
  <c r="E97" i="6"/>
  <c r="E93" i="6"/>
  <c r="E95" i="5"/>
  <c r="E71" i="4"/>
  <c r="E66" i="4"/>
  <c r="E48" i="4"/>
  <c r="E72" i="3"/>
  <c r="E49" i="3"/>
  <c r="D48" i="2"/>
  <c r="M28" i="16" l="1"/>
  <c r="R26" i="17"/>
  <c r="R24" i="17"/>
  <c r="M24" i="17"/>
  <c r="E17" i="16"/>
  <c r="M84" i="16"/>
  <c r="D17" i="16"/>
  <c r="L84" i="16"/>
  <c r="E19" i="16"/>
  <c r="M108" i="16"/>
  <c r="E60" i="16"/>
  <c r="E14" i="16"/>
  <c r="M48" i="16"/>
  <c r="E18" i="16"/>
  <c r="M96" i="16"/>
  <c r="H96" i="10"/>
  <c r="H9" i="10" s="1"/>
  <c r="H26" i="17"/>
  <c r="H33" i="17" s="1"/>
  <c r="E33" i="17"/>
  <c r="E175" i="17"/>
  <c r="E35" i="15"/>
  <c r="E218" i="9"/>
  <c r="N29" i="7"/>
  <c r="E176" i="17"/>
  <c r="E47" i="15"/>
  <c r="E226" i="9"/>
  <c r="E69" i="16"/>
  <c r="E162" i="17"/>
  <c r="E159" i="17"/>
  <c r="E33" i="16"/>
  <c r="E135" i="17"/>
  <c r="E68" i="16"/>
  <c r="E213" i="9"/>
  <c r="E30" i="15"/>
  <c r="E233" i="9"/>
  <c r="E58" i="15"/>
  <c r="E232" i="9"/>
  <c r="E57" i="15"/>
  <c r="N13" i="7"/>
  <c r="E32" i="4"/>
  <c r="E96" i="17" s="1"/>
  <c r="N41" i="2"/>
  <c r="N66" i="2"/>
  <c r="N71" i="2"/>
  <c r="N33" i="2"/>
  <c r="E9" i="10"/>
  <c r="N9" i="10" s="1"/>
  <c r="E89" i="7"/>
  <c r="L17" i="16" l="1"/>
  <c r="D14" i="11"/>
  <c r="L14" i="11" s="1"/>
  <c r="E36" i="16"/>
  <c r="E15" i="16"/>
  <c r="M19" i="16"/>
  <c r="E16" i="11"/>
  <c r="R19" i="16"/>
  <c r="R16" i="11" s="1"/>
  <c r="M18" i="16"/>
  <c r="R18" i="16"/>
  <c r="R15" i="11" s="1"/>
  <c r="E15" i="11"/>
  <c r="M14" i="16"/>
  <c r="R14" i="16"/>
  <c r="R11" i="11" s="1"/>
  <c r="E11" i="11"/>
  <c r="M17" i="16"/>
  <c r="E14" i="11"/>
  <c r="R17" i="16"/>
  <c r="R14" i="11" s="1"/>
  <c r="E168" i="17"/>
  <c r="E177" i="17"/>
  <c r="E59" i="15"/>
  <c r="E234" i="9"/>
  <c r="E219" i="9"/>
  <c r="E140" i="16"/>
  <c r="M140" i="16" s="1"/>
  <c r="E141" i="15"/>
  <c r="E6" i="7"/>
  <c r="E56" i="15"/>
  <c r="E231" i="9"/>
  <c r="N32" i="7"/>
  <c r="E6" i="6"/>
  <c r="E5" i="6"/>
  <c r="E116" i="16"/>
  <c r="E5" i="5"/>
  <c r="E95" i="4"/>
  <c r="N48" i="2"/>
  <c r="E95" i="2"/>
  <c r="E32" i="2"/>
  <c r="E183" i="9" l="1"/>
  <c r="N5" i="6"/>
  <c r="E170" i="17"/>
  <c r="R15" i="16"/>
  <c r="R12" i="11" s="1"/>
  <c r="E12" i="11"/>
  <c r="E13" i="16"/>
  <c r="E184" i="17"/>
  <c r="E42" i="17"/>
  <c r="E89" i="2"/>
  <c r="E139" i="17"/>
  <c r="E67" i="16"/>
  <c r="E108" i="17"/>
  <c r="E54" i="17"/>
  <c r="E65" i="16"/>
  <c r="E5" i="7"/>
  <c r="E184" i="9" s="1"/>
  <c r="E182" i="9"/>
  <c r="E54" i="15"/>
  <c r="E229" i="9"/>
  <c r="E7" i="6"/>
  <c r="E6" i="5"/>
  <c r="E7" i="5" s="1"/>
  <c r="N32" i="2"/>
  <c r="I66" i="6"/>
  <c r="M66" i="6" s="1"/>
  <c r="I71" i="6"/>
  <c r="M71" i="6" s="1"/>
  <c r="I41" i="4"/>
  <c r="M41" i="4" s="1"/>
  <c r="M65" i="3"/>
  <c r="M63" i="3"/>
  <c r="M50" i="3"/>
  <c r="M73" i="3"/>
  <c r="I53" i="4"/>
  <c r="I71" i="2"/>
  <c r="M64" i="2"/>
  <c r="M53" i="2"/>
  <c r="M46" i="2"/>
  <c r="I66" i="5"/>
  <c r="M66" i="5" s="1"/>
  <c r="E141" i="17" l="1"/>
  <c r="E143" i="17" s="1"/>
  <c r="R54" i="17"/>
  <c r="R42" i="17"/>
  <c r="E10" i="11"/>
  <c r="R13" i="16"/>
  <c r="R10" i="11" s="1"/>
  <c r="E197" i="17"/>
  <c r="I71" i="5"/>
  <c r="M71" i="5" s="1"/>
  <c r="I71" i="4"/>
  <c r="E49" i="17"/>
  <c r="H66" i="6"/>
  <c r="I33" i="6"/>
  <c r="M33" i="6" s="1"/>
  <c r="I48" i="6"/>
  <c r="M48" i="6" s="1"/>
  <c r="I41" i="5"/>
  <c r="M41" i="5" s="1"/>
  <c r="I33" i="5"/>
  <c r="M33" i="5" s="1"/>
  <c r="I48" i="5"/>
  <c r="M48" i="5" s="1"/>
  <c r="I189" i="9"/>
  <c r="E72" i="16"/>
  <c r="I48" i="4"/>
  <c r="I33" i="4"/>
  <c r="M33" i="4" s="1"/>
  <c r="M35" i="3"/>
  <c r="I34" i="3"/>
  <c r="I72" i="17"/>
  <c r="M72" i="17" s="1"/>
  <c r="I91" i="15"/>
  <c r="I187" i="9"/>
  <c r="M49" i="2"/>
  <c r="I48" i="2"/>
  <c r="M42" i="2"/>
  <c r="I41" i="2"/>
  <c r="M36" i="2"/>
  <c r="I33" i="2"/>
  <c r="E7" i="7"/>
  <c r="I66" i="4"/>
  <c r="M66" i="4" s="1"/>
  <c r="N84" i="3"/>
  <c r="M84" i="3"/>
  <c r="N37" i="3"/>
  <c r="M37" i="3"/>
  <c r="N59" i="3"/>
  <c r="M59" i="3"/>
  <c r="N81" i="3"/>
  <c r="N35" i="3"/>
  <c r="N63" i="3"/>
  <c r="N65" i="3"/>
  <c r="E5" i="2"/>
  <c r="E179" i="9" s="1"/>
  <c r="I42" i="3"/>
  <c r="I72" i="3"/>
  <c r="I49" i="3"/>
  <c r="I81" i="9"/>
  <c r="H48" i="2"/>
  <c r="H32" i="6" l="1"/>
  <c r="L32" i="6" s="1"/>
  <c r="L66" i="6"/>
  <c r="E16" i="16"/>
  <c r="R16" i="16" s="1"/>
  <c r="R13" i="11" s="1"/>
  <c r="I32" i="6"/>
  <c r="H150" i="17"/>
  <c r="H157" i="17" s="1"/>
  <c r="I177" i="17"/>
  <c r="M177" i="17" s="1"/>
  <c r="I234" i="9"/>
  <c r="I59" i="15"/>
  <c r="I32" i="5"/>
  <c r="I32" i="4"/>
  <c r="I16" i="17"/>
  <c r="M16" i="17" s="1"/>
  <c r="I65" i="15"/>
  <c r="J72" i="3"/>
  <c r="N72" i="3" s="1"/>
  <c r="N73" i="3"/>
  <c r="J49" i="3"/>
  <c r="N49" i="3" s="1"/>
  <c r="N50" i="3"/>
  <c r="N34" i="3"/>
  <c r="J42" i="3"/>
  <c r="L64" i="2"/>
  <c r="I33" i="3"/>
  <c r="I69" i="17" s="1"/>
  <c r="I129" i="9"/>
  <c r="M129" i="9" s="1"/>
  <c r="I106" i="9"/>
  <c r="I120" i="9"/>
  <c r="M120" i="9" s="1"/>
  <c r="I32" i="2"/>
  <c r="I42" i="17" s="1"/>
  <c r="M42" i="17" s="1"/>
  <c r="I96" i="5"/>
  <c r="I29" i="4"/>
  <c r="M29" i="4" s="1"/>
  <c r="M22" i="3"/>
  <c r="M20" i="3"/>
  <c r="M17" i="3"/>
  <c r="M21" i="2"/>
  <c r="I29" i="2"/>
  <c r="M23" i="2"/>
  <c r="M19" i="2"/>
  <c r="H89" i="6" l="1"/>
  <c r="I150" i="17"/>
  <c r="M150" i="17" s="1"/>
  <c r="I123" i="17"/>
  <c r="M123" i="17" s="1"/>
  <c r="I96" i="17"/>
  <c r="M96" i="17" s="1"/>
  <c r="E13" i="11"/>
  <c r="I57" i="15"/>
  <c r="I58" i="15"/>
  <c r="I233" i="9"/>
  <c r="I13" i="6"/>
  <c r="I232" i="9"/>
  <c r="I13" i="7"/>
  <c r="I194" i="17"/>
  <c r="M194" i="17" s="1"/>
  <c r="I130" i="16"/>
  <c r="M130" i="16" s="1"/>
  <c r="I99" i="7"/>
  <c r="M99" i="7" s="1"/>
  <c r="I29" i="6"/>
  <c r="M29" i="6" s="1"/>
  <c r="I13" i="5"/>
  <c r="I29" i="5"/>
  <c r="M29" i="5" s="1"/>
  <c r="I95" i="17"/>
  <c r="I44" i="15"/>
  <c r="I223" i="9"/>
  <c r="I13" i="4"/>
  <c r="I13" i="3"/>
  <c r="I41" i="17"/>
  <c r="M41" i="17" s="1"/>
  <c r="I42" i="15"/>
  <c r="I221" i="9"/>
  <c r="I13" i="2"/>
  <c r="I89" i="2" s="1"/>
  <c r="I17" i="17"/>
  <c r="I77" i="15"/>
  <c r="I19" i="17"/>
  <c r="I101" i="15"/>
  <c r="I73" i="15"/>
  <c r="I16" i="15" s="1"/>
  <c r="I18" i="17"/>
  <c r="I89" i="15"/>
  <c r="I97" i="15" s="1"/>
  <c r="I18" i="15" s="1"/>
  <c r="J57" i="15"/>
  <c r="J232" i="9"/>
  <c r="I230" i="9"/>
  <c r="I55" i="15"/>
  <c r="I229" i="9"/>
  <c r="I54" i="15"/>
  <c r="I195" i="9"/>
  <c r="I194" i="9"/>
  <c r="J95" i="4"/>
  <c r="N24" i="3"/>
  <c r="M24" i="3"/>
  <c r="J33" i="3"/>
  <c r="J69" i="17" s="1"/>
  <c r="N28" i="3"/>
  <c r="M28" i="3"/>
  <c r="I30" i="3"/>
  <c r="N17" i="3"/>
  <c r="N22" i="3"/>
  <c r="N15" i="3"/>
  <c r="N20" i="3"/>
  <c r="N97" i="2"/>
  <c r="M97" i="2"/>
  <c r="M30" i="2"/>
  <c r="N98" i="2"/>
  <c r="I93" i="6"/>
  <c r="M93" i="6" s="1"/>
  <c r="I95" i="5"/>
  <c r="M95" i="5" s="1"/>
  <c r="I29" i="7"/>
  <c r="I97" i="6"/>
  <c r="M97" i="6" s="1"/>
  <c r="I95" i="4"/>
  <c r="I95" i="2"/>
  <c r="I102" i="2" s="1"/>
  <c r="J102" i="4" l="1"/>
  <c r="N102" i="4" s="1"/>
  <c r="N95" i="4"/>
  <c r="I34" i="15"/>
  <c r="I102" i="4"/>
  <c r="I89" i="4"/>
  <c r="M13" i="4"/>
  <c r="I193" i="17"/>
  <c r="M193" i="17" s="1"/>
  <c r="I89" i="7"/>
  <c r="I89" i="6"/>
  <c r="I217" i="9"/>
  <c r="I148" i="17"/>
  <c r="M148" i="17" s="1"/>
  <c r="I90" i="3"/>
  <c r="I5" i="3" s="1"/>
  <c r="I180" i="9" s="1"/>
  <c r="M118" i="16"/>
  <c r="I132" i="16"/>
  <c r="I176" i="17"/>
  <c r="M176" i="17" s="1"/>
  <c r="I47" i="15"/>
  <c r="I226" i="9"/>
  <c r="I175" i="17"/>
  <c r="M175" i="17" s="1"/>
  <c r="I35" i="15"/>
  <c r="I218" i="9"/>
  <c r="I159" i="17"/>
  <c r="M159" i="17" s="1"/>
  <c r="I33" i="16"/>
  <c r="M33" i="16" s="1"/>
  <c r="I149" i="17"/>
  <c r="M149" i="17" s="1"/>
  <c r="I225" i="9"/>
  <c r="I46" i="15"/>
  <c r="I162" i="17"/>
  <c r="M162" i="17" s="1"/>
  <c r="I69" i="16"/>
  <c r="M69" i="16" s="1"/>
  <c r="I135" i="17"/>
  <c r="M135" i="17" s="1"/>
  <c r="I68" i="16"/>
  <c r="M68" i="16" s="1"/>
  <c r="I122" i="17"/>
  <c r="M122" i="17" s="1"/>
  <c r="I45" i="15"/>
  <c r="I224" i="9"/>
  <c r="I89" i="5"/>
  <c r="I121" i="17"/>
  <c r="M121" i="17" s="1"/>
  <c r="I216" i="9"/>
  <c r="I33" i="15"/>
  <c r="I108" i="17"/>
  <c r="M108" i="17" s="1"/>
  <c r="I67" i="16"/>
  <c r="M67" i="16" s="1"/>
  <c r="J67" i="16"/>
  <c r="N67" i="16" s="1"/>
  <c r="J108" i="17"/>
  <c r="N108" i="17" s="1"/>
  <c r="I94" i="17"/>
  <c r="M94" i="17" s="1"/>
  <c r="I32" i="15"/>
  <c r="I215" i="9"/>
  <c r="I68" i="17"/>
  <c r="I43" i="15"/>
  <c r="I222" i="9"/>
  <c r="I67" i="17"/>
  <c r="M67" i="17" s="1"/>
  <c r="I31" i="15"/>
  <c r="I214" i="9"/>
  <c r="I40" i="17"/>
  <c r="M40" i="17" s="1"/>
  <c r="I30" i="15"/>
  <c r="I213" i="9"/>
  <c r="I54" i="17"/>
  <c r="M54" i="17" s="1"/>
  <c r="I65" i="16"/>
  <c r="M65" i="16" s="1"/>
  <c r="I30" i="11"/>
  <c r="M16" i="15"/>
  <c r="I32" i="11"/>
  <c r="I109" i="15"/>
  <c r="I19" i="15" s="1"/>
  <c r="I85" i="15"/>
  <c r="I17" i="15" s="1"/>
  <c r="J55" i="15"/>
  <c r="J230" i="9"/>
  <c r="J95" i="5"/>
  <c r="N95" i="5" s="1"/>
  <c r="N13" i="5"/>
  <c r="J30" i="3"/>
  <c r="J90" i="3" s="1"/>
  <c r="N96" i="2"/>
  <c r="J95" i="2"/>
  <c r="J102" i="2" s="1"/>
  <c r="N30" i="2"/>
  <c r="M30" i="9"/>
  <c r="I13" i="9"/>
  <c r="M13" i="9" s="1"/>
  <c r="E120" i="9"/>
  <c r="I29" i="9"/>
  <c r="I5" i="7" l="1"/>
  <c r="I184" i="9" s="1"/>
  <c r="J114" i="17"/>
  <c r="N114" i="17" s="1"/>
  <c r="I227" i="9"/>
  <c r="I184" i="17"/>
  <c r="M184" i="17" s="1"/>
  <c r="I157" i="17"/>
  <c r="M157" i="17" s="1"/>
  <c r="I130" i="17"/>
  <c r="M130" i="17" s="1"/>
  <c r="I114" i="17"/>
  <c r="I103" i="17"/>
  <c r="I60" i="17"/>
  <c r="I49" i="17"/>
  <c r="M49" i="17" s="1"/>
  <c r="I168" i="17"/>
  <c r="M168" i="17" s="1"/>
  <c r="J135" i="17"/>
  <c r="N135" i="17" s="1"/>
  <c r="J68" i="16"/>
  <c r="N68" i="16" s="1"/>
  <c r="I219" i="9"/>
  <c r="I76" i="17"/>
  <c r="I89" i="17" s="1"/>
  <c r="J68" i="17"/>
  <c r="J43" i="15"/>
  <c r="J49" i="15" s="1"/>
  <c r="J14" i="15" s="1"/>
  <c r="J222" i="9"/>
  <c r="J227" i="9" s="1"/>
  <c r="N95" i="2"/>
  <c r="J54" i="17"/>
  <c r="N54" i="17" s="1"/>
  <c r="J65" i="16"/>
  <c r="N65" i="16" s="1"/>
  <c r="I33" i="11"/>
  <c r="I31" i="11"/>
  <c r="I13" i="17"/>
  <c r="I29" i="15"/>
  <c r="I37" i="15" s="1"/>
  <c r="I13" i="15" s="1"/>
  <c r="E18" i="17"/>
  <c r="E89" i="15"/>
  <c r="E97" i="15" s="1"/>
  <c r="E18" i="15" s="1"/>
  <c r="I14" i="17"/>
  <c r="I41" i="15"/>
  <c r="I49" i="15" s="1"/>
  <c r="I14" i="15" s="1"/>
  <c r="E194" i="9"/>
  <c r="I5" i="6"/>
  <c r="I183" i="9" s="1"/>
  <c r="J5" i="3"/>
  <c r="I5" i="5"/>
  <c r="I182" i="9" s="1"/>
  <c r="N29" i="2"/>
  <c r="I5" i="2"/>
  <c r="I179" i="9" s="1"/>
  <c r="N30" i="9"/>
  <c r="E13" i="9"/>
  <c r="M18" i="17" l="1"/>
  <c r="J60" i="17"/>
  <c r="N60" i="17" s="1"/>
  <c r="J76" i="17"/>
  <c r="I170" i="17"/>
  <c r="M170" i="17" s="1"/>
  <c r="I116" i="17"/>
  <c r="I62" i="17"/>
  <c r="J72" i="16"/>
  <c r="J28" i="11"/>
  <c r="E32" i="11"/>
  <c r="M18" i="15"/>
  <c r="E13" i="17"/>
  <c r="E29" i="15"/>
  <c r="E37" i="15" s="1"/>
  <c r="E13" i="15" s="1"/>
  <c r="E27" i="11" s="1"/>
  <c r="I28" i="11"/>
  <c r="I27" i="11"/>
  <c r="N5" i="3"/>
  <c r="J180" i="9"/>
  <c r="J5" i="5"/>
  <c r="J182" i="9" s="1"/>
  <c r="N89" i="2"/>
  <c r="J5" i="2"/>
  <c r="E29" i="9"/>
  <c r="H95" i="7"/>
  <c r="L95" i="7" s="1"/>
  <c r="D71" i="6"/>
  <c r="D32" i="6" s="1"/>
  <c r="D13" i="6"/>
  <c r="M13" i="6" s="1"/>
  <c r="D93" i="6"/>
  <c r="H93" i="6"/>
  <c r="H97" i="6"/>
  <c r="L97" i="6" s="1"/>
  <c r="D13" i="5"/>
  <c r="H95" i="5"/>
  <c r="L95" i="5" s="1"/>
  <c r="D95" i="5"/>
  <c r="D71" i="5"/>
  <c r="D32" i="5" s="1"/>
  <c r="D13" i="3"/>
  <c r="P82" i="9"/>
  <c r="S82" i="9" s="1"/>
  <c r="D114" i="9"/>
  <c r="H95" i="4"/>
  <c r="C95" i="4"/>
  <c r="D48" i="4"/>
  <c r="M48" i="4" s="1"/>
  <c r="D33" i="4"/>
  <c r="D71" i="4"/>
  <c r="M71" i="4" s="1"/>
  <c r="D66" i="4"/>
  <c r="H66" i="4"/>
  <c r="L66" i="4" s="1"/>
  <c r="D29" i="4"/>
  <c r="H95" i="2"/>
  <c r="H102" i="2" s="1"/>
  <c r="C95" i="2"/>
  <c r="D71" i="2"/>
  <c r="D13" i="2"/>
  <c r="H72" i="3"/>
  <c r="C72" i="3"/>
  <c r="C49" i="3"/>
  <c r="D49" i="3"/>
  <c r="H49" i="3"/>
  <c r="H42" i="3"/>
  <c r="C42" i="3"/>
  <c r="C30" i="3"/>
  <c r="D76" i="10"/>
  <c r="M76" i="10" s="1"/>
  <c r="D49" i="10"/>
  <c r="D29" i="7"/>
  <c r="H29" i="7"/>
  <c r="H30" i="3"/>
  <c r="D29" i="9"/>
  <c r="D120" i="9"/>
  <c r="C81" i="9"/>
  <c r="C13" i="9"/>
  <c r="C32" i="9"/>
  <c r="L32" i="9" s="1"/>
  <c r="C29" i="9"/>
  <c r="C29" i="7"/>
  <c r="C120" i="9"/>
  <c r="C30" i="10"/>
  <c r="L30" i="10" s="1"/>
  <c r="C67" i="10"/>
  <c r="L67" i="10" s="1"/>
  <c r="C50" i="10"/>
  <c r="L50" i="10" s="1"/>
  <c r="J16" i="16" l="1"/>
  <c r="N16" i="16" s="1"/>
  <c r="N72" i="16"/>
  <c r="M13" i="17"/>
  <c r="R13" i="17"/>
  <c r="R22" i="17" s="1"/>
  <c r="M32" i="6"/>
  <c r="D123" i="17"/>
  <c r="L123" i="17" s="1"/>
  <c r="M32" i="5"/>
  <c r="H102" i="4"/>
  <c r="L102" i="4" s="1"/>
  <c r="L95" i="4"/>
  <c r="C18" i="17"/>
  <c r="L120" i="9"/>
  <c r="C30" i="17"/>
  <c r="C100" i="16"/>
  <c r="C108" i="16" s="1"/>
  <c r="C19" i="16" s="1"/>
  <c r="C16" i="11" s="1"/>
  <c r="J62" i="17"/>
  <c r="N62" i="17" s="1"/>
  <c r="C93" i="5"/>
  <c r="J89" i="17"/>
  <c r="H89" i="7"/>
  <c r="D150" i="17"/>
  <c r="L150" i="17" s="1"/>
  <c r="D89" i="6"/>
  <c r="M89" i="6" s="1"/>
  <c r="D100" i="16"/>
  <c r="D30" i="17"/>
  <c r="D32" i="17"/>
  <c r="D124" i="16"/>
  <c r="L124" i="16" s="1"/>
  <c r="C28" i="17"/>
  <c r="P28" i="17" s="1"/>
  <c r="S28" i="17" s="1"/>
  <c r="C76" i="16"/>
  <c r="C84" i="16" s="1"/>
  <c r="C17" i="16" s="1"/>
  <c r="C64" i="16"/>
  <c r="C27" i="17"/>
  <c r="C40" i="16"/>
  <c r="C48" i="16" s="1"/>
  <c r="C14" i="16" s="1"/>
  <c r="C11" i="11" s="1"/>
  <c r="C25" i="17"/>
  <c r="D14" i="10"/>
  <c r="M14" i="10" s="1"/>
  <c r="C176" i="17"/>
  <c r="C226" i="9"/>
  <c r="C47" i="15"/>
  <c r="C177" i="17"/>
  <c r="C59" i="15"/>
  <c r="C234" i="9"/>
  <c r="M29" i="7"/>
  <c r="D176" i="17"/>
  <c r="D47" i="15"/>
  <c r="D226" i="9"/>
  <c r="D142" i="16"/>
  <c r="L142" i="16" s="1"/>
  <c r="D143" i="15"/>
  <c r="D99" i="7"/>
  <c r="D118" i="16" s="1"/>
  <c r="L118" i="16" s="1"/>
  <c r="H177" i="17"/>
  <c r="H234" i="9"/>
  <c r="H59" i="15"/>
  <c r="D13" i="7"/>
  <c r="H102" i="7"/>
  <c r="H189" i="17"/>
  <c r="L189" i="17" s="1"/>
  <c r="H70" i="16"/>
  <c r="L70" i="16" s="1"/>
  <c r="H176" i="17"/>
  <c r="H47" i="15"/>
  <c r="H226" i="9"/>
  <c r="C162" i="17"/>
  <c r="C69" i="16"/>
  <c r="H162" i="17"/>
  <c r="H69" i="16"/>
  <c r="D159" i="17"/>
  <c r="L159" i="17" s="1"/>
  <c r="D33" i="16"/>
  <c r="L33" i="16" s="1"/>
  <c r="D148" i="17"/>
  <c r="L148" i="17" s="1"/>
  <c r="D217" i="9"/>
  <c r="D34" i="15"/>
  <c r="H159" i="17"/>
  <c r="H33" i="16"/>
  <c r="H36" i="16" s="1"/>
  <c r="H13" i="16" s="1"/>
  <c r="D89" i="5"/>
  <c r="M89" i="5" s="1"/>
  <c r="D121" i="17"/>
  <c r="D216" i="9"/>
  <c r="D33" i="15"/>
  <c r="H135" i="17"/>
  <c r="H68" i="16"/>
  <c r="H139" i="17"/>
  <c r="H120" i="16"/>
  <c r="H20" i="16" s="1"/>
  <c r="D135" i="17"/>
  <c r="L135" i="17" s="1"/>
  <c r="D68" i="16"/>
  <c r="D95" i="17"/>
  <c r="L95" i="17" s="1"/>
  <c r="D44" i="15"/>
  <c r="D223" i="9"/>
  <c r="H67" i="16"/>
  <c r="H108" i="17"/>
  <c r="H114" i="17" s="1"/>
  <c r="C108" i="17"/>
  <c r="C67" i="16"/>
  <c r="D127" i="16"/>
  <c r="L127" i="16" s="1"/>
  <c r="D113" i="17"/>
  <c r="L113" i="17" s="1"/>
  <c r="D99" i="4"/>
  <c r="H32" i="4"/>
  <c r="L32" i="4" s="1"/>
  <c r="H68" i="17"/>
  <c r="H43" i="15"/>
  <c r="H222" i="9"/>
  <c r="C68" i="17"/>
  <c r="C222" i="9"/>
  <c r="C43" i="15"/>
  <c r="D86" i="17"/>
  <c r="L86" i="17" s="1"/>
  <c r="D126" i="16"/>
  <c r="L126" i="16" s="1"/>
  <c r="D67" i="17"/>
  <c r="L67" i="17" s="1"/>
  <c r="D214" i="9"/>
  <c r="D31" i="15"/>
  <c r="D40" i="17"/>
  <c r="D30" i="15"/>
  <c r="D213" i="9"/>
  <c r="H54" i="17"/>
  <c r="H60" i="17" s="1"/>
  <c r="H65" i="16"/>
  <c r="D137" i="16"/>
  <c r="L137" i="16" s="1"/>
  <c r="D99" i="2"/>
  <c r="D138" i="15"/>
  <c r="D59" i="17"/>
  <c r="D125" i="16"/>
  <c r="L125" i="16" s="1"/>
  <c r="C65" i="16"/>
  <c r="C54" i="17"/>
  <c r="M13" i="15"/>
  <c r="C13" i="17"/>
  <c r="C212" i="9"/>
  <c r="C29" i="15"/>
  <c r="D14" i="17"/>
  <c r="D41" i="15"/>
  <c r="C194" i="9"/>
  <c r="C89" i="15"/>
  <c r="C97" i="15" s="1"/>
  <c r="C18" i="15" s="1"/>
  <c r="C32" i="11" s="1"/>
  <c r="C15" i="17"/>
  <c r="C53" i="15"/>
  <c r="C16" i="17"/>
  <c r="C65" i="15"/>
  <c r="C14" i="17"/>
  <c r="C41" i="15"/>
  <c r="D18" i="17"/>
  <c r="D89" i="15"/>
  <c r="D97" i="15" s="1"/>
  <c r="D18" i="15" s="1"/>
  <c r="E14" i="17"/>
  <c r="E41" i="15"/>
  <c r="H58" i="15"/>
  <c r="H233" i="9"/>
  <c r="C233" i="9"/>
  <c r="C58" i="15"/>
  <c r="H232" i="9"/>
  <c r="H57" i="15"/>
  <c r="D57" i="15"/>
  <c r="D232" i="9"/>
  <c r="C57" i="15"/>
  <c r="C232" i="9"/>
  <c r="N5" i="2"/>
  <c r="J179" i="9"/>
  <c r="D194" i="9"/>
  <c r="L32" i="7"/>
  <c r="L29" i="7"/>
  <c r="I95" i="7"/>
  <c r="M95" i="7" s="1"/>
  <c r="M13" i="3"/>
  <c r="L13" i="5"/>
  <c r="N5" i="5"/>
  <c r="D95" i="4"/>
  <c r="M95" i="4" s="1"/>
  <c r="E29" i="4"/>
  <c r="E89" i="4" s="1"/>
  <c r="M34" i="3"/>
  <c r="M49" i="3"/>
  <c r="E42" i="3"/>
  <c r="E33" i="3" s="1"/>
  <c r="M15" i="3"/>
  <c r="L34" i="3"/>
  <c r="L72" i="3"/>
  <c r="M47" i="3"/>
  <c r="L42" i="3"/>
  <c r="D72" i="3"/>
  <c r="M81" i="3"/>
  <c r="M31" i="3"/>
  <c r="L49" i="3"/>
  <c r="F33" i="3"/>
  <c r="F69" i="17" s="1"/>
  <c r="N69" i="17" s="1"/>
  <c r="M98" i="2"/>
  <c r="M29" i="2"/>
  <c r="L66" i="2"/>
  <c r="M72" i="2"/>
  <c r="L48" i="2"/>
  <c r="L41" i="2"/>
  <c r="L13" i="2"/>
  <c r="M15" i="2"/>
  <c r="L33" i="2"/>
  <c r="M41" i="2"/>
  <c r="M66" i="2"/>
  <c r="L29" i="2"/>
  <c r="L71" i="2"/>
  <c r="M33" i="2"/>
  <c r="L95" i="2"/>
  <c r="T82" i="9"/>
  <c r="V82" i="9"/>
  <c r="L29" i="9"/>
  <c r="Q120" i="9"/>
  <c r="P120" i="9"/>
  <c r="N29" i="9"/>
  <c r="Q29" i="9"/>
  <c r="P29" i="9"/>
  <c r="D47" i="10"/>
  <c r="M47" i="10" s="1"/>
  <c r="M29" i="9"/>
  <c r="M80" i="10"/>
  <c r="E30" i="3"/>
  <c r="H6" i="3"/>
  <c r="C33" i="3"/>
  <c r="C69" i="17" s="1"/>
  <c r="D129" i="9"/>
  <c r="D42" i="3"/>
  <c r="M13" i="2"/>
  <c r="D106" i="9"/>
  <c r="M106" i="9" s="1"/>
  <c r="M16" i="11"/>
  <c r="D30" i="3"/>
  <c r="D97" i="6"/>
  <c r="D13" i="9"/>
  <c r="D81" i="9"/>
  <c r="M81" i="9" s="1"/>
  <c r="H32" i="2"/>
  <c r="H33" i="3"/>
  <c r="H69" i="17" s="1"/>
  <c r="H106" i="6"/>
  <c r="C32" i="2"/>
  <c r="D30" i="10"/>
  <c r="M30" i="10" s="1"/>
  <c r="J13" i="11" l="1"/>
  <c r="N13" i="11" s="1"/>
  <c r="L176" i="17"/>
  <c r="S120" i="9"/>
  <c r="L18" i="17"/>
  <c r="Q18" i="17"/>
  <c r="P18" i="17"/>
  <c r="P14" i="17"/>
  <c r="L14" i="17"/>
  <c r="Q14" i="17"/>
  <c r="M14" i="17"/>
  <c r="S29" i="9"/>
  <c r="H6" i="5"/>
  <c r="P121" i="17"/>
  <c r="L121" i="17"/>
  <c r="Q121" i="17"/>
  <c r="L30" i="17"/>
  <c r="P30" i="17"/>
  <c r="Q30" i="17"/>
  <c r="L59" i="17"/>
  <c r="P59" i="17"/>
  <c r="P40" i="17"/>
  <c r="L40" i="17"/>
  <c r="Q40" i="17"/>
  <c r="L32" i="17"/>
  <c r="Q32" i="17"/>
  <c r="L68" i="16"/>
  <c r="D108" i="16"/>
  <c r="L100" i="16"/>
  <c r="H5" i="7"/>
  <c r="H184" i="9" s="1"/>
  <c r="H184" i="17"/>
  <c r="C132" i="17"/>
  <c r="C32" i="16"/>
  <c r="C36" i="16" s="1"/>
  <c r="C13" i="16" s="1"/>
  <c r="C10" i="11" s="1"/>
  <c r="C227" i="9"/>
  <c r="H195" i="17"/>
  <c r="H227" i="9"/>
  <c r="D89" i="7"/>
  <c r="M89" i="7" s="1"/>
  <c r="M13" i="7"/>
  <c r="H72" i="16"/>
  <c r="H16" i="16" s="1"/>
  <c r="H13" i="11" s="1"/>
  <c r="D157" i="17"/>
  <c r="L157" i="17" s="1"/>
  <c r="H141" i="17"/>
  <c r="H143" i="17" s="1"/>
  <c r="D130" i="17"/>
  <c r="L130" i="17" s="1"/>
  <c r="D115" i="16"/>
  <c r="L115" i="16" s="1"/>
  <c r="D102" i="4"/>
  <c r="H90" i="3"/>
  <c r="H42" i="17"/>
  <c r="H49" i="17" s="1"/>
  <c r="H62" i="17" s="1"/>
  <c r="H89" i="2"/>
  <c r="D113" i="16"/>
  <c r="L113" i="16" s="1"/>
  <c r="C42" i="17"/>
  <c r="C49" i="17" s="1"/>
  <c r="C89" i="2"/>
  <c r="C105" i="2" s="1"/>
  <c r="D112" i="16"/>
  <c r="L112" i="16" s="1"/>
  <c r="D31" i="17"/>
  <c r="C14" i="11"/>
  <c r="P17" i="16"/>
  <c r="D40" i="16"/>
  <c r="D25" i="17"/>
  <c r="M32" i="7"/>
  <c r="D177" i="17"/>
  <c r="L177" i="17" s="1"/>
  <c r="D234" i="9"/>
  <c r="D59" i="15"/>
  <c r="C49" i="15"/>
  <c r="C14" i="15" s="1"/>
  <c r="C28" i="11" s="1"/>
  <c r="H49" i="15"/>
  <c r="H14" i="15" s="1"/>
  <c r="H28" i="11" s="1"/>
  <c r="D175" i="17"/>
  <c r="L175" i="17" s="1"/>
  <c r="D218" i="9"/>
  <c r="D219" i="9" s="1"/>
  <c r="D35" i="15"/>
  <c r="I102" i="7"/>
  <c r="I189" i="17"/>
  <c r="M189" i="17" s="1"/>
  <c r="I70" i="16"/>
  <c r="D193" i="17"/>
  <c r="L193" i="17" s="1"/>
  <c r="D102" i="7"/>
  <c r="D6" i="7" s="1"/>
  <c r="D162" i="17"/>
  <c r="L162" i="17" s="1"/>
  <c r="D69" i="16"/>
  <c r="L69" i="16" s="1"/>
  <c r="H10" i="11"/>
  <c r="H168" i="17"/>
  <c r="H170" i="17" s="1"/>
  <c r="D116" i="16"/>
  <c r="L116" i="16" s="1"/>
  <c r="D140" i="16"/>
  <c r="L140" i="16" s="1"/>
  <c r="D141" i="15"/>
  <c r="H17" i="11"/>
  <c r="H18" i="11"/>
  <c r="C96" i="17"/>
  <c r="C103" i="17" s="1"/>
  <c r="C89" i="4"/>
  <c r="H96" i="17"/>
  <c r="H103" i="17" s="1"/>
  <c r="H116" i="17" s="1"/>
  <c r="H89" i="4"/>
  <c r="L89" i="4" s="1"/>
  <c r="E113" i="17"/>
  <c r="M113" i="17" s="1"/>
  <c r="E127" i="16"/>
  <c r="M127" i="16" s="1"/>
  <c r="E99" i="4"/>
  <c r="D108" i="17"/>
  <c r="L108" i="17" s="1"/>
  <c r="D67" i="16"/>
  <c r="L67" i="16" s="1"/>
  <c r="C72" i="16"/>
  <c r="C16" i="16" s="1"/>
  <c r="C13" i="11" s="1"/>
  <c r="E95" i="17"/>
  <c r="M95" i="17" s="1"/>
  <c r="E44" i="15"/>
  <c r="E223" i="9"/>
  <c r="D112" i="17"/>
  <c r="L112" i="17" s="1"/>
  <c r="D68" i="17"/>
  <c r="L68" i="17" s="1"/>
  <c r="D43" i="15"/>
  <c r="D49" i="15" s="1"/>
  <c r="D14" i="15" s="1"/>
  <c r="D222" i="9"/>
  <c r="D227" i="9" s="1"/>
  <c r="E68" i="17"/>
  <c r="M68" i="17" s="1"/>
  <c r="E43" i="15"/>
  <c r="E222" i="9"/>
  <c r="E126" i="16"/>
  <c r="M126" i="16" s="1"/>
  <c r="E86" i="17"/>
  <c r="M86" i="17" s="1"/>
  <c r="H76" i="17"/>
  <c r="H89" i="17" s="1"/>
  <c r="E137" i="16"/>
  <c r="M137" i="16" s="1"/>
  <c r="E99" i="2"/>
  <c r="E138" i="15"/>
  <c r="D58" i="17"/>
  <c r="E59" i="17"/>
  <c r="E125" i="16"/>
  <c r="M125" i="16" s="1"/>
  <c r="D132" i="16"/>
  <c r="L132" i="16" s="1"/>
  <c r="D16" i="17"/>
  <c r="D65" i="15"/>
  <c r="D197" i="9"/>
  <c r="D21" i="17"/>
  <c r="D125" i="15"/>
  <c r="D15" i="17"/>
  <c r="D53" i="15"/>
  <c r="P194" i="9"/>
  <c r="P89" i="15"/>
  <c r="D195" i="9"/>
  <c r="D19" i="17"/>
  <c r="L19" i="17" s="1"/>
  <c r="D101" i="15"/>
  <c r="P41" i="15"/>
  <c r="Q194" i="9"/>
  <c r="Q89" i="15"/>
  <c r="D32" i="11"/>
  <c r="L32" i="11" s="1"/>
  <c r="L18" i="15"/>
  <c r="C73" i="15"/>
  <c r="C16" i="15" s="1"/>
  <c r="C30" i="11" s="1"/>
  <c r="D17" i="17"/>
  <c r="D77" i="15"/>
  <c r="Q41" i="15"/>
  <c r="D13" i="17"/>
  <c r="D29" i="15"/>
  <c r="D58" i="15"/>
  <c r="D233" i="9"/>
  <c r="H56" i="15"/>
  <c r="H231" i="9"/>
  <c r="C231" i="9"/>
  <c r="C56" i="15"/>
  <c r="H230" i="9"/>
  <c r="H55" i="15"/>
  <c r="F55" i="15"/>
  <c r="F230" i="9"/>
  <c r="F235" i="9" s="1"/>
  <c r="C230" i="9"/>
  <c r="C55" i="15"/>
  <c r="C54" i="15"/>
  <c r="C229" i="9"/>
  <c r="H54" i="15"/>
  <c r="H229" i="9"/>
  <c r="P32" i="9"/>
  <c r="H5" i="6"/>
  <c r="H183" i="9" s="1"/>
  <c r="H6" i="6"/>
  <c r="D106" i="6"/>
  <c r="C5" i="5"/>
  <c r="C182" i="9" s="1"/>
  <c r="M13" i="5"/>
  <c r="H5" i="5"/>
  <c r="H182" i="9" s="1"/>
  <c r="J101" i="5"/>
  <c r="N101" i="5" s="1"/>
  <c r="H6" i="4"/>
  <c r="J32" i="4"/>
  <c r="N32" i="4" s="1"/>
  <c r="N42" i="3"/>
  <c r="M72" i="3"/>
  <c r="N47" i="3"/>
  <c r="F30" i="3"/>
  <c r="F90" i="3" s="1"/>
  <c r="N31" i="3"/>
  <c r="D33" i="3"/>
  <c r="M42" i="3"/>
  <c r="M100" i="2"/>
  <c r="M48" i="2"/>
  <c r="L32" i="2"/>
  <c r="H6" i="2"/>
  <c r="M96" i="2"/>
  <c r="M71" i="2"/>
  <c r="P81" i="9"/>
  <c r="Q81" i="9"/>
  <c r="D42" i="10"/>
  <c r="C42" i="10"/>
  <c r="L42" i="10" s="1"/>
  <c r="N100" i="2"/>
  <c r="P13" i="9"/>
  <c r="Q13" i="9"/>
  <c r="D32" i="2"/>
  <c r="D72" i="10"/>
  <c r="M72" i="10" s="1"/>
  <c r="D50" i="10"/>
  <c r="M50" i="10" s="1"/>
  <c r="D13" i="10"/>
  <c r="M13" i="10" s="1"/>
  <c r="M15" i="11"/>
  <c r="I106" i="6"/>
  <c r="E69" i="17"/>
  <c r="M69" i="17" s="1"/>
  <c r="E5" i="4"/>
  <c r="E181" i="9" s="1"/>
  <c r="M30" i="3"/>
  <c r="M30" i="11"/>
  <c r="M32" i="11"/>
  <c r="M145" i="9"/>
  <c r="M27" i="11"/>
  <c r="I93" i="5"/>
  <c r="M93" i="5" s="1"/>
  <c r="D95" i="2"/>
  <c r="D102" i="2" s="1"/>
  <c r="M14" i="11"/>
  <c r="D32" i="4"/>
  <c r="M32" i="4" s="1"/>
  <c r="M11" i="11"/>
  <c r="D69" i="17" l="1"/>
  <c r="L69" i="17" s="1"/>
  <c r="D90" i="3"/>
  <c r="S18" i="17"/>
  <c r="T18" i="17" s="1"/>
  <c r="P16" i="17"/>
  <c r="L16" i="17"/>
  <c r="Q16" i="17"/>
  <c r="S81" i="9"/>
  <c r="P15" i="17"/>
  <c r="L15" i="17"/>
  <c r="S13" i="9"/>
  <c r="P13" i="17"/>
  <c r="L13" i="17"/>
  <c r="Q13" i="17"/>
  <c r="S14" i="17"/>
  <c r="T14" i="17" s="1"/>
  <c r="L17" i="17"/>
  <c r="M102" i="7"/>
  <c r="I6" i="6"/>
  <c r="M106" i="6"/>
  <c r="D6" i="4"/>
  <c r="M102" i="4"/>
  <c r="S30" i="17"/>
  <c r="Q59" i="17"/>
  <c r="M59" i="17"/>
  <c r="R59" i="17"/>
  <c r="S59" i="17" s="1"/>
  <c r="L58" i="17"/>
  <c r="S40" i="17"/>
  <c r="P14" i="11"/>
  <c r="D39" i="10"/>
  <c r="D96" i="10" s="1"/>
  <c r="M42" i="10"/>
  <c r="Q25" i="17"/>
  <c r="L25" i="17"/>
  <c r="P25" i="17"/>
  <c r="L31" i="17"/>
  <c r="Q31" i="17"/>
  <c r="I72" i="16"/>
  <c r="M70" i="16"/>
  <c r="D48" i="16"/>
  <c r="L40" i="16"/>
  <c r="D19" i="16"/>
  <c r="L108" i="16"/>
  <c r="H197" i="17"/>
  <c r="C100" i="2"/>
  <c r="C5" i="4"/>
  <c r="C181" i="9" s="1"/>
  <c r="C105" i="4"/>
  <c r="C100" i="4" s="1"/>
  <c r="I195" i="17"/>
  <c r="M195" i="17" s="1"/>
  <c r="D184" i="17"/>
  <c r="L184" i="17" s="1"/>
  <c r="D195" i="17"/>
  <c r="L195" i="17" s="1"/>
  <c r="D168" i="17"/>
  <c r="L168" i="17" s="1"/>
  <c r="L14" i="15"/>
  <c r="E132" i="16"/>
  <c r="M132" i="16" s="1"/>
  <c r="E115" i="16"/>
  <c r="M115" i="16" s="1"/>
  <c r="E102" i="4"/>
  <c r="E6" i="4" s="1"/>
  <c r="E7" i="4" s="1"/>
  <c r="E103" i="17"/>
  <c r="M103" i="17" s="1"/>
  <c r="E49" i="15"/>
  <c r="E14" i="15" s="1"/>
  <c r="M14" i="15" s="1"/>
  <c r="D76" i="17"/>
  <c r="L76" i="17" s="1"/>
  <c r="M90" i="3"/>
  <c r="E90" i="3"/>
  <c r="D42" i="17"/>
  <c r="D89" i="2"/>
  <c r="D5" i="2" s="1"/>
  <c r="D29" i="17"/>
  <c r="D88" i="16"/>
  <c r="D27" i="17"/>
  <c r="D64" i="16"/>
  <c r="L64" i="16" s="1"/>
  <c r="D52" i="16"/>
  <c r="D24" i="17"/>
  <c r="D28" i="16"/>
  <c r="E102" i="2"/>
  <c r="E6" i="2" s="1"/>
  <c r="E7" i="2" s="1"/>
  <c r="E113" i="16"/>
  <c r="M113" i="16" s="1"/>
  <c r="E58" i="17"/>
  <c r="D37" i="15"/>
  <c r="D13" i="15" s="1"/>
  <c r="D27" i="11" s="1"/>
  <c r="L27" i="11" s="1"/>
  <c r="D139" i="17"/>
  <c r="L139" i="17" s="1"/>
  <c r="D6" i="5"/>
  <c r="I132" i="17"/>
  <c r="I32" i="16"/>
  <c r="I36" i="16" s="1"/>
  <c r="J139" i="17"/>
  <c r="N139" i="17" s="1"/>
  <c r="H22" i="16"/>
  <c r="H9" i="16" s="1"/>
  <c r="J96" i="17"/>
  <c r="N96" i="17" s="1"/>
  <c r="J89" i="4"/>
  <c r="D96" i="17"/>
  <c r="L96" i="17" s="1"/>
  <c r="D89" i="4"/>
  <c r="H61" i="15"/>
  <c r="H15" i="15" s="1"/>
  <c r="H29" i="11" s="1"/>
  <c r="E227" i="9"/>
  <c r="D114" i="17"/>
  <c r="L114" i="17" s="1"/>
  <c r="E112" i="17"/>
  <c r="M112" i="17" s="1"/>
  <c r="C61" i="15"/>
  <c r="C15" i="15" s="1"/>
  <c r="D28" i="11"/>
  <c r="L28" i="11" s="1"/>
  <c r="E76" i="17"/>
  <c r="M76" i="17" s="1"/>
  <c r="F68" i="17"/>
  <c r="N68" i="17" s="1"/>
  <c r="F43" i="15"/>
  <c r="F49" i="15" s="1"/>
  <c r="F14" i="15" s="1"/>
  <c r="F222" i="9"/>
  <c r="F227" i="9" s="1"/>
  <c r="F61" i="15"/>
  <c r="F15" i="15" s="1"/>
  <c r="D65" i="16"/>
  <c r="L65" i="16" s="1"/>
  <c r="D54" i="17"/>
  <c r="H19" i="11"/>
  <c r="D5" i="7"/>
  <c r="I21" i="17"/>
  <c r="I22" i="17" s="1"/>
  <c r="I125" i="15"/>
  <c r="S194" i="9"/>
  <c r="S89" i="15"/>
  <c r="T29" i="9"/>
  <c r="S41" i="15"/>
  <c r="D109" i="15"/>
  <c r="D19" i="15" s="1"/>
  <c r="P65" i="15"/>
  <c r="P73" i="15" s="1"/>
  <c r="D22" i="17"/>
  <c r="D73" i="15"/>
  <c r="D16" i="15" s="1"/>
  <c r="P29" i="15"/>
  <c r="Q29" i="15"/>
  <c r="Q65" i="15"/>
  <c r="Q73" i="15" s="1"/>
  <c r="P53" i="15"/>
  <c r="D133" i="15"/>
  <c r="D21" i="15" s="1"/>
  <c r="D35" i="11" s="1"/>
  <c r="D85" i="15"/>
  <c r="D17" i="15" s="1"/>
  <c r="H6" i="7"/>
  <c r="C235" i="9"/>
  <c r="J231" i="9"/>
  <c r="J235" i="9" s="1"/>
  <c r="J56" i="15"/>
  <c r="I56" i="15"/>
  <c r="I231" i="9"/>
  <c r="I235" i="9" s="1"/>
  <c r="H235" i="9"/>
  <c r="D56" i="15"/>
  <c r="D231" i="9"/>
  <c r="D55" i="15"/>
  <c r="D230" i="9"/>
  <c r="M33" i="3"/>
  <c r="E55" i="15"/>
  <c r="E230" i="9"/>
  <c r="E235" i="9" s="1"/>
  <c r="D54" i="15"/>
  <c r="D229" i="9"/>
  <c r="I171" i="9"/>
  <c r="I197" i="9"/>
  <c r="H7" i="6"/>
  <c r="I7" i="6"/>
  <c r="D6" i="6"/>
  <c r="D5" i="6"/>
  <c r="F5" i="3"/>
  <c r="F180" i="9" s="1"/>
  <c r="D5" i="5"/>
  <c r="D182" i="9" s="1"/>
  <c r="N104" i="5"/>
  <c r="L5" i="5"/>
  <c r="H7" i="5"/>
  <c r="H5" i="4"/>
  <c r="H7" i="4" s="1"/>
  <c r="H5" i="3"/>
  <c r="H180" i="9" s="1"/>
  <c r="N100" i="3"/>
  <c r="F6" i="3"/>
  <c r="I6" i="2"/>
  <c r="M99" i="2"/>
  <c r="M95" i="2"/>
  <c r="M32" i="2"/>
  <c r="C5" i="2"/>
  <c r="C179" i="9" s="1"/>
  <c r="V120" i="9"/>
  <c r="T120" i="9"/>
  <c r="N99" i="2"/>
  <c r="V29" i="9"/>
  <c r="H5" i="2"/>
  <c r="H179" i="9" s="1"/>
  <c r="L89" i="2"/>
  <c r="I168" i="9"/>
  <c r="I9" i="9" s="1"/>
  <c r="I5" i="4"/>
  <c r="E106" i="9"/>
  <c r="E129" i="9"/>
  <c r="E32" i="9"/>
  <c r="D168" i="9"/>
  <c r="J5" i="4" l="1"/>
  <c r="J181" i="9" s="1"/>
  <c r="N89" i="4"/>
  <c r="J120" i="16"/>
  <c r="J20" i="16" s="1"/>
  <c r="N20" i="16" s="1"/>
  <c r="N116" i="16"/>
  <c r="S16" i="17"/>
  <c r="S13" i="17"/>
  <c r="D5" i="4"/>
  <c r="D181" i="9" s="1"/>
  <c r="M89" i="4"/>
  <c r="Q58" i="17"/>
  <c r="M58" i="17"/>
  <c r="R58" i="17"/>
  <c r="P54" i="17"/>
  <c r="S54" i="17" s="1"/>
  <c r="L54" i="17"/>
  <c r="Q54" i="17"/>
  <c r="Q42" i="17"/>
  <c r="P42" i="17"/>
  <c r="L42" i="17"/>
  <c r="P29" i="17"/>
  <c r="L29" i="17"/>
  <c r="Q29" i="17"/>
  <c r="P27" i="17"/>
  <c r="Q27" i="17"/>
  <c r="L27" i="17"/>
  <c r="D26" i="17"/>
  <c r="L26" i="17" s="1"/>
  <c r="S25" i="17"/>
  <c r="L24" i="17"/>
  <c r="Q24" i="17"/>
  <c r="P24" i="17"/>
  <c r="D9" i="10"/>
  <c r="D96" i="16"/>
  <c r="L88" i="16"/>
  <c r="L19" i="16"/>
  <c r="D16" i="11"/>
  <c r="L16" i="11" s="1"/>
  <c r="P19" i="16"/>
  <c r="D36" i="16"/>
  <c r="L28" i="16"/>
  <c r="D14" i="16"/>
  <c r="L48" i="16"/>
  <c r="D60" i="16"/>
  <c r="L52" i="16"/>
  <c r="I13" i="16"/>
  <c r="M13" i="16" s="1"/>
  <c r="M36" i="16"/>
  <c r="I16" i="16"/>
  <c r="M72" i="16"/>
  <c r="C137" i="16"/>
  <c r="L100" i="2"/>
  <c r="C138" i="15"/>
  <c r="C99" i="2"/>
  <c r="C139" i="16"/>
  <c r="C140" i="15"/>
  <c r="C99" i="4"/>
  <c r="J141" i="17"/>
  <c r="N141" i="17" s="1"/>
  <c r="J103" i="17"/>
  <c r="N103" i="17" s="1"/>
  <c r="E28" i="11"/>
  <c r="M28" i="11" s="1"/>
  <c r="D72" i="16"/>
  <c r="F76" i="17"/>
  <c r="N76" i="17" s="1"/>
  <c r="I197" i="17"/>
  <c r="M197" i="17" s="1"/>
  <c r="D197" i="17"/>
  <c r="L197" i="17" s="1"/>
  <c r="D170" i="17"/>
  <c r="L170" i="17" s="1"/>
  <c r="D141" i="17"/>
  <c r="L141" i="17" s="1"/>
  <c r="E114" i="17"/>
  <c r="M114" i="17" s="1"/>
  <c r="D103" i="17"/>
  <c r="L103" i="17" s="1"/>
  <c r="D5" i="3"/>
  <c r="D180" i="9" s="1"/>
  <c r="E60" i="17"/>
  <c r="M60" i="17" s="1"/>
  <c r="D60" i="17"/>
  <c r="L60" i="17" s="1"/>
  <c r="D49" i="17"/>
  <c r="L49" i="17" s="1"/>
  <c r="L13" i="15"/>
  <c r="I139" i="17"/>
  <c r="M139" i="17" s="1"/>
  <c r="J6" i="5"/>
  <c r="I61" i="15"/>
  <c r="I15" i="15" s="1"/>
  <c r="I29" i="11" s="1"/>
  <c r="J61" i="15"/>
  <c r="J15" i="15" s="1"/>
  <c r="D138" i="16"/>
  <c r="F28" i="11"/>
  <c r="N28" i="11" s="1"/>
  <c r="N14" i="15"/>
  <c r="F29" i="11"/>
  <c r="F23" i="15"/>
  <c r="F9" i="15" s="1"/>
  <c r="D61" i="15"/>
  <c r="D15" i="15" s="1"/>
  <c r="D184" i="9"/>
  <c r="M5" i="7"/>
  <c r="D7" i="7"/>
  <c r="D139" i="15"/>
  <c r="D145" i="15" s="1"/>
  <c r="D31" i="11"/>
  <c r="L17" i="15"/>
  <c r="D33" i="11"/>
  <c r="L19" i="15"/>
  <c r="D30" i="11"/>
  <c r="L30" i="11" s="1"/>
  <c r="L16" i="15"/>
  <c r="V81" i="9"/>
  <c r="T16" i="17"/>
  <c r="S65" i="15"/>
  <c r="S73" i="15" s="1"/>
  <c r="T13" i="9"/>
  <c r="S29" i="15"/>
  <c r="E195" i="9"/>
  <c r="E19" i="17"/>
  <c r="E101" i="15"/>
  <c r="Q32" i="9"/>
  <c r="S32" i="9" s="1"/>
  <c r="E15" i="17"/>
  <c r="E53" i="15"/>
  <c r="E61" i="15" s="1"/>
  <c r="E15" i="15" s="1"/>
  <c r="E17" i="17"/>
  <c r="E77" i="15"/>
  <c r="I133" i="15"/>
  <c r="I21" i="15" s="1"/>
  <c r="H7" i="7"/>
  <c r="C29" i="11"/>
  <c r="M5" i="6"/>
  <c r="D183" i="9"/>
  <c r="D7" i="6"/>
  <c r="J198" i="9"/>
  <c r="J200" i="9" s="1"/>
  <c r="J205" i="9"/>
  <c r="M5" i="4"/>
  <c r="I181" i="9"/>
  <c r="I205" i="9" s="1"/>
  <c r="I208" i="9" s="1"/>
  <c r="I209" i="9" s="1"/>
  <c r="L5" i="4"/>
  <c r="H181" i="9"/>
  <c r="H205" i="9" s="1"/>
  <c r="H208" i="9" s="1"/>
  <c r="M89" i="2"/>
  <c r="F205" i="9"/>
  <c r="F198" i="9"/>
  <c r="F200" i="9" s="1"/>
  <c r="D235" i="9"/>
  <c r="M5" i="2"/>
  <c r="D179" i="9"/>
  <c r="T81" i="9"/>
  <c r="I6" i="7"/>
  <c r="M6" i="6"/>
  <c r="F7" i="3"/>
  <c r="M102" i="2"/>
  <c r="M104" i="5"/>
  <c r="D7" i="5"/>
  <c r="M5" i="5"/>
  <c r="I6" i="4"/>
  <c r="M6" i="4" s="1"/>
  <c r="M100" i="3"/>
  <c r="I6" i="3"/>
  <c r="N90" i="3"/>
  <c r="E5" i="3"/>
  <c r="E180" i="9" s="1"/>
  <c r="E205" i="9" s="1"/>
  <c r="E208" i="9" s="1"/>
  <c r="H7" i="3"/>
  <c r="N99" i="3"/>
  <c r="D6" i="2"/>
  <c r="D7" i="2" s="1"/>
  <c r="Q106" i="9"/>
  <c r="Q129" i="9"/>
  <c r="I7" i="2"/>
  <c r="N102" i="2"/>
  <c r="J6" i="2"/>
  <c r="V13" i="9"/>
  <c r="H7" i="2"/>
  <c r="L5" i="2"/>
  <c r="D9" i="9"/>
  <c r="M168" i="9"/>
  <c r="N120" i="16" l="1"/>
  <c r="N5" i="4"/>
  <c r="J143" i="17"/>
  <c r="N143" i="17" s="1"/>
  <c r="D7" i="4"/>
  <c r="S29" i="17"/>
  <c r="M19" i="17"/>
  <c r="Q19" i="17"/>
  <c r="M17" i="17"/>
  <c r="Q17" i="17"/>
  <c r="M15" i="17"/>
  <c r="Q15" i="17"/>
  <c r="S15" i="17" s="1"/>
  <c r="P16" i="11"/>
  <c r="S42" i="17"/>
  <c r="Q37" i="17"/>
  <c r="S27" i="17"/>
  <c r="Q26" i="17"/>
  <c r="D33" i="17"/>
  <c r="L33" i="17" s="1"/>
  <c r="S24" i="17"/>
  <c r="D16" i="16"/>
  <c r="D13" i="11" s="1"/>
  <c r="L13" i="11" s="1"/>
  <c r="L72" i="16"/>
  <c r="M16" i="16"/>
  <c r="I13" i="11"/>
  <c r="M13" i="11" s="1"/>
  <c r="D13" i="16"/>
  <c r="L36" i="16"/>
  <c r="L14" i="16"/>
  <c r="P14" i="16"/>
  <c r="D11" i="11"/>
  <c r="L11" i="11" s="1"/>
  <c r="I10" i="11"/>
  <c r="M10" i="11" s="1"/>
  <c r="I120" i="16"/>
  <c r="I20" i="16" s="1"/>
  <c r="M116" i="16"/>
  <c r="D15" i="16"/>
  <c r="L60" i="16"/>
  <c r="D144" i="16"/>
  <c r="L138" i="16"/>
  <c r="D18" i="16"/>
  <c r="L96" i="16"/>
  <c r="C102" i="2"/>
  <c r="D108" i="2" s="1"/>
  <c r="L99" i="2"/>
  <c r="C58" i="17"/>
  <c r="C113" i="16"/>
  <c r="C115" i="16"/>
  <c r="C112" i="17"/>
  <c r="C114" i="17" s="1"/>
  <c r="C116" i="17" s="1"/>
  <c r="C102" i="4"/>
  <c r="J116" i="17"/>
  <c r="N116" i="17" s="1"/>
  <c r="M5" i="3"/>
  <c r="F89" i="17"/>
  <c r="N89" i="17" s="1"/>
  <c r="E62" i="17"/>
  <c r="M62" i="17" s="1"/>
  <c r="I141" i="17"/>
  <c r="D143" i="17"/>
  <c r="L143" i="17" s="1"/>
  <c r="D116" i="17"/>
  <c r="L116" i="17" s="1"/>
  <c r="E116" i="17"/>
  <c r="M116" i="17" s="1"/>
  <c r="E138" i="16"/>
  <c r="D99" i="3"/>
  <c r="D85" i="17" s="1"/>
  <c r="L85" i="17" s="1"/>
  <c r="D62" i="17"/>
  <c r="L62" i="17" s="1"/>
  <c r="J18" i="11"/>
  <c r="N18" i="11" s="1"/>
  <c r="J17" i="11"/>
  <c r="J22" i="16"/>
  <c r="N22" i="16" s="1"/>
  <c r="F37" i="11"/>
  <c r="F41" i="11" s="1"/>
  <c r="N6" i="5"/>
  <c r="J7" i="5"/>
  <c r="I18" i="11"/>
  <c r="I198" i="9"/>
  <c r="I200" i="9" s="1"/>
  <c r="N15" i="15"/>
  <c r="J29" i="11"/>
  <c r="J37" i="11" s="1"/>
  <c r="J23" i="15"/>
  <c r="N23" i="15" s="1"/>
  <c r="D22" i="15"/>
  <c r="I35" i="11"/>
  <c r="I37" i="11" s="1"/>
  <c r="I23" i="15"/>
  <c r="I9" i="15" s="1"/>
  <c r="E29" i="11"/>
  <c r="M29" i="11" s="1"/>
  <c r="M15" i="15"/>
  <c r="Q101" i="15"/>
  <c r="Q77" i="15"/>
  <c r="Q85" i="15" s="1"/>
  <c r="H197" i="9"/>
  <c r="H209" i="9" s="1"/>
  <c r="H21" i="17"/>
  <c r="L21" i="17" s="1"/>
  <c r="H125" i="15"/>
  <c r="E109" i="15"/>
  <c r="E19" i="15" s="1"/>
  <c r="T13" i="17"/>
  <c r="E85" i="15"/>
  <c r="E17" i="15" s="1"/>
  <c r="Q53" i="15"/>
  <c r="L15" i="15"/>
  <c r="D29" i="11"/>
  <c r="I206" i="9"/>
  <c r="I7" i="4"/>
  <c r="J206" i="9"/>
  <c r="J208" i="9"/>
  <c r="J209" i="9" s="1"/>
  <c r="F208" i="9"/>
  <c r="F209" i="9" s="1"/>
  <c r="F206" i="9"/>
  <c r="E139" i="15"/>
  <c r="D205" i="9"/>
  <c r="D198" i="9"/>
  <c r="D200" i="9" s="1"/>
  <c r="Q195" i="9"/>
  <c r="M9" i="9"/>
  <c r="I7" i="7"/>
  <c r="M6" i="7"/>
  <c r="M6" i="2"/>
  <c r="I6" i="5"/>
  <c r="J6" i="4"/>
  <c r="M99" i="3"/>
  <c r="H168" i="9"/>
  <c r="I7" i="3"/>
  <c r="N102" i="3"/>
  <c r="J6" i="3"/>
  <c r="L33" i="11"/>
  <c r="L31" i="11"/>
  <c r="N6" i="2"/>
  <c r="J7" i="2"/>
  <c r="I39" i="10"/>
  <c r="M39" i="10" s="1"/>
  <c r="C39" i="10"/>
  <c r="L39" i="10" s="1"/>
  <c r="I143" i="17" l="1"/>
  <c r="M143" i="17" s="1"/>
  <c r="M141" i="17"/>
  <c r="C60" i="17"/>
  <c r="C62" i="17" s="1"/>
  <c r="P58" i="17"/>
  <c r="S58" i="17" s="1"/>
  <c r="T58" i="17" s="1"/>
  <c r="D35" i="17"/>
  <c r="P11" i="11"/>
  <c r="L15" i="16"/>
  <c r="D12" i="11"/>
  <c r="L12" i="11" s="1"/>
  <c r="L13" i="16"/>
  <c r="P13" i="16"/>
  <c r="D10" i="11"/>
  <c r="L10" i="11" s="1"/>
  <c r="D21" i="16"/>
  <c r="L21" i="16" s="1"/>
  <c r="L144" i="16"/>
  <c r="E144" i="16"/>
  <c r="M138" i="16"/>
  <c r="L18" i="16"/>
  <c r="D15" i="11"/>
  <c r="L15" i="11" s="1"/>
  <c r="P18" i="16"/>
  <c r="P15" i="11" s="1"/>
  <c r="P16" i="16"/>
  <c r="L16" i="16"/>
  <c r="C6" i="2"/>
  <c r="L102" i="2"/>
  <c r="C6" i="4"/>
  <c r="E99" i="3"/>
  <c r="E102" i="3" s="1"/>
  <c r="D114" i="16"/>
  <c r="D102" i="3"/>
  <c r="D6" i="3" s="1"/>
  <c r="D87" i="17"/>
  <c r="L87" i="17" s="1"/>
  <c r="D23" i="15"/>
  <c r="D9" i="15" s="1"/>
  <c r="D36" i="11"/>
  <c r="L36" i="11" s="1"/>
  <c r="H22" i="17"/>
  <c r="I26" i="17"/>
  <c r="M26" i="17" s="1"/>
  <c r="I52" i="16"/>
  <c r="C52" i="16"/>
  <c r="C60" i="16" s="1"/>
  <c r="C15" i="16" s="1"/>
  <c r="C26" i="17"/>
  <c r="J9" i="15"/>
  <c r="I17" i="11"/>
  <c r="J9" i="16"/>
  <c r="N9" i="16" s="1"/>
  <c r="N17" i="11"/>
  <c r="J19" i="11"/>
  <c r="N19" i="11" s="1"/>
  <c r="H198" i="9"/>
  <c r="N29" i="11"/>
  <c r="N37" i="11"/>
  <c r="E145" i="15"/>
  <c r="H206" i="9"/>
  <c r="E31" i="11"/>
  <c r="M31" i="11" s="1"/>
  <c r="M17" i="15"/>
  <c r="E33" i="11"/>
  <c r="M33" i="11" s="1"/>
  <c r="M19" i="15"/>
  <c r="T32" i="9"/>
  <c r="S53" i="15"/>
  <c r="V32" i="9"/>
  <c r="H133" i="15"/>
  <c r="H21" i="15" s="1"/>
  <c r="L29" i="11"/>
  <c r="D208" i="9"/>
  <c r="D209" i="9" s="1"/>
  <c r="D206" i="9"/>
  <c r="M6" i="5"/>
  <c r="I7" i="5"/>
  <c r="J7" i="4"/>
  <c r="N6" i="4"/>
  <c r="H9" i="9"/>
  <c r="N6" i="3"/>
  <c r="J7" i="3"/>
  <c r="I96" i="10"/>
  <c r="P13" i="11" l="1"/>
  <c r="P26" i="17"/>
  <c r="S26" i="17" s="1"/>
  <c r="P10" i="11"/>
  <c r="M96" i="10"/>
  <c r="F170" i="9" s="1"/>
  <c r="E21" i="16"/>
  <c r="M21" i="16" s="1"/>
  <c r="M144" i="16"/>
  <c r="D120" i="16"/>
  <c r="L114" i="16"/>
  <c r="I60" i="16"/>
  <c r="M52" i="16"/>
  <c r="H35" i="17"/>
  <c r="L35" i="17" s="1"/>
  <c r="L22" i="17"/>
  <c r="C7" i="2"/>
  <c r="L6" i="2"/>
  <c r="C7" i="4"/>
  <c r="L6" i="4"/>
  <c r="E114" i="16"/>
  <c r="E85" i="17"/>
  <c r="M85" i="17" s="1"/>
  <c r="M102" i="3"/>
  <c r="D37" i="11"/>
  <c r="D89" i="17"/>
  <c r="L89" i="17" s="1"/>
  <c r="I33" i="17"/>
  <c r="M33" i="17" s="1"/>
  <c r="C12" i="11"/>
  <c r="P15" i="16"/>
  <c r="N41" i="11"/>
  <c r="J41" i="11"/>
  <c r="E22" i="15"/>
  <c r="E36" i="11" s="1"/>
  <c r="M36" i="11" s="1"/>
  <c r="D18" i="11"/>
  <c r="L18" i="11" s="1"/>
  <c r="H35" i="11"/>
  <c r="L21" i="15"/>
  <c r="H23" i="15"/>
  <c r="T15" i="17"/>
  <c r="Q145" i="9"/>
  <c r="E21" i="17"/>
  <c r="M9" i="15"/>
  <c r="E168" i="9"/>
  <c r="E125" i="15"/>
  <c r="E6" i="3"/>
  <c r="E7" i="3" s="1"/>
  <c r="E197" i="9"/>
  <c r="E206" i="9" s="1"/>
  <c r="H200" i="9"/>
  <c r="D7" i="3"/>
  <c r="M6" i="3"/>
  <c r="I9" i="10"/>
  <c r="M9" i="10" s="1"/>
  <c r="E171" i="9" l="1"/>
  <c r="R168" i="9"/>
  <c r="P12" i="11"/>
  <c r="E120" i="16"/>
  <c r="M114" i="16"/>
  <c r="D20" i="16"/>
  <c r="L120" i="16"/>
  <c r="I15" i="16"/>
  <c r="M60" i="16"/>
  <c r="M21" i="17"/>
  <c r="Q21" i="17"/>
  <c r="Q22" i="17" s="1"/>
  <c r="E87" i="17"/>
  <c r="M87" i="17" s="1"/>
  <c r="E89" i="17"/>
  <c r="M89" i="17" s="1"/>
  <c r="E22" i="17"/>
  <c r="M22" i="17" s="1"/>
  <c r="I35" i="17"/>
  <c r="Q197" i="9"/>
  <c r="E18" i="11"/>
  <c r="M18" i="11" s="1"/>
  <c r="N168" i="9"/>
  <c r="E9" i="9"/>
  <c r="Q125" i="15"/>
  <c r="Q133" i="15" s="1"/>
  <c r="H9" i="15"/>
  <c r="L23" i="15"/>
  <c r="E133" i="15"/>
  <c r="E21" i="15" s="1"/>
  <c r="H37" i="11"/>
  <c r="L35" i="11"/>
  <c r="E198" i="9"/>
  <c r="E209" i="9"/>
  <c r="Q168" i="9"/>
  <c r="N9" i="9" l="1"/>
  <c r="R9" i="9"/>
  <c r="L20" i="16"/>
  <c r="D22" i="16"/>
  <c r="D17" i="11"/>
  <c r="M15" i="16"/>
  <c r="I12" i="11"/>
  <c r="I22" i="16"/>
  <c r="I9" i="16" s="1"/>
  <c r="E20" i="16"/>
  <c r="M120" i="16"/>
  <c r="E35" i="17"/>
  <c r="M35" i="17" s="1"/>
  <c r="E200" i="9"/>
  <c r="Q9" i="9"/>
  <c r="E35" i="11"/>
  <c r="R35" i="11" s="1"/>
  <c r="E23" i="15"/>
  <c r="E9" i="15" s="1"/>
  <c r="R9" i="15" s="1"/>
  <c r="M21" i="15"/>
  <c r="H41" i="11"/>
  <c r="L37" i="11"/>
  <c r="R36" i="11"/>
  <c r="R32" i="11"/>
  <c r="R31" i="11"/>
  <c r="R30" i="11"/>
  <c r="R34" i="11"/>
  <c r="R29" i="11"/>
  <c r="R28" i="11"/>
  <c r="R33" i="11"/>
  <c r="Q33" i="11"/>
  <c r="Q36" i="11"/>
  <c r="Q28" i="11"/>
  <c r="Q30" i="11"/>
  <c r="Q34" i="11"/>
  <c r="Q32" i="11"/>
  <c r="Q29" i="11"/>
  <c r="Q31" i="11"/>
  <c r="R27" i="11"/>
  <c r="Q27" i="11"/>
  <c r="R8" i="15"/>
  <c r="P8" i="15"/>
  <c r="P14" i="15" s="1"/>
  <c r="P30" i="11"/>
  <c r="P32" i="11"/>
  <c r="P28" i="11"/>
  <c r="P29" i="11"/>
  <c r="R10" i="5"/>
  <c r="R82" i="5" s="1"/>
  <c r="P34" i="11"/>
  <c r="R8" i="9"/>
  <c r="P8" i="10"/>
  <c r="P8" i="9"/>
  <c r="P88" i="9" s="1"/>
  <c r="Q8" i="10"/>
  <c r="Q51" i="10" s="1"/>
  <c r="S51" i="10" s="1"/>
  <c r="M20" i="16" l="1"/>
  <c r="E22" i="16"/>
  <c r="E17" i="11"/>
  <c r="E19" i="11" s="1"/>
  <c r="L22" i="16"/>
  <c r="D9" i="16"/>
  <c r="L9" i="16" s="1"/>
  <c r="I19" i="11"/>
  <c r="M12" i="11"/>
  <c r="D19" i="11"/>
  <c r="L17" i="11"/>
  <c r="R10" i="3"/>
  <c r="R21" i="3" s="1"/>
  <c r="R13" i="10"/>
  <c r="R28" i="16" s="1"/>
  <c r="P48" i="10"/>
  <c r="P13" i="10"/>
  <c r="Q35" i="11"/>
  <c r="Q37" i="11" s="1"/>
  <c r="Q10" i="5"/>
  <c r="Q82" i="5" s="1"/>
  <c r="Q8" i="16"/>
  <c r="Q13" i="10"/>
  <c r="R88" i="5"/>
  <c r="R87" i="5"/>
  <c r="R86" i="5"/>
  <c r="R104" i="5"/>
  <c r="R6" i="5" s="1"/>
  <c r="R84" i="5"/>
  <c r="R85" i="5"/>
  <c r="R83" i="5"/>
  <c r="R94" i="4"/>
  <c r="S94" i="4" s="1"/>
  <c r="R93" i="4"/>
  <c r="S93" i="4" s="1"/>
  <c r="R87" i="4"/>
  <c r="S87" i="4" s="1"/>
  <c r="R84" i="4"/>
  <c r="R85" i="4"/>
  <c r="S85" i="4" s="1"/>
  <c r="R88" i="4"/>
  <c r="S88" i="4" s="1"/>
  <c r="R86" i="4"/>
  <c r="S86" i="4" s="1"/>
  <c r="R83" i="4"/>
  <c r="M23" i="15"/>
  <c r="E37" i="11"/>
  <c r="M35" i="11"/>
  <c r="Q9" i="15"/>
  <c r="N9" i="15"/>
  <c r="Q8" i="9"/>
  <c r="P57" i="10"/>
  <c r="P15" i="10"/>
  <c r="Q41" i="10"/>
  <c r="Q40" i="10" s="1"/>
  <c r="P10" i="6"/>
  <c r="P78" i="6" s="1"/>
  <c r="Q10" i="3"/>
  <c r="R95" i="3"/>
  <c r="S32" i="11"/>
  <c r="V32" i="11" s="1"/>
  <c r="S28" i="11"/>
  <c r="T28" i="11" s="1"/>
  <c r="R37" i="11"/>
  <c r="Q68" i="5"/>
  <c r="Q14" i="5"/>
  <c r="Q72" i="5"/>
  <c r="Q98" i="5"/>
  <c r="Q17" i="5"/>
  <c r="Q15" i="5"/>
  <c r="Q38" i="5"/>
  <c r="Q30" i="5"/>
  <c r="Q40" i="5"/>
  <c r="Q57" i="5"/>
  <c r="Q79" i="5"/>
  <c r="Q63" i="5"/>
  <c r="Q78" i="5"/>
  <c r="Q26" i="5"/>
  <c r="Q27" i="5"/>
  <c r="Q60" i="5"/>
  <c r="Q74" i="5"/>
  <c r="Q67" i="5"/>
  <c r="Q13" i="5"/>
  <c r="Q32" i="5"/>
  <c r="Q123" i="17" s="1"/>
  <c r="R79" i="3"/>
  <c r="R47" i="3"/>
  <c r="R55" i="3"/>
  <c r="S55" i="3" s="1"/>
  <c r="R61" i="3"/>
  <c r="S61" i="3" s="1"/>
  <c r="R29" i="3"/>
  <c r="R24" i="3"/>
  <c r="R51" i="3"/>
  <c r="R49" i="3"/>
  <c r="Q157" i="9"/>
  <c r="Q110" i="9"/>
  <c r="S110" i="9" s="1"/>
  <c r="Q139" i="9"/>
  <c r="Q49" i="9"/>
  <c r="Q75" i="9"/>
  <c r="Q151" i="9"/>
  <c r="Q95" i="9"/>
  <c r="Q87" i="9"/>
  <c r="Q58" i="9"/>
  <c r="Q132" i="9"/>
  <c r="Q159" i="9"/>
  <c r="Q61" i="9"/>
  <c r="Q94" i="9"/>
  <c r="Q39" i="9"/>
  <c r="Q137" i="9"/>
  <c r="Q26" i="9"/>
  <c r="Q130" i="9"/>
  <c r="Q124" i="9"/>
  <c r="Q55" i="9"/>
  <c r="Q37" i="9"/>
  <c r="Q20" i="9"/>
  <c r="Q156" i="9"/>
  <c r="Q97" i="9"/>
  <c r="Q141" i="9"/>
  <c r="Q154" i="9"/>
  <c r="Q77" i="9"/>
  <c r="Q111" i="9"/>
  <c r="S111" i="9" s="1"/>
  <c r="Q146" i="9"/>
  <c r="Q56" i="9"/>
  <c r="Q147" i="9"/>
  <c r="Q115" i="9"/>
  <c r="Q18" i="9"/>
  <c r="Q153" i="9"/>
  <c r="Q104" i="9"/>
  <c r="Q133" i="9"/>
  <c r="Q41" i="9"/>
  <c r="Q71" i="9"/>
  <c r="Q131" i="9"/>
  <c r="Q76" i="9"/>
  <c r="Q90" i="9"/>
  <c r="S90" i="9" s="1"/>
  <c r="Q116" i="9"/>
  <c r="Q68" i="9"/>
  <c r="Q136" i="9"/>
  <c r="Q103" i="9"/>
  <c r="Q85" i="9"/>
  <c r="S85" i="9" s="1"/>
  <c r="Q118" i="9"/>
  <c r="Q53" i="9"/>
  <c r="Q33" i="9"/>
  <c r="S33" i="9" s="1"/>
  <c r="Q54" i="9"/>
  <c r="Q138" i="9"/>
  <c r="Q40" i="9"/>
  <c r="Q65" i="9"/>
  <c r="Q98" i="9"/>
  <c r="Q45" i="9"/>
  <c r="Q35" i="9"/>
  <c r="Q44" i="9"/>
  <c r="Q23" i="9"/>
  <c r="Q155" i="9"/>
  <c r="Q52" i="9"/>
  <c r="Q78" i="9"/>
  <c r="Q112" i="9"/>
  <c r="Q63" i="9"/>
  <c r="Q38" i="9"/>
  <c r="Q25" i="9"/>
  <c r="Q16" i="9"/>
  <c r="Q101" i="9"/>
  <c r="Q42" i="9"/>
  <c r="Q19" i="9"/>
  <c r="Q122" i="9"/>
  <c r="Q86" i="9"/>
  <c r="S86" i="9" s="1"/>
  <c r="Q140" i="9"/>
  <c r="Q22" i="9"/>
  <c r="Q127" i="9"/>
  <c r="Q126" i="9"/>
  <c r="Q21" i="9"/>
  <c r="Q48" i="9"/>
  <c r="Q34" i="9"/>
  <c r="Q46" i="9"/>
  <c r="Q123" i="9"/>
  <c r="Q150" i="9"/>
  <c r="Q59" i="9"/>
  <c r="Q66" i="9"/>
  <c r="Q62" i="9"/>
  <c r="Q152" i="9"/>
  <c r="Q99" i="9"/>
  <c r="Q50" i="9"/>
  <c r="Q15" i="9"/>
  <c r="Q79" i="9"/>
  <c r="S79" i="9" s="1"/>
  <c r="Q91" i="9"/>
  <c r="S91" i="9" s="1"/>
  <c r="Q74" i="9"/>
  <c r="Q17" i="9"/>
  <c r="Q69" i="9"/>
  <c r="Q83" i="9"/>
  <c r="Q109" i="9"/>
  <c r="S109" i="9" s="1"/>
  <c r="Q89" i="9"/>
  <c r="S89" i="9" s="1"/>
  <c r="Q121" i="9"/>
  <c r="Q114" i="9"/>
  <c r="S114" i="9" s="1"/>
  <c r="Q93" i="9"/>
  <c r="Q47" i="9"/>
  <c r="Q107" i="9"/>
  <c r="S107" i="9" s="1"/>
  <c r="Q72" i="9"/>
  <c r="Q88" i="9"/>
  <c r="S88" i="9" s="1"/>
  <c r="Q143" i="9"/>
  <c r="S143" i="9" s="1"/>
  <c r="Q113" i="9"/>
  <c r="S113" i="9" s="1"/>
  <c r="Q148" i="9"/>
  <c r="Q57" i="9"/>
  <c r="Q142" i="9"/>
  <c r="S142" i="9" s="1"/>
  <c r="Q51" i="9"/>
  <c r="Q100" i="9"/>
  <c r="Q96" i="9"/>
  <c r="Q125" i="9"/>
  <c r="Q158" i="9"/>
  <c r="Q43" i="9"/>
  <c r="Q64" i="9"/>
  <c r="Q27" i="9"/>
  <c r="Q92" i="9"/>
  <c r="Q73" i="9"/>
  <c r="Q67" i="9"/>
  <c r="Q102" i="9"/>
  <c r="Q36" i="9"/>
  <c r="Q60" i="9"/>
  <c r="Q149" i="9"/>
  <c r="Q108" i="9"/>
  <c r="S108" i="9" s="1"/>
  <c r="Q84" i="9"/>
  <c r="S84" i="9" s="1"/>
  <c r="Q70" i="9"/>
  <c r="Q30" i="9"/>
  <c r="Q117" i="9"/>
  <c r="S117" i="9" s="1"/>
  <c r="R42" i="2"/>
  <c r="R98" i="2"/>
  <c r="R23" i="2"/>
  <c r="R41" i="2"/>
  <c r="R57" i="2"/>
  <c r="R30" i="2"/>
  <c r="R53" i="2"/>
  <c r="R45" i="2"/>
  <c r="P10" i="4"/>
  <c r="R89" i="5"/>
  <c r="R5" i="5" s="1"/>
  <c r="R182" i="9" s="1"/>
  <c r="P50" i="9"/>
  <c r="S50" i="9" s="1"/>
  <c r="R33" i="4"/>
  <c r="R71" i="4"/>
  <c r="R15" i="4"/>
  <c r="R22" i="4"/>
  <c r="R77" i="4"/>
  <c r="R51" i="4"/>
  <c r="R52" i="4"/>
  <c r="R34" i="4"/>
  <c r="R44" i="4"/>
  <c r="R35" i="4"/>
  <c r="R64" i="4"/>
  <c r="R80" i="4"/>
  <c r="R63" i="4"/>
  <c r="R73" i="4"/>
  <c r="R18" i="4"/>
  <c r="R26" i="4"/>
  <c r="R81" i="4"/>
  <c r="R40" i="4"/>
  <c r="R42" i="4"/>
  <c r="R99" i="4"/>
  <c r="R57" i="4"/>
  <c r="R60" i="4"/>
  <c r="R72" i="4"/>
  <c r="R16" i="4"/>
  <c r="R30" i="4"/>
  <c r="R43" i="4"/>
  <c r="R55" i="4"/>
  <c r="R45" i="4"/>
  <c r="R69" i="4"/>
  <c r="R58" i="4"/>
  <c r="R70" i="4"/>
  <c r="R65" i="4"/>
  <c r="R21" i="4"/>
  <c r="R24" i="4"/>
  <c r="R38" i="4"/>
  <c r="R98" i="4"/>
  <c r="R76" i="4"/>
  <c r="R19" i="4"/>
  <c r="R47" i="4"/>
  <c r="R59" i="4"/>
  <c r="R101" i="4"/>
  <c r="R14" i="4"/>
  <c r="S14" i="4" s="1"/>
  <c r="R95" i="4"/>
  <c r="R41" i="4"/>
  <c r="R39" i="4"/>
  <c r="R96" i="4"/>
  <c r="R74" i="4"/>
  <c r="R37" i="4"/>
  <c r="R28" i="4"/>
  <c r="S28" i="4" s="1"/>
  <c r="R97" i="4"/>
  <c r="R17" i="4"/>
  <c r="R75" i="4"/>
  <c r="R54" i="4"/>
  <c r="R56" i="4"/>
  <c r="R50" i="4"/>
  <c r="R78" i="4"/>
  <c r="R27" i="4"/>
  <c r="R49" i="4"/>
  <c r="R62" i="4"/>
  <c r="R25" i="4"/>
  <c r="R23" i="4"/>
  <c r="R46" i="4"/>
  <c r="R68" i="4"/>
  <c r="R61" i="4"/>
  <c r="R36" i="4"/>
  <c r="R79" i="4"/>
  <c r="R66" i="4"/>
  <c r="R100" i="4"/>
  <c r="R13" i="4"/>
  <c r="R94" i="17" s="1"/>
  <c r="R20" i="4"/>
  <c r="R67" i="4"/>
  <c r="R53" i="4"/>
  <c r="R32" i="4"/>
  <c r="R96" i="17" s="1"/>
  <c r="R48" i="4"/>
  <c r="R29" i="4"/>
  <c r="R95" i="17" s="1"/>
  <c r="R89" i="4"/>
  <c r="R5" i="4" s="1"/>
  <c r="R181" i="9" s="1"/>
  <c r="P117" i="9"/>
  <c r="P38" i="9"/>
  <c r="P10" i="7"/>
  <c r="Q10" i="2"/>
  <c r="P10" i="2"/>
  <c r="P15" i="9"/>
  <c r="P44" i="9"/>
  <c r="P10" i="5"/>
  <c r="P107" i="9"/>
  <c r="P64" i="9"/>
  <c r="P10" i="3"/>
  <c r="P98" i="3" s="1"/>
  <c r="Q10" i="4"/>
  <c r="S29" i="11"/>
  <c r="P26" i="9"/>
  <c r="R68" i="10"/>
  <c r="P14" i="10"/>
  <c r="S14" i="10" s="1"/>
  <c r="R102" i="4"/>
  <c r="R6" i="4" s="1"/>
  <c r="P147" i="9"/>
  <c r="P124" i="9"/>
  <c r="S124" i="9" s="1"/>
  <c r="P143" i="9"/>
  <c r="P30" i="9"/>
  <c r="S30" i="9" s="1"/>
  <c r="P85" i="9"/>
  <c r="P41" i="9"/>
  <c r="S41" i="9" s="1"/>
  <c r="P71" i="10"/>
  <c r="P78" i="10"/>
  <c r="P89" i="9"/>
  <c r="P69" i="10"/>
  <c r="P151" i="9"/>
  <c r="S151" i="9" s="1"/>
  <c r="P53" i="9"/>
  <c r="P86" i="9"/>
  <c r="P51" i="9"/>
  <c r="P110" i="9"/>
  <c r="P139" i="9"/>
  <c r="R107" i="9"/>
  <c r="R140" i="9"/>
  <c r="R66" i="9"/>
  <c r="R113" i="9"/>
  <c r="R148" i="9"/>
  <c r="R143" i="9"/>
  <c r="R146" i="9"/>
  <c r="R42" i="9"/>
  <c r="R59" i="9"/>
  <c r="R142" i="9"/>
  <c r="R21" i="9"/>
  <c r="R15" i="9"/>
  <c r="R139" i="9"/>
  <c r="R136" i="9"/>
  <c r="R38" i="9"/>
  <c r="R57" i="9"/>
  <c r="R100" i="9"/>
  <c r="R25" i="9"/>
  <c r="R23" i="9"/>
  <c r="R97" i="9"/>
  <c r="R123" i="9"/>
  <c r="R37" i="9"/>
  <c r="R158" i="9"/>
  <c r="R102" i="9"/>
  <c r="R68" i="9"/>
  <c r="R18" i="9"/>
  <c r="R152" i="9"/>
  <c r="R30" i="9"/>
  <c r="R43" i="9"/>
  <c r="R155" i="9"/>
  <c r="R151" i="9"/>
  <c r="R65" i="9"/>
  <c r="R103" i="9"/>
  <c r="R78" i="9"/>
  <c r="R122" i="9"/>
  <c r="R50" i="9"/>
  <c r="R95" i="9"/>
  <c r="R34" i="9"/>
  <c r="R111" i="9"/>
  <c r="R116" i="9"/>
  <c r="R137" i="9"/>
  <c r="R39" i="9"/>
  <c r="R46" i="9"/>
  <c r="R87" i="9"/>
  <c r="R27" i="9"/>
  <c r="R101" i="9"/>
  <c r="R114" i="9"/>
  <c r="R131" i="9"/>
  <c r="R118" i="9"/>
  <c r="R40" i="9"/>
  <c r="R83" i="9"/>
  <c r="R72" i="9"/>
  <c r="R20" i="9"/>
  <c r="R149" i="9"/>
  <c r="R56" i="9"/>
  <c r="R60" i="9"/>
  <c r="R22" i="9"/>
  <c r="R45" i="9"/>
  <c r="R121" i="9"/>
  <c r="R52" i="9"/>
  <c r="R79" i="9"/>
  <c r="R75" i="9"/>
  <c r="R96" i="9"/>
  <c r="R99" i="9"/>
  <c r="R133" i="9"/>
  <c r="R41" i="9"/>
  <c r="R88" i="9"/>
  <c r="R127" i="9"/>
  <c r="R51" i="9"/>
  <c r="R53" i="9"/>
  <c r="R71" i="9"/>
  <c r="R89" i="9"/>
  <c r="R73" i="9"/>
  <c r="R36" i="9"/>
  <c r="R44" i="9"/>
  <c r="R157" i="9"/>
  <c r="R49" i="9"/>
  <c r="R62" i="9"/>
  <c r="R76" i="9"/>
  <c r="R35" i="9"/>
  <c r="R90" i="9"/>
  <c r="R26" i="9"/>
  <c r="R153" i="9"/>
  <c r="R58" i="9"/>
  <c r="R77" i="9"/>
  <c r="R92" i="9"/>
  <c r="R150" i="9"/>
  <c r="R63" i="9"/>
  <c r="R85" i="9"/>
  <c r="R130" i="9"/>
  <c r="R54" i="9"/>
  <c r="R141" i="9"/>
  <c r="R16" i="9"/>
  <c r="R84" i="9"/>
  <c r="R70" i="9"/>
  <c r="R48" i="9"/>
  <c r="R108" i="9"/>
  <c r="R74" i="9"/>
  <c r="R19" i="9"/>
  <c r="R94" i="9"/>
  <c r="R91" i="9"/>
  <c r="R86" i="9"/>
  <c r="R125" i="9"/>
  <c r="R124" i="9"/>
  <c r="R147" i="9"/>
  <c r="R98" i="9"/>
  <c r="R47" i="9"/>
  <c r="R109" i="9"/>
  <c r="R93" i="9"/>
  <c r="R64" i="9"/>
  <c r="R110" i="9"/>
  <c r="R61" i="9"/>
  <c r="R154" i="9"/>
  <c r="R156" i="9"/>
  <c r="R69" i="9"/>
  <c r="R138" i="9"/>
  <c r="R104" i="9"/>
  <c r="R33" i="9"/>
  <c r="R17" i="9"/>
  <c r="R159" i="9"/>
  <c r="R126" i="9"/>
  <c r="R132" i="9"/>
  <c r="R55" i="9"/>
  <c r="R115" i="9"/>
  <c r="R117" i="9"/>
  <c r="R67" i="9"/>
  <c r="R112" i="9"/>
  <c r="P70" i="9"/>
  <c r="S70" i="9" s="1"/>
  <c r="S34" i="11"/>
  <c r="R85" i="10"/>
  <c r="R24" i="10"/>
  <c r="R70" i="10"/>
  <c r="R94" i="10"/>
  <c r="R46" i="10"/>
  <c r="R53" i="10"/>
  <c r="R32" i="10"/>
  <c r="R38" i="10"/>
  <c r="R56" i="10"/>
  <c r="R83" i="10"/>
  <c r="R27" i="10"/>
  <c r="R95" i="10"/>
  <c r="R86" i="10"/>
  <c r="R22" i="10"/>
  <c r="R31" i="10"/>
  <c r="R43" i="10"/>
  <c r="R58" i="10"/>
  <c r="R63" i="10"/>
  <c r="R71" i="10"/>
  <c r="R16" i="10"/>
  <c r="R18" i="10"/>
  <c r="R55" i="10"/>
  <c r="R33" i="10"/>
  <c r="R21" i="10"/>
  <c r="R15" i="10"/>
  <c r="R17" i="10"/>
  <c r="R44" i="10"/>
  <c r="R49" i="10"/>
  <c r="R37" i="10"/>
  <c r="R61" i="10"/>
  <c r="R59" i="10"/>
  <c r="R75" i="10"/>
  <c r="R57" i="10"/>
  <c r="R64" i="10"/>
  <c r="R23" i="10"/>
  <c r="R69" i="10"/>
  <c r="R88" i="10"/>
  <c r="R45" i="10"/>
  <c r="R62" i="10"/>
  <c r="R90" i="10"/>
  <c r="R66" i="10"/>
  <c r="R34" i="10"/>
  <c r="R91" i="10"/>
  <c r="R28" i="10"/>
  <c r="R65" i="10"/>
  <c r="R84" i="10"/>
  <c r="R89" i="10"/>
  <c r="R74" i="10"/>
  <c r="R92" i="10"/>
  <c r="R29" i="10"/>
  <c r="R60" i="10"/>
  <c r="R35" i="10"/>
  <c r="R93" i="10"/>
  <c r="R19" i="10"/>
  <c r="R20" i="10"/>
  <c r="R87" i="10"/>
  <c r="R78" i="10"/>
  <c r="R79" i="10"/>
  <c r="R54" i="10"/>
  <c r="R36" i="10"/>
  <c r="R82" i="10"/>
  <c r="R41" i="10"/>
  <c r="R40" i="10" s="1"/>
  <c r="R73" i="10"/>
  <c r="R10" i="7"/>
  <c r="R26" i="10"/>
  <c r="R52" i="10"/>
  <c r="R81" i="10"/>
  <c r="P35" i="9"/>
  <c r="S35" i="9" s="1"/>
  <c r="P60" i="10"/>
  <c r="R14" i="10"/>
  <c r="P19" i="10"/>
  <c r="P89" i="10"/>
  <c r="P26" i="10"/>
  <c r="P20" i="9"/>
  <c r="S20" i="9" s="1"/>
  <c r="T20" i="9" s="1"/>
  <c r="R48" i="10"/>
  <c r="S30" i="11"/>
  <c r="R77" i="10"/>
  <c r="P101" i="9"/>
  <c r="P42" i="9"/>
  <c r="S42" i="9" s="1"/>
  <c r="P61" i="9"/>
  <c r="S61" i="9" s="1"/>
  <c r="P55" i="9"/>
  <c r="P76" i="9"/>
  <c r="P150" i="9"/>
  <c r="P154" i="9"/>
  <c r="S154" i="9" s="1"/>
  <c r="P140" i="9"/>
  <c r="P57" i="9"/>
  <c r="P141" i="9"/>
  <c r="S141" i="9" s="1"/>
  <c r="T141" i="9" s="1"/>
  <c r="P71" i="9"/>
  <c r="S71" i="9" s="1"/>
  <c r="P34" i="9"/>
  <c r="S34" i="9" s="1"/>
  <c r="P40" i="9"/>
  <c r="P78" i="9"/>
  <c r="P137" i="9"/>
  <c r="P125" i="9"/>
  <c r="S125" i="9" s="1"/>
  <c r="P75" i="9"/>
  <c r="S75" i="9" s="1"/>
  <c r="P138" i="9"/>
  <c r="P113" i="9"/>
  <c r="P48" i="9"/>
  <c r="S48" i="9" s="1"/>
  <c r="P127" i="9"/>
  <c r="S127" i="9" s="1"/>
  <c r="P157" i="9"/>
  <c r="S157" i="9" s="1"/>
  <c r="P95" i="9"/>
  <c r="P73" i="9"/>
  <c r="S73" i="9" s="1"/>
  <c r="P67" i="9"/>
  <c r="P63" i="9"/>
  <c r="S63" i="9" s="1"/>
  <c r="P132" i="9"/>
  <c r="S132" i="9" s="1"/>
  <c r="P99" i="9"/>
  <c r="P155" i="9"/>
  <c r="S155" i="9" s="1"/>
  <c r="P100" i="9"/>
  <c r="P36" i="9"/>
  <c r="P72" i="9"/>
  <c r="S72" i="9" s="1"/>
  <c r="P66" i="9"/>
  <c r="P115" i="9"/>
  <c r="P33" i="9"/>
  <c r="P59" i="9"/>
  <c r="S59" i="9" s="1"/>
  <c r="P126" i="9"/>
  <c r="S126" i="9" s="1"/>
  <c r="P158" i="9"/>
  <c r="S158" i="9" s="1"/>
  <c r="P109" i="9"/>
  <c r="P19" i="9"/>
  <c r="P56" i="9"/>
  <c r="S56" i="9" s="1"/>
  <c r="P54" i="9"/>
  <c r="S54" i="9" s="1"/>
  <c r="P122" i="9"/>
  <c r="P148" i="9"/>
  <c r="P87" i="9"/>
  <c r="P142" i="9"/>
  <c r="P131" i="9"/>
  <c r="P45" i="9"/>
  <c r="P152" i="9"/>
  <c r="S152" i="9" s="1"/>
  <c r="P49" i="9"/>
  <c r="S49" i="9" s="1"/>
  <c r="P92" i="9"/>
  <c r="P47" i="9"/>
  <c r="P39" i="9"/>
  <c r="P90" i="9"/>
  <c r="P121" i="9"/>
  <c r="S121" i="9" s="1"/>
  <c r="P111" i="9"/>
  <c r="P21" i="9"/>
  <c r="S21" i="9" s="1"/>
  <c r="P27" i="9"/>
  <c r="P16" i="9"/>
  <c r="P65" i="9"/>
  <c r="P37" i="9"/>
  <c r="S37" i="9" s="1"/>
  <c r="P149" i="9"/>
  <c r="S149" i="9" s="1"/>
  <c r="P77" i="9"/>
  <c r="P91" i="9"/>
  <c r="P23" i="9"/>
  <c r="S23" i="9" s="1"/>
  <c r="P102" i="9"/>
  <c r="P68" i="9"/>
  <c r="S68" i="9" s="1"/>
  <c r="P156" i="9"/>
  <c r="S156" i="9" s="1"/>
  <c r="P103" i="9"/>
  <c r="P62" i="9"/>
  <c r="P52" i="9"/>
  <c r="S52" i="9" s="1"/>
  <c r="P46" i="9"/>
  <c r="P136" i="9"/>
  <c r="P97" i="9"/>
  <c r="P74" i="9"/>
  <c r="P79" i="9"/>
  <c r="P108" i="9"/>
  <c r="P159" i="9"/>
  <c r="P25" i="9"/>
  <c r="Q26" i="3"/>
  <c r="R47" i="5"/>
  <c r="R46" i="5"/>
  <c r="R18" i="5"/>
  <c r="R65" i="5"/>
  <c r="R57" i="5"/>
  <c r="R42" i="5"/>
  <c r="R40" i="5"/>
  <c r="R21" i="5"/>
  <c r="R102" i="5"/>
  <c r="R69" i="5"/>
  <c r="R101" i="5"/>
  <c r="R33" i="5"/>
  <c r="R37" i="5"/>
  <c r="R43" i="5"/>
  <c r="R71" i="5"/>
  <c r="R23" i="5"/>
  <c r="R22" i="5"/>
  <c r="R55" i="5"/>
  <c r="R94" i="5"/>
  <c r="R25" i="5"/>
  <c r="R26" i="5"/>
  <c r="R19" i="5"/>
  <c r="R103" i="5"/>
  <c r="R73" i="5"/>
  <c r="R70" i="5"/>
  <c r="R78" i="5"/>
  <c r="R48" i="5"/>
  <c r="R54" i="5"/>
  <c r="R56" i="5"/>
  <c r="R49" i="5"/>
  <c r="R93" i="5"/>
  <c r="R27" i="5"/>
  <c r="R24" i="5"/>
  <c r="R50" i="5"/>
  <c r="R52" i="5"/>
  <c r="R60" i="5"/>
  <c r="R16" i="5"/>
  <c r="R58" i="5"/>
  <c r="R51" i="5"/>
  <c r="R53" i="5"/>
  <c r="R67" i="5"/>
  <c r="R68" i="5"/>
  <c r="R17" i="5"/>
  <c r="R98" i="5"/>
  <c r="R14" i="5"/>
  <c r="R38" i="5"/>
  <c r="R77" i="5"/>
  <c r="R75" i="5"/>
  <c r="R34" i="5"/>
  <c r="R35" i="5"/>
  <c r="R79" i="5"/>
  <c r="R20" i="5"/>
  <c r="R15" i="5"/>
  <c r="R36" i="5"/>
  <c r="R61" i="5"/>
  <c r="R41" i="5"/>
  <c r="R72" i="5"/>
  <c r="R63" i="5"/>
  <c r="R80" i="5"/>
  <c r="R81" i="5"/>
  <c r="R30" i="5"/>
  <c r="R76" i="5"/>
  <c r="R44" i="5"/>
  <c r="R74" i="5"/>
  <c r="R62" i="5"/>
  <c r="R64" i="5"/>
  <c r="R66" i="5"/>
  <c r="R95" i="5"/>
  <c r="R39" i="5"/>
  <c r="R59" i="5"/>
  <c r="R45" i="5"/>
  <c r="R32" i="5"/>
  <c r="R123" i="17" s="1"/>
  <c r="R13" i="5"/>
  <c r="R121" i="17" s="1"/>
  <c r="R96" i="5"/>
  <c r="R29" i="5"/>
  <c r="R122" i="17" s="1"/>
  <c r="P43" i="9"/>
  <c r="S43" i="9" s="1"/>
  <c r="P116" i="9"/>
  <c r="S116" i="9" s="1"/>
  <c r="P96" i="9"/>
  <c r="P22" i="9"/>
  <c r="Q23" i="10"/>
  <c r="Q65" i="10"/>
  <c r="Q33" i="10"/>
  <c r="Q18" i="10"/>
  <c r="Q54" i="10"/>
  <c r="Q27" i="10"/>
  <c r="Q57" i="10"/>
  <c r="Q35" i="10"/>
  <c r="Q86" i="10"/>
  <c r="Q58" i="10"/>
  <c r="Q71" i="10"/>
  <c r="Q94" i="10"/>
  <c r="Q62" i="10"/>
  <c r="Q82" i="10"/>
  <c r="Q64" i="10"/>
  <c r="Q81" i="10"/>
  <c r="Q85" i="10"/>
  <c r="Q91" i="10"/>
  <c r="Q69" i="10"/>
  <c r="Q45" i="10"/>
  <c r="Q22" i="10"/>
  <c r="Q95" i="10"/>
  <c r="Q74" i="10"/>
  <c r="Q15" i="10"/>
  <c r="Q28" i="10"/>
  <c r="Q34" i="10"/>
  <c r="Q24" i="10"/>
  <c r="Q38" i="10"/>
  <c r="Q70" i="10"/>
  <c r="S70" i="10" s="1"/>
  <c r="Q49" i="10"/>
  <c r="Q60" i="10"/>
  <c r="Q19" i="10"/>
  <c r="Q61" i="10"/>
  <c r="Q78" i="10"/>
  <c r="Q17" i="10"/>
  <c r="Q55" i="10"/>
  <c r="Q63" i="10"/>
  <c r="Q37" i="10"/>
  <c r="Q44" i="10"/>
  <c r="Q36" i="10"/>
  <c r="Q29" i="10"/>
  <c r="Q56" i="10"/>
  <c r="Q87" i="10"/>
  <c r="Q20" i="10"/>
  <c r="Q46" i="10"/>
  <c r="Q93" i="10"/>
  <c r="Q43" i="10"/>
  <c r="Q75" i="10"/>
  <c r="Q32" i="10"/>
  <c r="Q92" i="10"/>
  <c r="Q79" i="10"/>
  <c r="Q90" i="10"/>
  <c r="Q83" i="10"/>
  <c r="Q66" i="10"/>
  <c r="Q21" i="10"/>
  <c r="Q53" i="10"/>
  <c r="Q88" i="10"/>
  <c r="Q31" i="10"/>
  <c r="Q16" i="10"/>
  <c r="Q52" i="10"/>
  <c r="Q59" i="10"/>
  <c r="Q84" i="10"/>
  <c r="Q8" i="15"/>
  <c r="Q73" i="10"/>
  <c r="Q89" i="10"/>
  <c r="Q77" i="10"/>
  <c r="Q68" i="10"/>
  <c r="Q26" i="10"/>
  <c r="Q10" i="7"/>
  <c r="Q48" i="10"/>
  <c r="Q47" i="10" s="1"/>
  <c r="P44" i="10"/>
  <c r="S44" i="10" s="1"/>
  <c r="P21" i="10"/>
  <c r="S21" i="10" s="1"/>
  <c r="P91" i="10"/>
  <c r="P86" i="10"/>
  <c r="P61" i="10"/>
  <c r="V61" i="10" s="1"/>
  <c r="P92" i="10"/>
  <c r="P63" i="10"/>
  <c r="S63" i="10" s="1"/>
  <c r="P74" i="10"/>
  <c r="P59" i="10"/>
  <c r="P64" i="10"/>
  <c r="P32" i="10"/>
  <c r="P58" i="10"/>
  <c r="P66" i="10"/>
  <c r="P20" i="10"/>
  <c r="S20" i="10" s="1"/>
  <c r="T20" i="10" s="1"/>
  <c r="P54" i="10"/>
  <c r="P65" i="10"/>
  <c r="S65" i="10" s="1"/>
  <c r="P29" i="10"/>
  <c r="P94" i="10"/>
  <c r="V94" i="10" s="1"/>
  <c r="P84" i="10"/>
  <c r="P55" i="10"/>
  <c r="P23" i="10"/>
  <c r="P24" i="10"/>
  <c r="P16" i="10"/>
  <c r="P77" i="10"/>
  <c r="S77" i="10" s="1"/>
  <c r="P37" i="10"/>
  <c r="S37" i="10" s="1"/>
  <c r="T37" i="10" s="1"/>
  <c r="P36" i="10"/>
  <c r="S36" i="10" s="1"/>
  <c r="T36" i="10" s="1"/>
  <c r="P82" i="10"/>
  <c r="P93" i="10"/>
  <c r="P79" i="10"/>
  <c r="S79" i="10" s="1"/>
  <c r="T79" i="10" s="1"/>
  <c r="P85" i="10"/>
  <c r="P95" i="10"/>
  <c r="V95" i="10" s="1"/>
  <c r="P90" i="10"/>
  <c r="P43" i="10"/>
  <c r="S43" i="10" s="1"/>
  <c r="P83" i="10"/>
  <c r="P45" i="10"/>
  <c r="P27" i="10"/>
  <c r="P31" i="10"/>
  <c r="P53" i="10"/>
  <c r="P56" i="10"/>
  <c r="P62" i="10"/>
  <c r="S62" i="10" s="1"/>
  <c r="P49" i="10"/>
  <c r="P35" i="10"/>
  <c r="P52" i="10"/>
  <c r="P34" i="10"/>
  <c r="P28" i="10"/>
  <c r="P75" i="10"/>
  <c r="P18" i="10"/>
  <c r="P22" i="10"/>
  <c r="V22" i="10" s="1"/>
  <c r="P17" i="10"/>
  <c r="S17" i="10" s="1"/>
  <c r="P68" i="10"/>
  <c r="P41" i="10"/>
  <c r="P73" i="10"/>
  <c r="P33" i="10"/>
  <c r="S33" i="10" s="1"/>
  <c r="P38" i="10"/>
  <c r="S38" i="10" s="1"/>
  <c r="T38" i="10" s="1"/>
  <c r="Q10" i="6"/>
  <c r="P83" i="9"/>
  <c r="P98" i="9"/>
  <c r="Q14" i="10"/>
  <c r="P84" i="9"/>
  <c r="P104" i="9"/>
  <c r="P123" i="9"/>
  <c r="S123" i="9" s="1"/>
  <c r="P46" i="10"/>
  <c r="P58" i="9"/>
  <c r="S58" i="9" s="1"/>
  <c r="P114" i="9"/>
  <c r="P153" i="9"/>
  <c r="S153" i="9" s="1"/>
  <c r="P70" i="10"/>
  <c r="P60" i="9"/>
  <c r="S60" i="9" s="1"/>
  <c r="P112" i="9"/>
  <c r="S112" i="9" s="1"/>
  <c r="P69" i="9"/>
  <c r="S69" i="9" s="1"/>
  <c r="P18" i="9"/>
  <c r="P17" i="9"/>
  <c r="S17" i="9" s="1"/>
  <c r="P20" i="15"/>
  <c r="P16" i="15"/>
  <c r="P18" i="15"/>
  <c r="P15" i="15"/>
  <c r="R15" i="15"/>
  <c r="R16" i="15"/>
  <c r="R20" i="15"/>
  <c r="R17" i="15"/>
  <c r="R18" i="15"/>
  <c r="R21" i="15"/>
  <c r="R14" i="15"/>
  <c r="R19" i="15"/>
  <c r="R13" i="15"/>
  <c r="R15" i="3" l="1"/>
  <c r="R17" i="3"/>
  <c r="R35" i="3"/>
  <c r="R73" i="3"/>
  <c r="R98" i="3"/>
  <c r="S89" i="3"/>
  <c r="S86" i="3"/>
  <c r="S14" i="3"/>
  <c r="V14" i="3" s="1"/>
  <c r="R25" i="3"/>
  <c r="R101" i="3"/>
  <c r="R40" i="3"/>
  <c r="S40" i="3" s="1"/>
  <c r="R69" i="3"/>
  <c r="R88" i="3"/>
  <c r="S88" i="3" s="1"/>
  <c r="Q44" i="6"/>
  <c r="Q40" i="6"/>
  <c r="Q36" i="6"/>
  <c r="Q34" i="6"/>
  <c r="Q21" i="6"/>
  <c r="Q45" i="6"/>
  <c r="Q37" i="6"/>
  <c r="Q20" i="6"/>
  <c r="Q46" i="6"/>
  <c r="Q42" i="6"/>
  <c r="Q38" i="6"/>
  <c r="Q35" i="6"/>
  <c r="Q30" i="6"/>
  <c r="Q17" i="6"/>
  <c r="Q19" i="6"/>
  <c r="Q47" i="6"/>
  <c r="Q39" i="6"/>
  <c r="Q15" i="6"/>
  <c r="Q22" i="6"/>
  <c r="Q16" i="6"/>
  <c r="Q18" i="6"/>
  <c r="Q43" i="6"/>
  <c r="Q23" i="6"/>
  <c r="Q33" i="6"/>
  <c r="Q29" i="6"/>
  <c r="Q41" i="6"/>
  <c r="Q48" i="6"/>
  <c r="Q32" i="6"/>
  <c r="P76" i="6"/>
  <c r="S68" i="6"/>
  <c r="V68" i="6" s="1"/>
  <c r="P47" i="6"/>
  <c r="P43" i="6"/>
  <c r="P39" i="6"/>
  <c r="P20" i="6"/>
  <c r="P44" i="6"/>
  <c r="S44" i="6" s="1"/>
  <c r="V44" i="6" s="1"/>
  <c r="P40" i="6"/>
  <c r="P36" i="6"/>
  <c r="P34" i="6"/>
  <c r="P16" i="6"/>
  <c r="P17" i="6"/>
  <c r="P18" i="6"/>
  <c r="P19" i="6"/>
  <c r="P45" i="6"/>
  <c r="P37" i="6"/>
  <c r="P15" i="6"/>
  <c r="P22" i="6"/>
  <c r="P42" i="6"/>
  <c r="S42" i="6" s="1"/>
  <c r="P30" i="6"/>
  <c r="P23" i="6"/>
  <c r="P46" i="6"/>
  <c r="P38" i="6"/>
  <c r="P35" i="6"/>
  <c r="P21" i="6"/>
  <c r="P41" i="6"/>
  <c r="P48" i="6"/>
  <c r="S48" i="6" s="1"/>
  <c r="P29" i="6"/>
  <c r="P149" i="17" s="1"/>
  <c r="P33" i="6"/>
  <c r="P32" i="6"/>
  <c r="R98" i="6"/>
  <c r="R45" i="6"/>
  <c r="R37" i="6"/>
  <c r="R15" i="6"/>
  <c r="R22" i="6"/>
  <c r="S22" i="6" s="1"/>
  <c r="V22" i="6" s="1"/>
  <c r="R23" i="6"/>
  <c r="R46" i="6"/>
  <c r="R42" i="6"/>
  <c r="R38" i="6"/>
  <c r="R35" i="6"/>
  <c r="R30" i="6"/>
  <c r="R21" i="6"/>
  <c r="R47" i="6"/>
  <c r="R43" i="6"/>
  <c r="R39" i="6"/>
  <c r="R44" i="6"/>
  <c r="R34" i="6"/>
  <c r="R17" i="6"/>
  <c r="R19" i="6"/>
  <c r="R20" i="6"/>
  <c r="R40" i="6"/>
  <c r="R36" i="6"/>
  <c r="R16" i="6"/>
  <c r="R18" i="6"/>
  <c r="S18" i="6" s="1"/>
  <c r="V18" i="6" s="1"/>
  <c r="R33" i="6"/>
  <c r="R29" i="6"/>
  <c r="R149" i="17" s="1"/>
  <c r="R41" i="6"/>
  <c r="R48" i="6"/>
  <c r="R32" i="6"/>
  <c r="R150" i="17" s="1"/>
  <c r="R89" i="6"/>
  <c r="R5" i="6" s="1"/>
  <c r="R183" i="9" s="1"/>
  <c r="P82" i="5"/>
  <c r="S82" i="5" s="1"/>
  <c r="S97" i="5"/>
  <c r="Q86" i="5"/>
  <c r="S87" i="9"/>
  <c r="S83" i="9"/>
  <c r="V83" i="9" s="1"/>
  <c r="V33" i="9"/>
  <c r="S27" i="10"/>
  <c r="S26" i="10"/>
  <c r="S122" i="9"/>
  <c r="S65" i="9"/>
  <c r="S22" i="9"/>
  <c r="S18" i="9"/>
  <c r="S90" i="10"/>
  <c r="S28" i="10"/>
  <c r="T28" i="10" s="1"/>
  <c r="S29" i="10"/>
  <c r="S59" i="10"/>
  <c r="S46" i="10"/>
  <c r="S31" i="10"/>
  <c r="S150" i="9"/>
  <c r="S159" i="9"/>
  <c r="S92" i="9"/>
  <c r="S78" i="9"/>
  <c r="S51" i="9"/>
  <c r="S44" i="9"/>
  <c r="S36" i="9"/>
  <c r="V36" i="9" s="1"/>
  <c r="S27" i="9"/>
  <c r="T27" i="9" s="1"/>
  <c r="S26" i="9"/>
  <c r="S25" i="9"/>
  <c r="S19" i="9"/>
  <c r="S16" i="9"/>
  <c r="S15" i="9"/>
  <c r="S75" i="10"/>
  <c r="S131" i="9"/>
  <c r="V131" i="9" s="1"/>
  <c r="S115" i="9"/>
  <c r="S39" i="9"/>
  <c r="S66" i="9"/>
  <c r="S67" i="9"/>
  <c r="S40" i="9"/>
  <c r="V40" i="9" s="1"/>
  <c r="S57" i="9"/>
  <c r="S76" i="9"/>
  <c r="S53" i="9"/>
  <c r="S64" i="9"/>
  <c r="S38" i="9"/>
  <c r="S77" i="9"/>
  <c r="V77" i="9" s="1"/>
  <c r="S62" i="9"/>
  <c r="V62" i="9" s="1"/>
  <c r="S74" i="9"/>
  <c r="V74" i="9" s="1"/>
  <c r="S46" i="9"/>
  <c r="S47" i="9"/>
  <c r="S45" i="9"/>
  <c r="V45" i="9" s="1"/>
  <c r="S55" i="9"/>
  <c r="S89" i="10"/>
  <c r="S53" i="10"/>
  <c r="S52" i="10"/>
  <c r="S69" i="10"/>
  <c r="S45" i="10"/>
  <c r="S48" i="10"/>
  <c r="S41" i="10"/>
  <c r="S35" i="10"/>
  <c r="S16" i="10"/>
  <c r="S19" i="10"/>
  <c r="V19" i="10" s="1"/>
  <c r="S18" i="10"/>
  <c r="S15" i="10"/>
  <c r="T15" i="10" s="1"/>
  <c r="S13" i="10"/>
  <c r="S147" i="9"/>
  <c r="V148" i="9"/>
  <c r="S148" i="9"/>
  <c r="M22" i="16"/>
  <c r="E9" i="16"/>
  <c r="D41" i="11"/>
  <c r="L19" i="11"/>
  <c r="L41" i="11" s="1"/>
  <c r="R84" i="3"/>
  <c r="R72" i="17" s="1"/>
  <c r="R66" i="3"/>
  <c r="S66" i="3" s="1"/>
  <c r="R48" i="3"/>
  <c r="R62" i="3"/>
  <c r="S62" i="3" s="1"/>
  <c r="R56" i="3"/>
  <c r="S56" i="3" s="1"/>
  <c r="R54" i="3"/>
  <c r="R82" i="3"/>
  <c r="S82" i="3" s="1"/>
  <c r="R74" i="3"/>
  <c r="Q89" i="5"/>
  <c r="Q5" i="5" s="1"/>
  <c r="Q182" i="9" s="1"/>
  <c r="Q56" i="5"/>
  <c r="Q35" i="5"/>
  <c r="Q65" i="5"/>
  <c r="Q69" i="5"/>
  <c r="Q47" i="5"/>
  <c r="Q18" i="5"/>
  <c r="Q50" i="5"/>
  <c r="Q24" i="5"/>
  <c r="Q70" i="5"/>
  <c r="Q88" i="5"/>
  <c r="R93" i="3"/>
  <c r="S93" i="3" s="1"/>
  <c r="R34" i="3"/>
  <c r="R46" i="3"/>
  <c r="R37" i="3"/>
  <c r="R76" i="3"/>
  <c r="S76" i="3" s="1"/>
  <c r="R71" i="3"/>
  <c r="S71" i="3" s="1"/>
  <c r="R70" i="3"/>
  <c r="R20" i="3"/>
  <c r="R44" i="3"/>
  <c r="R50" i="3"/>
  <c r="Q104" i="5"/>
  <c r="Q6" i="5" s="1"/>
  <c r="Q54" i="5"/>
  <c r="Q58" i="5"/>
  <c r="Q16" i="5"/>
  <c r="Q42" i="5"/>
  <c r="Q73" i="5"/>
  <c r="Q80" i="5"/>
  <c r="Q93" i="5"/>
  <c r="Q19" i="5"/>
  <c r="Q64" i="5"/>
  <c r="R102" i="3"/>
  <c r="R6" i="3" s="1"/>
  <c r="Q87" i="5"/>
  <c r="R94" i="3"/>
  <c r="S94" i="3" s="1"/>
  <c r="R31" i="3"/>
  <c r="R26" i="3"/>
  <c r="R28" i="3"/>
  <c r="R68" i="3"/>
  <c r="R57" i="3"/>
  <c r="R80" i="3"/>
  <c r="S80" i="3" s="1"/>
  <c r="R64" i="3"/>
  <c r="R43" i="3"/>
  <c r="R53" i="3"/>
  <c r="S53" i="3" s="1"/>
  <c r="Q81" i="5"/>
  <c r="Q76" i="5"/>
  <c r="Q45" i="5"/>
  <c r="Q37" i="5"/>
  <c r="Q33" i="5"/>
  <c r="Q77" i="5"/>
  <c r="Q103" i="5"/>
  <c r="Q55" i="5"/>
  <c r="Q71" i="5"/>
  <c r="Q36" i="5"/>
  <c r="R99" i="3"/>
  <c r="R85" i="3"/>
  <c r="R96" i="3"/>
  <c r="R58" i="3"/>
  <c r="S58" i="3" s="1"/>
  <c r="R42" i="3"/>
  <c r="R75" i="3"/>
  <c r="R41" i="3"/>
  <c r="R18" i="3"/>
  <c r="R36" i="3"/>
  <c r="R19" i="3"/>
  <c r="R22" i="3"/>
  <c r="Q29" i="5"/>
  <c r="Q122" i="17" s="1"/>
  <c r="Q25" i="5"/>
  <c r="Q101" i="5"/>
  <c r="Q48" i="5"/>
  <c r="Q49" i="5"/>
  <c r="Q20" i="5"/>
  <c r="Q23" i="5"/>
  <c r="Q94" i="5"/>
  <c r="Q43" i="5"/>
  <c r="R33" i="3"/>
  <c r="R69" i="17" s="1"/>
  <c r="Q83" i="5"/>
  <c r="Q126" i="17" s="1"/>
  <c r="P28" i="16"/>
  <c r="S28" i="16" s="1"/>
  <c r="R72" i="3"/>
  <c r="R63" i="3"/>
  <c r="R97" i="3"/>
  <c r="R77" i="3"/>
  <c r="S77" i="3" s="1"/>
  <c r="R16" i="3"/>
  <c r="R27" i="3"/>
  <c r="R81" i="3"/>
  <c r="R52" i="3"/>
  <c r="S52" i="3" s="1"/>
  <c r="R59" i="3"/>
  <c r="Q46" i="5"/>
  <c r="Q102" i="5"/>
  <c r="Q141" i="15" s="1"/>
  <c r="Q51" i="5"/>
  <c r="Q34" i="5"/>
  <c r="Q52" i="5"/>
  <c r="Q75" i="5"/>
  <c r="Q95" i="5"/>
  <c r="Q135" i="17" s="1"/>
  <c r="Q53" i="5"/>
  <c r="Q21" i="5"/>
  <c r="R30" i="3"/>
  <c r="R68" i="17" s="1"/>
  <c r="Q85" i="5"/>
  <c r="R100" i="3"/>
  <c r="R138" i="16" s="1"/>
  <c r="R65" i="3"/>
  <c r="R39" i="3"/>
  <c r="S39" i="3" s="1"/>
  <c r="R67" i="3"/>
  <c r="R23" i="3"/>
  <c r="R45" i="3"/>
  <c r="R78" i="3"/>
  <c r="S78" i="3" s="1"/>
  <c r="R60" i="3"/>
  <c r="S60" i="3" s="1"/>
  <c r="R38" i="3"/>
  <c r="Q44" i="5"/>
  <c r="Q61" i="5"/>
  <c r="Q59" i="5"/>
  <c r="Q96" i="5"/>
  <c r="Q39" i="5"/>
  <c r="Q22" i="5"/>
  <c r="Q66" i="5"/>
  <c r="Q41" i="5"/>
  <c r="Q62" i="5"/>
  <c r="R13" i="3"/>
  <c r="R67" i="17" s="1"/>
  <c r="R87" i="3"/>
  <c r="Q84" i="5"/>
  <c r="V123" i="9"/>
  <c r="R47" i="10"/>
  <c r="Q52" i="3"/>
  <c r="Q98" i="3"/>
  <c r="V82" i="5"/>
  <c r="R100" i="17"/>
  <c r="R104" i="15"/>
  <c r="R105" i="17"/>
  <c r="R31" i="16"/>
  <c r="S31" i="16" s="1"/>
  <c r="R92" i="15"/>
  <c r="R99" i="17"/>
  <c r="R103" i="17" s="1"/>
  <c r="P85" i="3"/>
  <c r="P94" i="3"/>
  <c r="P93" i="3"/>
  <c r="R124" i="16"/>
  <c r="Q67" i="10"/>
  <c r="Q76" i="16" s="1"/>
  <c r="Q84" i="16" s="1"/>
  <c r="Q24" i="3"/>
  <c r="V164" i="9"/>
  <c r="Q50" i="3"/>
  <c r="Q124" i="16"/>
  <c r="Q85" i="3"/>
  <c r="Q94" i="3"/>
  <c r="Q93" i="3"/>
  <c r="Q28" i="16"/>
  <c r="Q15" i="16"/>
  <c r="S15" i="16" s="1"/>
  <c r="Q19" i="16"/>
  <c r="S19" i="16" s="1"/>
  <c r="Q17" i="16"/>
  <c r="S17" i="16" s="1"/>
  <c r="Q14" i="16"/>
  <c r="S14" i="16" s="1"/>
  <c r="Q18" i="16"/>
  <c r="S18" i="16" s="1"/>
  <c r="Q13" i="16"/>
  <c r="S13" i="16" s="1"/>
  <c r="Q16" i="16"/>
  <c r="S16" i="16" s="1"/>
  <c r="R127" i="17"/>
  <c r="R105" i="15"/>
  <c r="Q105" i="15"/>
  <c r="Q127" i="17"/>
  <c r="Q88" i="7"/>
  <c r="Q86" i="7"/>
  <c r="P88" i="7"/>
  <c r="P86" i="7"/>
  <c r="R88" i="7"/>
  <c r="R86" i="7"/>
  <c r="S86" i="7" s="1"/>
  <c r="Q85" i="7"/>
  <c r="Q83" i="7"/>
  <c r="Q94" i="7"/>
  <c r="Q93" i="7"/>
  <c r="P94" i="7"/>
  <c r="P85" i="7"/>
  <c r="P83" i="7"/>
  <c r="P93" i="7"/>
  <c r="R94" i="7"/>
  <c r="S94" i="7" s="1"/>
  <c r="R85" i="7"/>
  <c r="S85" i="7" s="1"/>
  <c r="R83" i="7"/>
  <c r="R93" i="7"/>
  <c r="S93" i="7" s="1"/>
  <c r="R25" i="6"/>
  <c r="P53" i="6"/>
  <c r="P73" i="6"/>
  <c r="R54" i="6"/>
  <c r="R76" i="6"/>
  <c r="P98" i="6"/>
  <c r="P65" i="6"/>
  <c r="P52" i="6"/>
  <c r="P27" i="6"/>
  <c r="P72" i="6"/>
  <c r="P105" i="6"/>
  <c r="R65" i="6"/>
  <c r="R70" i="6"/>
  <c r="R55" i="6"/>
  <c r="P80" i="6"/>
  <c r="R106" i="6"/>
  <c r="R6" i="6" s="1"/>
  <c r="R87" i="6"/>
  <c r="R84" i="6"/>
  <c r="R88" i="6"/>
  <c r="R85" i="6"/>
  <c r="R82" i="6"/>
  <c r="R83" i="6"/>
  <c r="R86" i="6"/>
  <c r="P75" i="6"/>
  <c r="P88" i="6"/>
  <c r="P85" i="6"/>
  <c r="P84" i="6"/>
  <c r="P82" i="6"/>
  <c r="P87" i="6"/>
  <c r="P83" i="6"/>
  <c r="P86" i="6"/>
  <c r="P74" i="6"/>
  <c r="R13" i="6"/>
  <c r="R148" i="17" s="1"/>
  <c r="R104" i="6"/>
  <c r="R141" i="16" s="1"/>
  <c r="P66" i="6"/>
  <c r="Q88" i="6"/>
  <c r="Q87" i="6"/>
  <c r="Q84" i="6"/>
  <c r="Q82" i="6"/>
  <c r="Q85" i="6"/>
  <c r="Q83" i="6"/>
  <c r="Q86" i="6"/>
  <c r="P67" i="6"/>
  <c r="P71" i="6"/>
  <c r="P26" i="6"/>
  <c r="R59" i="6"/>
  <c r="R97" i="6"/>
  <c r="R31" i="6"/>
  <c r="R66" i="6"/>
  <c r="R103" i="6"/>
  <c r="R51" i="6"/>
  <c r="R69" i="6"/>
  <c r="R99" i="6"/>
  <c r="R64" i="6"/>
  <c r="R74" i="6"/>
  <c r="R77" i="6"/>
  <c r="R57" i="6"/>
  <c r="P99" i="6"/>
  <c r="P57" i="6"/>
  <c r="P14" i="6"/>
  <c r="P50" i="6"/>
  <c r="P61" i="6"/>
  <c r="P25" i="6"/>
  <c r="P54" i="6"/>
  <c r="P24" i="6"/>
  <c r="P60" i="6"/>
  <c r="P94" i="6"/>
  <c r="R78" i="6"/>
  <c r="R71" i="6"/>
  <c r="R27" i="6"/>
  <c r="R75" i="6"/>
  <c r="R24" i="6"/>
  <c r="R50" i="6"/>
  <c r="R94" i="6"/>
  <c r="R100" i="6"/>
  <c r="R61" i="6"/>
  <c r="R81" i="6"/>
  <c r="R93" i="6"/>
  <c r="R67" i="6"/>
  <c r="P69" i="6"/>
  <c r="P97" i="6"/>
  <c r="P150" i="17"/>
  <c r="P58" i="6"/>
  <c r="P49" i="6"/>
  <c r="P28" i="6"/>
  <c r="P100" i="6"/>
  <c r="P51" i="6"/>
  <c r="P64" i="6"/>
  <c r="P79" i="6"/>
  <c r="R72" i="6"/>
  <c r="R53" i="6"/>
  <c r="R60" i="6"/>
  <c r="R105" i="6"/>
  <c r="R28" i="6"/>
  <c r="R73" i="6"/>
  <c r="R63" i="6"/>
  <c r="R80" i="6"/>
  <c r="R62" i="6"/>
  <c r="R49" i="6"/>
  <c r="R79" i="6"/>
  <c r="R14" i="6"/>
  <c r="R58" i="6"/>
  <c r="R52" i="6"/>
  <c r="R26" i="6"/>
  <c r="R56" i="6"/>
  <c r="P63" i="6"/>
  <c r="P59" i="6"/>
  <c r="P56" i="6"/>
  <c r="P77" i="6"/>
  <c r="P62" i="6"/>
  <c r="P55" i="6"/>
  <c r="P81" i="6"/>
  <c r="P93" i="6"/>
  <c r="P70" i="6"/>
  <c r="P31" i="6"/>
  <c r="R93" i="15"/>
  <c r="R126" i="17"/>
  <c r="Q93" i="15"/>
  <c r="P88" i="5"/>
  <c r="P87" i="5"/>
  <c r="P86" i="5"/>
  <c r="S86" i="5" s="1"/>
  <c r="P85" i="5"/>
  <c r="P84" i="5"/>
  <c r="P83" i="5"/>
  <c r="R32" i="16"/>
  <c r="R132" i="17"/>
  <c r="R140" i="17"/>
  <c r="R139" i="17" s="1"/>
  <c r="R128" i="16"/>
  <c r="R116" i="16" s="1"/>
  <c r="Q140" i="17"/>
  <c r="Q128" i="16"/>
  <c r="R141" i="15"/>
  <c r="R140" i="16"/>
  <c r="R135" i="17"/>
  <c r="R68" i="16"/>
  <c r="Q68" i="16"/>
  <c r="Q132" i="17"/>
  <c r="Q32" i="16"/>
  <c r="P94" i="4"/>
  <c r="P93" i="4"/>
  <c r="Q94" i="4"/>
  <c r="Q93" i="4"/>
  <c r="Q87" i="4"/>
  <c r="Q84" i="4"/>
  <c r="Q85" i="4"/>
  <c r="Q88" i="4"/>
  <c r="Q83" i="4"/>
  <c r="Q86" i="4"/>
  <c r="P87" i="4"/>
  <c r="P84" i="4"/>
  <c r="P85" i="4"/>
  <c r="P86" i="4"/>
  <c r="P88" i="4"/>
  <c r="P83" i="4"/>
  <c r="R7" i="4"/>
  <c r="P88" i="3"/>
  <c r="P87" i="3"/>
  <c r="Q44" i="3"/>
  <c r="Q88" i="3"/>
  <c r="Q87" i="3"/>
  <c r="Q81" i="3"/>
  <c r="Q69" i="3"/>
  <c r="Q23" i="3"/>
  <c r="Q20" i="3"/>
  <c r="Q55" i="3"/>
  <c r="Q77" i="3"/>
  <c r="R66" i="16"/>
  <c r="R81" i="17"/>
  <c r="Q37" i="3"/>
  <c r="Q59" i="3"/>
  <c r="Q62" i="3"/>
  <c r="Q19" i="3"/>
  <c r="Q60" i="3"/>
  <c r="Q72" i="3"/>
  <c r="R126" i="16"/>
  <c r="R114" i="16" s="1"/>
  <c r="R86" i="17"/>
  <c r="Q94" i="2"/>
  <c r="Q93" i="2"/>
  <c r="R48" i="2"/>
  <c r="R94" i="2"/>
  <c r="S94" i="2" s="1"/>
  <c r="R93" i="2"/>
  <c r="S93" i="2" s="1"/>
  <c r="P94" i="2"/>
  <c r="P93" i="2"/>
  <c r="R32" i="2"/>
  <c r="R29" i="2"/>
  <c r="R35" i="2"/>
  <c r="R36" i="2"/>
  <c r="R19" i="2"/>
  <c r="R27" i="2"/>
  <c r="S27" i="2" s="1"/>
  <c r="R52" i="2"/>
  <c r="R72" i="2"/>
  <c r="R56" i="2"/>
  <c r="R62" i="2"/>
  <c r="R18" i="2"/>
  <c r="R76" i="2"/>
  <c r="R37" i="2"/>
  <c r="R70" i="2"/>
  <c r="S70" i="2" s="1"/>
  <c r="R25" i="2"/>
  <c r="S25" i="2" s="1"/>
  <c r="R39" i="2"/>
  <c r="S39" i="2" s="1"/>
  <c r="R54" i="2"/>
  <c r="R63" i="2"/>
  <c r="S63" i="2" s="1"/>
  <c r="R74" i="2"/>
  <c r="R15" i="2"/>
  <c r="R102" i="2"/>
  <c r="R6" i="2" s="1"/>
  <c r="R26" i="2"/>
  <c r="S26" i="2" s="1"/>
  <c r="R20" i="2"/>
  <c r="R66" i="2"/>
  <c r="R97" i="2"/>
  <c r="R67" i="2"/>
  <c r="R38" i="2"/>
  <c r="S38" i="2" s="1"/>
  <c r="R99" i="2"/>
  <c r="Q13" i="2"/>
  <c r="Q87" i="2"/>
  <c r="Q84" i="2"/>
  <c r="Q86" i="2"/>
  <c r="Q83" i="2"/>
  <c r="R13" i="2"/>
  <c r="R87" i="2"/>
  <c r="S87" i="2" s="1"/>
  <c r="R84" i="2"/>
  <c r="R83" i="2"/>
  <c r="R86" i="2"/>
  <c r="S86" i="2" s="1"/>
  <c r="P13" i="2"/>
  <c r="P84" i="2"/>
  <c r="P87" i="2"/>
  <c r="P86" i="2"/>
  <c r="P102" i="15" s="1"/>
  <c r="P83" i="2"/>
  <c r="R73" i="2"/>
  <c r="R96" i="2"/>
  <c r="R75" i="2"/>
  <c r="R80" i="2"/>
  <c r="R49" i="2"/>
  <c r="R21" i="2"/>
  <c r="R34" i="2"/>
  <c r="R100" i="2"/>
  <c r="R137" i="16" s="1"/>
  <c r="R17" i="2"/>
  <c r="R40" i="2"/>
  <c r="S40" i="2" s="1"/>
  <c r="R60" i="2"/>
  <c r="S60" i="2" s="1"/>
  <c r="R69" i="2"/>
  <c r="S69" i="2" s="1"/>
  <c r="R33" i="2"/>
  <c r="R79" i="2"/>
  <c r="R47" i="2"/>
  <c r="S47" i="2" s="1"/>
  <c r="R78" i="2"/>
  <c r="R65" i="2"/>
  <c r="S65" i="2" s="1"/>
  <c r="R43" i="2"/>
  <c r="R89" i="2"/>
  <c r="R5" i="2" s="1"/>
  <c r="R179" i="9" s="1"/>
  <c r="R71" i="2"/>
  <c r="R101" i="2"/>
  <c r="R55" i="2"/>
  <c r="R16" i="2"/>
  <c r="R58" i="2"/>
  <c r="R68" i="2"/>
  <c r="S68" i="2" s="1"/>
  <c r="R77" i="2"/>
  <c r="R44" i="2"/>
  <c r="R59" i="2"/>
  <c r="S59" i="2" s="1"/>
  <c r="R95" i="2"/>
  <c r="R65" i="16" s="1"/>
  <c r="R64" i="2"/>
  <c r="R51" i="2"/>
  <c r="R46" i="2"/>
  <c r="R22" i="2"/>
  <c r="R61" i="2"/>
  <c r="S61" i="2" s="1"/>
  <c r="R81" i="2"/>
  <c r="S81" i="2" s="1"/>
  <c r="R50" i="2"/>
  <c r="V109" i="9"/>
  <c r="V63" i="9"/>
  <c r="T122" i="9"/>
  <c r="V39" i="9"/>
  <c r="V59" i="9"/>
  <c r="T125" i="9"/>
  <c r="V156" i="9"/>
  <c r="V158" i="9"/>
  <c r="V99" i="9"/>
  <c r="T78" i="9"/>
  <c r="V47" i="9"/>
  <c r="V56" i="9"/>
  <c r="R67" i="16"/>
  <c r="R108" i="17"/>
  <c r="R113" i="17"/>
  <c r="R112" i="17" s="1"/>
  <c r="R127" i="16"/>
  <c r="R115" i="16" s="1"/>
  <c r="E41" i="11"/>
  <c r="M37" i="11"/>
  <c r="R140" i="15"/>
  <c r="R139" i="16"/>
  <c r="T32" i="11"/>
  <c r="V17" i="10"/>
  <c r="V79" i="10"/>
  <c r="V24" i="10"/>
  <c r="V64" i="10"/>
  <c r="V21" i="10"/>
  <c r="Q72" i="10"/>
  <c r="V74" i="10"/>
  <c r="V69" i="9"/>
  <c r="V112" i="9"/>
  <c r="V84" i="9"/>
  <c r="V34" i="10"/>
  <c r="V62" i="10"/>
  <c r="V23" i="10"/>
  <c r="Q96" i="3"/>
  <c r="Q84" i="3"/>
  <c r="Q72" i="17" s="1"/>
  <c r="Q66" i="3"/>
  <c r="Q42" i="3"/>
  <c r="Q48" i="3"/>
  <c r="Q18" i="3"/>
  <c r="Q36" i="3"/>
  <c r="Q49" i="3"/>
  <c r="Q64" i="3"/>
  <c r="Q39" i="3"/>
  <c r="Q41" i="3"/>
  <c r="Q27" i="3"/>
  <c r="Q76" i="3"/>
  <c r="Q61" i="3"/>
  <c r="Q28" i="3"/>
  <c r="Q47" i="3"/>
  <c r="Q57" i="3"/>
  <c r="V37" i="9"/>
  <c r="V21" i="9"/>
  <c r="V142" i="9"/>
  <c r="Q100" i="3"/>
  <c r="V70" i="10"/>
  <c r="S104" i="9"/>
  <c r="V104" i="9" s="1"/>
  <c r="V54" i="10"/>
  <c r="V32" i="10"/>
  <c r="Q34" i="3"/>
  <c r="Q25" i="3"/>
  <c r="Q54" i="3"/>
  <c r="Q97" i="3"/>
  <c r="Q71" i="3"/>
  <c r="Q45" i="3"/>
  <c r="Q56" i="3"/>
  <c r="Q80" i="3"/>
  <c r="Q73" i="3"/>
  <c r="Q51" i="3"/>
  <c r="Q17" i="3"/>
  <c r="Q78" i="3"/>
  <c r="Q16" i="3"/>
  <c r="Q68" i="3"/>
  <c r="Q82" i="3"/>
  <c r="Q53" i="3"/>
  <c r="Q58" i="3"/>
  <c r="V108" i="9"/>
  <c r="T16" i="9"/>
  <c r="V121" i="9"/>
  <c r="T19" i="9"/>
  <c r="V66" i="9"/>
  <c r="V155" i="9"/>
  <c r="V165" i="9"/>
  <c r="V140" i="9"/>
  <c r="Q31" i="3"/>
  <c r="V153" i="9"/>
  <c r="V98" i="9"/>
  <c r="V49" i="10"/>
  <c r="V37" i="10"/>
  <c r="V20" i="10"/>
  <c r="V92" i="10"/>
  <c r="Q25" i="10"/>
  <c r="Q50" i="10"/>
  <c r="V116" i="9"/>
  <c r="Q75" i="3"/>
  <c r="Q63" i="3"/>
  <c r="Q67" i="3"/>
  <c r="Q70" i="3"/>
  <c r="Q29" i="3"/>
  <c r="S29" i="3" s="1"/>
  <c r="Q65" i="3"/>
  <c r="Q35" i="3"/>
  <c r="Q74" i="3"/>
  <c r="Q40" i="3"/>
  <c r="Q101" i="3"/>
  <c r="Q79" i="3"/>
  <c r="S79" i="3" s="1"/>
  <c r="Q46" i="3"/>
  <c r="Q21" i="3"/>
  <c r="Q22" i="3"/>
  <c r="Q38" i="3"/>
  <c r="Q43" i="3"/>
  <c r="V79" i="9"/>
  <c r="V136" i="9"/>
  <c r="V157" i="9"/>
  <c r="V137" i="9"/>
  <c r="V71" i="9"/>
  <c r="V154" i="9"/>
  <c r="V88" i="9"/>
  <c r="V85" i="10"/>
  <c r="V96" i="9"/>
  <c r="V97" i="9"/>
  <c r="V102" i="9"/>
  <c r="V95" i="9"/>
  <c r="V113" i="9"/>
  <c r="T34" i="9"/>
  <c r="V55" i="9"/>
  <c r="V101" i="9"/>
  <c r="V89" i="10"/>
  <c r="V35" i="9"/>
  <c r="R50" i="10"/>
  <c r="V51" i="9"/>
  <c r="V53" i="9"/>
  <c r="P30" i="3"/>
  <c r="P33" i="3"/>
  <c r="P95" i="3"/>
  <c r="V114" i="9"/>
  <c r="V93" i="10"/>
  <c r="Q42" i="10"/>
  <c r="Q39" i="10" s="1"/>
  <c r="V57" i="10"/>
  <c r="V166" i="9"/>
  <c r="V46" i="9"/>
  <c r="V152" i="9"/>
  <c r="V115" i="9"/>
  <c r="T67" i="9"/>
  <c r="V127" i="9"/>
  <c r="V141" i="9"/>
  <c r="V150" i="9"/>
  <c r="V42" i="9"/>
  <c r="V143" i="9"/>
  <c r="V46" i="10"/>
  <c r="V17" i="9"/>
  <c r="V60" i="9"/>
  <c r="V58" i="9"/>
  <c r="V56" i="10"/>
  <c r="V82" i="10"/>
  <c r="V58" i="10"/>
  <c r="V86" i="10"/>
  <c r="V52" i="9"/>
  <c r="V111" i="9"/>
  <c r="V132" i="9"/>
  <c r="V48" i="9"/>
  <c r="V57" i="9"/>
  <c r="V76" i="9"/>
  <c r="V20" i="9"/>
  <c r="Q15" i="3"/>
  <c r="Q33" i="3"/>
  <c r="Q69" i="17" s="1"/>
  <c r="Q95" i="3"/>
  <c r="Q13" i="3"/>
  <c r="Q30" i="3"/>
  <c r="Q68" i="17" s="1"/>
  <c r="Q99" i="3"/>
  <c r="Q102" i="3"/>
  <c r="V28" i="11"/>
  <c r="V34" i="11"/>
  <c r="T34" i="11"/>
  <c r="R189" i="9"/>
  <c r="P72" i="10"/>
  <c r="Q76" i="6"/>
  <c r="Q78" i="6"/>
  <c r="Q103" i="6"/>
  <c r="Q74" i="6"/>
  <c r="Q104" i="6"/>
  <c r="Q50" i="6"/>
  <c r="Q51" i="6"/>
  <c r="Q31" i="6"/>
  <c r="Q49" i="6"/>
  <c r="Q62" i="6"/>
  <c r="Q72" i="6"/>
  <c r="Q27" i="6"/>
  <c r="Q66" i="6"/>
  <c r="Q24" i="6"/>
  <c r="Q70" i="6"/>
  <c r="Q94" i="6"/>
  <c r="Q55" i="6"/>
  <c r="Q99" i="6"/>
  <c r="Q64" i="6"/>
  <c r="Q65" i="6"/>
  <c r="Q79" i="6"/>
  <c r="Q71" i="6"/>
  <c r="Q97" i="6"/>
  <c r="Q56" i="6"/>
  <c r="Q100" i="6"/>
  <c r="Q57" i="6"/>
  <c r="Q63" i="6"/>
  <c r="Q25" i="6"/>
  <c r="Q28" i="6"/>
  <c r="Q58" i="6"/>
  <c r="Q105" i="6"/>
  <c r="Q98" i="6"/>
  <c r="Q54" i="6"/>
  <c r="Q80" i="6"/>
  <c r="Q93" i="6"/>
  <c r="Q69" i="6"/>
  <c r="Q73" i="6"/>
  <c r="Q77" i="6"/>
  <c r="Q59" i="6"/>
  <c r="Q75" i="6"/>
  <c r="Q26" i="6"/>
  <c r="Q53" i="6"/>
  <c r="Q81" i="6"/>
  <c r="Q61" i="6"/>
  <c r="Q14" i="6"/>
  <c r="Q52" i="6"/>
  <c r="Q60" i="6"/>
  <c r="Q89" i="6"/>
  <c r="Q5" i="6" s="1"/>
  <c r="Q183" i="9" s="1"/>
  <c r="Q67" i="6"/>
  <c r="Q149" i="17"/>
  <c r="Q13" i="6"/>
  <c r="Q148" i="17" s="1"/>
  <c r="Q106" i="6"/>
  <c r="Q6" i="6" s="1"/>
  <c r="V38" i="10"/>
  <c r="P67" i="10"/>
  <c r="S67" i="10" s="1"/>
  <c r="V83" i="10"/>
  <c r="V36" i="10"/>
  <c r="V84" i="10"/>
  <c r="V91" i="10"/>
  <c r="Q73" i="7"/>
  <c r="Q78" i="7"/>
  <c r="Q35" i="7"/>
  <c r="Q95" i="7"/>
  <c r="Q67" i="7"/>
  <c r="Q66" i="7" s="1"/>
  <c r="Q65" i="7"/>
  <c r="Q43" i="7"/>
  <c r="Q69" i="7"/>
  <c r="Q36" i="7"/>
  <c r="Q98" i="7"/>
  <c r="Q44" i="7"/>
  <c r="Q82" i="7"/>
  <c r="Q19" i="7"/>
  <c r="Q33" i="7"/>
  <c r="Q76" i="7"/>
  <c r="Q52" i="7"/>
  <c r="Q49" i="7"/>
  <c r="Q97" i="7"/>
  <c r="Q80" i="7"/>
  <c r="Q77" i="7"/>
  <c r="Q72" i="7"/>
  <c r="Q81" i="7"/>
  <c r="Q63" i="7"/>
  <c r="Q100" i="7"/>
  <c r="Q62" i="7"/>
  <c r="Q17" i="7"/>
  <c r="Q31" i="7"/>
  <c r="Q75" i="7"/>
  <c r="Q60" i="7"/>
  <c r="Q28" i="7"/>
  <c r="Q64" i="7"/>
  <c r="Q22" i="7"/>
  <c r="Q46" i="7"/>
  <c r="Q34" i="7"/>
  <c r="Q58" i="7"/>
  <c r="Q53" i="7"/>
  <c r="Q79" i="7"/>
  <c r="Q96" i="7"/>
  <c r="Q56" i="7"/>
  <c r="Q27" i="7"/>
  <c r="Q23" i="7"/>
  <c r="Q70" i="7"/>
  <c r="Q24" i="7"/>
  <c r="Q20" i="7"/>
  <c r="Q68" i="7"/>
  <c r="Q37" i="7"/>
  <c r="Q40" i="7"/>
  <c r="Q21" i="7"/>
  <c r="Q15" i="7"/>
  <c r="Q47" i="7"/>
  <c r="Q50" i="7"/>
  <c r="Q42" i="7"/>
  <c r="Q16" i="7"/>
  <c r="Q102" i="7"/>
  <c r="Q6" i="7" s="1"/>
  <c r="Q18" i="7"/>
  <c r="Q55" i="7"/>
  <c r="Q51" i="7"/>
  <c r="Q59" i="7"/>
  <c r="Q26" i="7"/>
  <c r="Q99" i="7"/>
  <c r="Q57" i="7"/>
  <c r="Q41" i="7"/>
  <c r="Q54" i="7"/>
  <c r="Q38" i="7"/>
  <c r="Q39" i="7"/>
  <c r="Q25" i="7"/>
  <c r="Q30" i="7"/>
  <c r="Q13" i="7"/>
  <c r="Q175" i="17" s="1"/>
  <c r="Q74" i="7"/>
  <c r="Q14" i="7"/>
  <c r="Q32" i="7"/>
  <c r="Q177" i="17" s="1"/>
  <c r="Q61" i="7"/>
  <c r="Q29" i="7"/>
  <c r="Q176" i="17" s="1"/>
  <c r="Q101" i="7"/>
  <c r="Q45" i="7"/>
  <c r="Q89" i="7"/>
  <c r="Q5" i="7" s="1"/>
  <c r="Q184" i="9" s="1"/>
  <c r="V43" i="9"/>
  <c r="R33" i="15"/>
  <c r="R216" i="9"/>
  <c r="V68" i="9"/>
  <c r="V91" i="9"/>
  <c r="V87" i="9"/>
  <c r="V126" i="9"/>
  <c r="T126" i="9"/>
  <c r="V100" i="9"/>
  <c r="T132" i="9"/>
  <c r="V73" i="9"/>
  <c r="V94" i="9"/>
  <c r="T30" i="11"/>
  <c r="V30" i="11"/>
  <c r="V160" i="9"/>
  <c r="V60" i="10"/>
  <c r="R80" i="10"/>
  <c r="R72" i="10"/>
  <c r="R30" i="10"/>
  <c r="V110" i="9"/>
  <c r="V86" i="9"/>
  <c r="V78" i="10"/>
  <c r="R67" i="10"/>
  <c r="V29" i="11"/>
  <c r="T29" i="11"/>
  <c r="V64" i="9"/>
  <c r="P81" i="2"/>
  <c r="P45" i="2"/>
  <c r="P52" i="2"/>
  <c r="P50" i="2"/>
  <c r="P69" i="2"/>
  <c r="P56" i="2"/>
  <c r="P22" i="2"/>
  <c r="P44" i="2"/>
  <c r="P17" i="2"/>
  <c r="P61" i="2"/>
  <c r="P59" i="2"/>
  <c r="P30" i="2"/>
  <c r="P71" i="2"/>
  <c r="P99" i="2"/>
  <c r="P55" i="2"/>
  <c r="P18" i="2"/>
  <c r="P65" i="2"/>
  <c r="P19" i="2"/>
  <c r="P40" i="2"/>
  <c r="P62" i="2"/>
  <c r="P33" i="2"/>
  <c r="P95" i="2"/>
  <c r="P47" i="2"/>
  <c r="P37" i="2"/>
  <c r="P77" i="2"/>
  <c r="P97" i="2"/>
  <c r="P38" i="2"/>
  <c r="P51" i="2"/>
  <c r="P74" i="2"/>
  <c r="P21" i="2"/>
  <c r="P49" i="2"/>
  <c r="P16" i="2"/>
  <c r="P60" i="2"/>
  <c r="P27" i="2"/>
  <c r="P39" i="2"/>
  <c r="P100" i="2"/>
  <c r="P76" i="2"/>
  <c r="P43" i="2"/>
  <c r="P64" i="2"/>
  <c r="P34" i="2"/>
  <c r="P42" i="2"/>
  <c r="P48" i="2"/>
  <c r="P79" i="2"/>
  <c r="P25" i="2"/>
  <c r="P57" i="2"/>
  <c r="P41" i="2"/>
  <c r="P80" i="2"/>
  <c r="P66" i="2"/>
  <c r="P96" i="2"/>
  <c r="P67" i="2"/>
  <c r="P68" i="2"/>
  <c r="P89" i="2"/>
  <c r="P75" i="2"/>
  <c r="P26" i="2"/>
  <c r="P29" i="2"/>
  <c r="P54" i="2"/>
  <c r="P70" i="2"/>
  <c r="P58" i="2"/>
  <c r="P101" i="2"/>
  <c r="P20" i="2"/>
  <c r="P23" i="2"/>
  <c r="P98" i="2"/>
  <c r="P72" i="2"/>
  <c r="P53" i="2"/>
  <c r="P36" i="2"/>
  <c r="P102" i="2"/>
  <c r="P63" i="2"/>
  <c r="P15" i="2"/>
  <c r="P73" i="2"/>
  <c r="P32" i="2"/>
  <c r="P78" i="2"/>
  <c r="S78" i="2" s="1"/>
  <c r="P46" i="2"/>
  <c r="P35" i="2"/>
  <c r="V50" i="9"/>
  <c r="P233" i="9"/>
  <c r="Q232" i="9"/>
  <c r="Q57" i="15"/>
  <c r="Q216" i="9"/>
  <c r="Q33" i="15"/>
  <c r="T114" i="9"/>
  <c r="Q80" i="10"/>
  <c r="P25" i="10"/>
  <c r="S25" i="10" s="1"/>
  <c r="T26" i="10"/>
  <c r="V139" i="9"/>
  <c r="V71" i="10"/>
  <c r="V147" i="9"/>
  <c r="Q38" i="4"/>
  <c r="Q81" i="4"/>
  <c r="Q72" i="4"/>
  <c r="Q45" i="4"/>
  <c r="Q54" i="4"/>
  <c r="Q80" i="4"/>
  <c r="Q48" i="4"/>
  <c r="Q19" i="4"/>
  <c r="Q69" i="4"/>
  <c r="Q41" i="4"/>
  <c r="Q101" i="4"/>
  <c r="Q95" i="4"/>
  <c r="Q20" i="4"/>
  <c r="Q47" i="4"/>
  <c r="Q43" i="4"/>
  <c r="Q35" i="4"/>
  <c r="Q52" i="4"/>
  <c r="Q100" i="4"/>
  <c r="Q33" i="4"/>
  <c r="Q53" i="4"/>
  <c r="Q63" i="4"/>
  <c r="Q59" i="4"/>
  <c r="Q27" i="4"/>
  <c r="Q71" i="4"/>
  <c r="Q74" i="4"/>
  <c r="Q18" i="4"/>
  <c r="Q64" i="4"/>
  <c r="Q46" i="4"/>
  <c r="Q77" i="4"/>
  <c r="Q55" i="4"/>
  <c r="Q73" i="4"/>
  <c r="Q62" i="4"/>
  <c r="Q25" i="4"/>
  <c r="Q96" i="4"/>
  <c r="Q70" i="4"/>
  <c r="Q57" i="4"/>
  <c r="Q78" i="4"/>
  <c r="Q97" i="4"/>
  <c r="Q79" i="4"/>
  <c r="Q66" i="4"/>
  <c r="Q50" i="4"/>
  <c r="Q56" i="4"/>
  <c r="Q37" i="4"/>
  <c r="Q17" i="4"/>
  <c r="Q49" i="4"/>
  <c r="Q40" i="4"/>
  <c r="Q28" i="4"/>
  <c r="Q42" i="4"/>
  <c r="Q22" i="4"/>
  <c r="Q34" i="4"/>
  <c r="Q51" i="4"/>
  <c r="Q16" i="4"/>
  <c r="Q36" i="4"/>
  <c r="Q24" i="4"/>
  <c r="Q65" i="4"/>
  <c r="Q58" i="4"/>
  <c r="Q23" i="4"/>
  <c r="Q75" i="4"/>
  <c r="Q76" i="4"/>
  <c r="Q14" i="4"/>
  <c r="Q61" i="4"/>
  <c r="Q98" i="4"/>
  <c r="Q13" i="4"/>
  <c r="Q94" i="17" s="1"/>
  <c r="Q32" i="4"/>
  <c r="Q96" i="17" s="1"/>
  <c r="Q21" i="4"/>
  <c r="Q26" i="4"/>
  <c r="Q30" i="4"/>
  <c r="Q67" i="4"/>
  <c r="Q68" i="4"/>
  <c r="Q44" i="4"/>
  <c r="Q15" i="4"/>
  <c r="Q39" i="4"/>
  <c r="Q29" i="4"/>
  <c r="Q95" i="17" s="1"/>
  <c r="Q99" i="4"/>
  <c r="Q60" i="4"/>
  <c r="Q102" i="4"/>
  <c r="Q6" i="4" s="1"/>
  <c r="Q89" i="4"/>
  <c r="Q5" i="4" s="1"/>
  <c r="Q181" i="9" s="1"/>
  <c r="V107" i="9"/>
  <c r="Q70" i="2"/>
  <c r="Q76" i="2"/>
  <c r="Q58" i="2"/>
  <c r="Q19" i="2"/>
  <c r="Q44" i="2"/>
  <c r="Q33" i="2"/>
  <c r="Q97" i="2"/>
  <c r="Q73" i="2"/>
  <c r="Q74" i="2"/>
  <c r="Q101" i="2"/>
  <c r="Q46" i="2"/>
  <c r="Q95" i="2"/>
  <c r="Q40" i="2"/>
  <c r="Q99" i="2"/>
  <c r="Q18" i="2"/>
  <c r="Q81" i="2"/>
  <c r="Q100" i="2"/>
  <c r="Q137" i="16" s="1"/>
  <c r="Q52" i="2"/>
  <c r="Q67" i="2"/>
  <c r="Q62" i="2"/>
  <c r="Q50" i="2"/>
  <c r="Q56" i="2"/>
  <c r="Q71" i="2"/>
  <c r="Q22" i="2"/>
  <c r="Q49" i="2"/>
  <c r="Q17" i="2"/>
  <c r="Q39" i="2"/>
  <c r="Q60" i="2"/>
  <c r="Q37" i="2"/>
  <c r="Q25" i="2"/>
  <c r="Q26" i="2"/>
  <c r="Q54" i="2"/>
  <c r="Q51" i="2"/>
  <c r="Q27" i="2"/>
  <c r="Q36" i="2"/>
  <c r="Q79" i="2"/>
  <c r="Q55" i="2"/>
  <c r="Q16" i="2"/>
  <c r="Q72" i="2"/>
  <c r="Q42" i="2"/>
  <c r="Q38" i="2"/>
  <c r="Q61" i="2"/>
  <c r="Q96" i="2"/>
  <c r="Q20" i="2"/>
  <c r="Q66" i="2"/>
  <c r="Q57" i="2"/>
  <c r="Q41" i="2"/>
  <c r="Q69" i="2"/>
  <c r="Q53" i="2"/>
  <c r="Q48" i="2"/>
  <c r="Q43" i="2"/>
  <c r="Q77" i="2"/>
  <c r="Q59" i="2"/>
  <c r="Q98" i="2"/>
  <c r="Q68" i="2"/>
  <c r="Q78" i="2"/>
  <c r="Q65" i="2"/>
  <c r="Q23" i="2"/>
  <c r="Q21" i="2"/>
  <c r="Q45" i="2"/>
  <c r="Q102" i="2"/>
  <c r="Q6" i="2" s="1"/>
  <c r="Q80" i="2"/>
  <c r="Q75" i="2"/>
  <c r="Q64" i="2"/>
  <c r="Q34" i="2"/>
  <c r="Q30" i="2"/>
  <c r="Q63" i="2"/>
  <c r="Q35" i="2"/>
  <c r="Q47" i="2"/>
  <c r="Q15" i="2"/>
  <c r="Q29" i="2"/>
  <c r="Q32" i="2"/>
  <c r="Q89" i="2"/>
  <c r="Q5" i="2" s="1"/>
  <c r="Q179" i="9" s="1"/>
  <c r="R44" i="15"/>
  <c r="R223" i="9"/>
  <c r="Q189" i="9"/>
  <c r="Q16" i="15"/>
  <c r="S16" i="15" s="1"/>
  <c r="Q15" i="15"/>
  <c r="S15" i="15" s="1"/>
  <c r="Q18" i="15"/>
  <c r="S18" i="15" s="1"/>
  <c r="Q17" i="15"/>
  <c r="Q20" i="15"/>
  <c r="S20" i="15" s="1"/>
  <c r="Q19" i="15"/>
  <c r="Q21" i="15"/>
  <c r="Q14" i="15"/>
  <c r="S14" i="15" s="1"/>
  <c r="Q13" i="15"/>
  <c r="R224" i="9"/>
  <c r="R45" i="15"/>
  <c r="V103" i="9"/>
  <c r="V149" i="9"/>
  <c r="V90" i="9"/>
  <c r="V49" i="9"/>
  <c r="V163" i="9"/>
  <c r="V162" i="9"/>
  <c r="V138" i="9"/>
  <c r="V61" i="9"/>
  <c r="R25" i="10"/>
  <c r="V151" i="9"/>
  <c r="V89" i="9"/>
  <c r="V41" i="9"/>
  <c r="P58" i="3"/>
  <c r="P45" i="3"/>
  <c r="S45" i="3" s="1"/>
  <c r="P46" i="3"/>
  <c r="S46" i="3" s="1"/>
  <c r="P68" i="3"/>
  <c r="P60" i="3"/>
  <c r="P29" i="3"/>
  <c r="P56" i="3"/>
  <c r="P57" i="3"/>
  <c r="P76" i="3"/>
  <c r="P55" i="3"/>
  <c r="V55" i="3" s="1"/>
  <c r="P36" i="3"/>
  <c r="P64" i="3"/>
  <c r="P80" i="3"/>
  <c r="P21" i="3"/>
  <c r="S21" i="3" s="1"/>
  <c r="P53" i="3"/>
  <c r="P40" i="3"/>
  <c r="V40" i="3" s="1"/>
  <c r="P38" i="3"/>
  <c r="P37" i="3"/>
  <c r="P63" i="3"/>
  <c r="P50" i="3"/>
  <c r="P59" i="3"/>
  <c r="P62" i="3"/>
  <c r="P26" i="3"/>
  <c r="P52" i="3"/>
  <c r="V52" i="3" s="1"/>
  <c r="P51" i="3"/>
  <c r="S51" i="3" s="1"/>
  <c r="T51" i="3" s="1"/>
  <c r="P20" i="3"/>
  <c r="P84" i="3"/>
  <c r="P23" i="3"/>
  <c r="P28" i="3"/>
  <c r="P65" i="3"/>
  <c r="P18" i="3"/>
  <c r="P71" i="3"/>
  <c r="P54" i="3"/>
  <c r="P82" i="3"/>
  <c r="P17" i="3"/>
  <c r="S17" i="3" s="1"/>
  <c r="P25" i="3"/>
  <c r="S25" i="3" s="1"/>
  <c r="P70" i="3"/>
  <c r="S70" i="3" s="1"/>
  <c r="P77" i="3"/>
  <c r="P16" i="3"/>
  <c r="P24" i="3"/>
  <c r="S24" i="3" s="1"/>
  <c r="P75" i="3"/>
  <c r="P27" i="3"/>
  <c r="S27" i="3" s="1"/>
  <c r="P69" i="3"/>
  <c r="P66" i="3"/>
  <c r="P67" i="3"/>
  <c r="P74" i="3"/>
  <c r="P35" i="3"/>
  <c r="P78" i="3"/>
  <c r="P22" i="3"/>
  <c r="P72" i="3"/>
  <c r="P39" i="3"/>
  <c r="P31" i="3"/>
  <c r="P49" i="3"/>
  <c r="P34" i="3"/>
  <c r="P41" i="3"/>
  <c r="P97" i="3"/>
  <c r="P96" i="3"/>
  <c r="P44" i="3"/>
  <c r="P81" i="3"/>
  <c r="P47" i="3"/>
  <c r="P43" i="3"/>
  <c r="S43" i="3" s="1"/>
  <c r="P42" i="3"/>
  <c r="S42" i="3" s="1"/>
  <c r="P79" i="3"/>
  <c r="P73" i="3"/>
  <c r="P61" i="3"/>
  <c r="P15" i="3"/>
  <c r="S15" i="3" s="1"/>
  <c r="P48" i="3"/>
  <c r="S48" i="3" s="1"/>
  <c r="P98" i="5"/>
  <c r="S98" i="5" s="1"/>
  <c r="P40" i="5"/>
  <c r="P96" i="5"/>
  <c r="S96" i="5" s="1"/>
  <c r="P76" i="5"/>
  <c r="P54" i="5"/>
  <c r="P50" i="5"/>
  <c r="P61" i="5"/>
  <c r="P71" i="5"/>
  <c r="P56" i="5"/>
  <c r="S56" i="5" s="1"/>
  <c r="P32" i="5"/>
  <c r="P63" i="5"/>
  <c r="P33" i="5"/>
  <c r="P65" i="5"/>
  <c r="P20" i="5"/>
  <c r="S20" i="5" s="1"/>
  <c r="P57" i="5"/>
  <c r="P44" i="5"/>
  <c r="P79" i="5"/>
  <c r="P17" i="5"/>
  <c r="S17" i="5" s="1"/>
  <c r="P37" i="5"/>
  <c r="P60" i="5"/>
  <c r="P95" i="5"/>
  <c r="P29" i="5"/>
  <c r="P35" i="5"/>
  <c r="P14" i="5"/>
  <c r="P48" i="5"/>
  <c r="P69" i="5"/>
  <c r="P42" i="5"/>
  <c r="P34" i="5"/>
  <c r="S34" i="5" s="1"/>
  <c r="P21" i="5"/>
  <c r="S21" i="5" s="1"/>
  <c r="P89" i="5"/>
  <c r="P23" i="5"/>
  <c r="P55" i="5"/>
  <c r="P38" i="5"/>
  <c r="P13" i="5"/>
  <c r="S13" i="5" s="1"/>
  <c r="P78" i="5"/>
  <c r="P67" i="5"/>
  <c r="S67" i="5" s="1"/>
  <c r="P47" i="5"/>
  <c r="P51" i="5"/>
  <c r="P49" i="5"/>
  <c r="S49" i="5" s="1"/>
  <c r="P58" i="5"/>
  <c r="P80" i="5"/>
  <c r="S80" i="5" s="1"/>
  <c r="P27" i="5"/>
  <c r="S27" i="5" s="1"/>
  <c r="P70" i="5"/>
  <c r="P68" i="5"/>
  <c r="P26" i="5"/>
  <c r="P19" i="5"/>
  <c r="S19" i="5" s="1"/>
  <c r="P77" i="5"/>
  <c r="P62" i="5"/>
  <c r="S62" i="5" s="1"/>
  <c r="P22" i="5"/>
  <c r="S22" i="5" s="1"/>
  <c r="P75" i="5"/>
  <c r="P36" i="5"/>
  <c r="S36" i="5" s="1"/>
  <c r="P74" i="5"/>
  <c r="S74" i="5" s="1"/>
  <c r="P45" i="5"/>
  <c r="P25" i="5"/>
  <c r="P52" i="5"/>
  <c r="P30" i="5"/>
  <c r="S30" i="5" s="1"/>
  <c r="P64" i="5"/>
  <c r="S64" i="5" s="1"/>
  <c r="P94" i="5"/>
  <c r="S94" i="5" s="1"/>
  <c r="P59" i="5"/>
  <c r="P39" i="5"/>
  <c r="P53" i="5"/>
  <c r="P16" i="5"/>
  <c r="P18" i="5"/>
  <c r="P93" i="5"/>
  <c r="S93" i="5" s="1"/>
  <c r="P24" i="5"/>
  <c r="P46" i="5"/>
  <c r="P43" i="5"/>
  <c r="P66" i="5"/>
  <c r="P41" i="5"/>
  <c r="P72" i="5"/>
  <c r="S72" i="5" s="1"/>
  <c r="P15" i="5"/>
  <c r="S15" i="5" s="1"/>
  <c r="P73" i="5"/>
  <c r="P81" i="5"/>
  <c r="P55" i="7"/>
  <c r="P81" i="7"/>
  <c r="P17" i="7"/>
  <c r="P52" i="7"/>
  <c r="P68" i="7"/>
  <c r="P65" i="7"/>
  <c r="P33" i="7"/>
  <c r="P38" i="7"/>
  <c r="P79" i="7"/>
  <c r="P74" i="7"/>
  <c r="P32" i="7"/>
  <c r="P77" i="7"/>
  <c r="P28" i="7"/>
  <c r="P82" i="7"/>
  <c r="P25" i="7"/>
  <c r="P35" i="7"/>
  <c r="P36" i="7"/>
  <c r="P51" i="7"/>
  <c r="P29" i="7"/>
  <c r="P49" i="7"/>
  <c r="P73" i="7"/>
  <c r="P63" i="7"/>
  <c r="P75" i="7"/>
  <c r="P18" i="7"/>
  <c r="P69" i="7"/>
  <c r="P67" i="7"/>
  <c r="P27" i="7"/>
  <c r="P53" i="7"/>
  <c r="P101" i="7"/>
  <c r="P50" i="7"/>
  <c r="P78" i="7"/>
  <c r="P46" i="7"/>
  <c r="P54" i="7"/>
  <c r="P56" i="7"/>
  <c r="P58" i="7"/>
  <c r="P62" i="7"/>
  <c r="P22" i="7"/>
  <c r="P40" i="7"/>
  <c r="P76" i="7"/>
  <c r="P95" i="7"/>
  <c r="P96" i="7"/>
  <c r="P26" i="7"/>
  <c r="P24" i="7"/>
  <c r="P41" i="7"/>
  <c r="P19" i="7"/>
  <c r="P59" i="7"/>
  <c r="P43" i="7"/>
  <c r="P16" i="7"/>
  <c r="P97" i="7"/>
  <c r="P44" i="7"/>
  <c r="P47" i="7"/>
  <c r="P60" i="7"/>
  <c r="P14" i="7"/>
  <c r="P80" i="7"/>
  <c r="P98" i="7"/>
  <c r="P23" i="7"/>
  <c r="P37" i="7"/>
  <c r="P42" i="7"/>
  <c r="P39" i="7"/>
  <c r="P20" i="7"/>
  <c r="P45" i="7"/>
  <c r="P61" i="7"/>
  <c r="P70" i="7"/>
  <c r="P57" i="7"/>
  <c r="P72" i="7"/>
  <c r="P30" i="7"/>
  <c r="P34" i="7"/>
  <c r="P64" i="7"/>
  <c r="P21" i="7"/>
  <c r="P70" i="4"/>
  <c r="S70" i="4" s="1"/>
  <c r="P16" i="4"/>
  <c r="S16" i="4" s="1"/>
  <c r="P28" i="4"/>
  <c r="P68" i="4"/>
  <c r="S68" i="4" s="1"/>
  <c r="P20" i="4"/>
  <c r="P45" i="4"/>
  <c r="P25" i="4"/>
  <c r="P46" i="4"/>
  <c r="S46" i="4" s="1"/>
  <c r="P29" i="4"/>
  <c r="P22" i="4"/>
  <c r="P62" i="4"/>
  <c r="S62" i="4" s="1"/>
  <c r="P52" i="4"/>
  <c r="S52" i="4" s="1"/>
  <c r="P57" i="4"/>
  <c r="S57" i="4" s="1"/>
  <c r="P26" i="4"/>
  <c r="P76" i="4"/>
  <c r="S76" i="4" s="1"/>
  <c r="P69" i="4"/>
  <c r="S69" i="4" s="1"/>
  <c r="P78" i="4"/>
  <c r="S78" i="4" s="1"/>
  <c r="P80" i="4"/>
  <c r="P63" i="4"/>
  <c r="P18" i="4"/>
  <c r="S18" i="4" s="1"/>
  <c r="P64" i="4"/>
  <c r="S64" i="4" s="1"/>
  <c r="P19" i="4"/>
  <c r="S19" i="4" s="1"/>
  <c r="P51" i="4"/>
  <c r="S51" i="4" s="1"/>
  <c r="P67" i="4"/>
  <c r="S67" i="4" s="1"/>
  <c r="P75" i="4"/>
  <c r="S75" i="4" s="1"/>
  <c r="P43" i="4"/>
  <c r="S43" i="4" s="1"/>
  <c r="P27" i="4"/>
  <c r="P14" i="4"/>
  <c r="P97" i="4"/>
  <c r="S97" i="4" s="1"/>
  <c r="P38" i="4"/>
  <c r="S38" i="4" s="1"/>
  <c r="P37" i="4"/>
  <c r="S37" i="4" s="1"/>
  <c r="P21" i="4"/>
  <c r="S21" i="4" s="1"/>
  <c r="P32" i="4"/>
  <c r="P74" i="4"/>
  <c r="S74" i="4" s="1"/>
  <c r="P100" i="4"/>
  <c r="P13" i="4"/>
  <c r="P98" i="4"/>
  <c r="S98" i="4" s="1"/>
  <c r="P101" i="4"/>
  <c r="P33" i="4"/>
  <c r="P95" i="4"/>
  <c r="S95" i="4" s="1"/>
  <c r="P39" i="4"/>
  <c r="S39" i="4" s="1"/>
  <c r="P54" i="4"/>
  <c r="S54" i="4" s="1"/>
  <c r="P58" i="4"/>
  <c r="S58" i="4" s="1"/>
  <c r="P65" i="4"/>
  <c r="S65" i="4" s="1"/>
  <c r="P30" i="4"/>
  <c r="S30" i="4" s="1"/>
  <c r="P81" i="4"/>
  <c r="S81" i="4" s="1"/>
  <c r="P41" i="4"/>
  <c r="P50" i="4"/>
  <c r="S50" i="4" s="1"/>
  <c r="P61" i="4"/>
  <c r="S61" i="4" s="1"/>
  <c r="P34" i="4"/>
  <c r="P71" i="4"/>
  <c r="S71" i="4" s="1"/>
  <c r="P56" i="4"/>
  <c r="S56" i="4" s="1"/>
  <c r="P66" i="4"/>
  <c r="S66" i="4" s="1"/>
  <c r="P17" i="4"/>
  <c r="S17" i="4" s="1"/>
  <c r="P48" i="4"/>
  <c r="P23" i="4"/>
  <c r="S23" i="4" s="1"/>
  <c r="P102" i="4"/>
  <c r="P79" i="4"/>
  <c r="S79" i="4" s="1"/>
  <c r="P44" i="4"/>
  <c r="S44" i="4" s="1"/>
  <c r="P96" i="4"/>
  <c r="S96" i="4" s="1"/>
  <c r="P55" i="4"/>
  <c r="S55" i="4" s="1"/>
  <c r="P35" i="4"/>
  <c r="S35" i="4" s="1"/>
  <c r="P73" i="4"/>
  <c r="S73" i="4" s="1"/>
  <c r="P99" i="4"/>
  <c r="S99" i="4" s="1"/>
  <c r="P72" i="4"/>
  <c r="S72" i="4" s="1"/>
  <c r="P77" i="4"/>
  <c r="S77" i="4" s="1"/>
  <c r="P15" i="4"/>
  <c r="P42" i="4"/>
  <c r="S42" i="4" s="1"/>
  <c r="P40" i="4"/>
  <c r="S40" i="4" s="1"/>
  <c r="P59" i="4"/>
  <c r="S59" i="4" s="1"/>
  <c r="P89" i="4"/>
  <c r="P36" i="4"/>
  <c r="S36" i="4" s="1"/>
  <c r="P47" i="4"/>
  <c r="S47" i="4" s="1"/>
  <c r="P49" i="4"/>
  <c r="S49" i="4" s="1"/>
  <c r="P60" i="4"/>
  <c r="P24" i="4"/>
  <c r="S24" i="4" s="1"/>
  <c r="P53" i="4"/>
  <c r="Q224" i="9"/>
  <c r="Q45" i="15"/>
  <c r="P30" i="10"/>
  <c r="P42" i="10"/>
  <c r="R232" i="9"/>
  <c r="R57" i="15"/>
  <c r="P40" i="10"/>
  <c r="S40" i="10" s="1"/>
  <c r="P50" i="10"/>
  <c r="P76" i="10"/>
  <c r="T77" i="10"/>
  <c r="Q76" i="10"/>
  <c r="Q30" i="10"/>
  <c r="T36" i="9"/>
  <c r="V75" i="9"/>
  <c r="R76" i="10"/>
  <c r="R36" i="7"/>
  <c r="R28" i="7"/>
  <c r="S28" i="7" s="1"/>
  <c r="R37" i="7"/>
  <c r="S37" i="7" s="1"/>
  <c r="R76" i="7"/>
  <c r="S76" i="7" s="1"/>
  <c r="R54" i="7"/>
  <c r="S54" i="7" s="1"/>
  <c r="R67" i="7"/>
  <c r="R49" i="7"/>
  <c r="R57" i="7"/>
  <c r="S57" i="7" s="1"/>
  <c r="R58" i="7"/>
  <c r="R100" i="7"/>
  <c r="R50" i="7"/>
  <c r="S50" i="7" s="1"/>
  <c r="R17" i="7"/>
  <c r="R51" i="7"/>
  <c r="S51" i="7" s="1"/>
  <c r="R22" i="7"/>
  <c r="R25" i="7"/>
  <c r="R14" i="7"/>
  <c r="S14" i="7" s="1"/>
  <c r="R55" i="7"/>
  <c r="S55" i="7" s="1"/>
  <c r="R65" i="7"/>
  <c r="S65" i="7" s="1"/>
  <c r="R33" i="7"/>
  <c r="R64" i="7"/>
  <c r="R43" i="7"/>
  <c r="R53" i="7"/>
  <c r="S53" i="7" s="1"/>
  <c r="R82" i="7"/>
  <c r="S82" i="7" s="1"/>
  <c r="R31" i="7"/>
  <c r="S31" i="7" s="1"/>
  <c r="R27" i="7"/>
  <c r="S27" i="7" s="1"/>
  <c r="R59" i="7"/>
  <c r="R79" i="7"/>
  <c r="S79" i="7" s="1"/>
  <c r="R61" i="7"/>
  <c r="R60" i="7"/>
  <c r="R26" i="7"/>
  <c r="R40" i="7"/>
  <c r="S40" i="7" s="1"/>
  <c r="R35" i="7"/>
  <c r="R97" i="7"/>
  <c r="R45" i="7"/>
  <c r="R44" i="7"/>
  <c r="R95" i="7"/>
  <c r="R34" i="7"/>
  <c r="R62" i="7"/>
  <c r="R15" i="7"/>
  <c r="R39" i="7"/>
  <c r="S39" i="7" s="1"/>
  <c r="R81" i="7"/>
  <c r="S81" i="7" s="1"/>
  <c r="R72" i="7"/>
  <c r="R24" i="7"/>
  <c r="R21" i="7"/>
  <c r="R73" i="7"/>
  <c r="R68" i="7"/>
  <c r="S68" i="7" s="1"/>
  <c r="R69" i="7"/>
  <c r="S69" i="7" s="1"/>
  <c r="R38" i="7"/>
  <c r="S38" i="7" s="1"/>
  <c r="R74" i="7"/>
  <c r="R20" i="7"/>
  <c r="R42" i="7"/>
  <c r="R16" i="7"/>
  <c r="R19" i="7"/>
  <c r="R80" i="7"/>
  <c r="R23" i="7"/>
  <c r="R98" i="7"/>
  <c r="R56" i="7"/>
  <c r="S56" i="7" s="1"/>
  <c r="R47" i="7"/>
  <c r="S47" i="7" s="1"/>
  <c r="R18" i="7"/>
  <c r="R30" i="7"/>
  <c r="R52" i="7"/>
  <c r="S52" i="7" s="1"/>
  <c r="R78" i="7"/>
  <c r="S78" i="7" s="1"/>
  <c r="R32" i="7"/>
  <c r="R177" i="17" s="1"/>
  <c r="R89" i="7"/>
  <c r="R5" i="7" s="1"/>
  <c r="R184" i="9" s="1"/>
  <c r="R70" i="7"/>
  <c r="S70" i="7" s="1"/>
  <c r="R41" i="7"/>
  <c r="R75" i="7"/>
  <c r="R63" i="7"/>
  <c r="R77" i="7"/>
  <c r="S77" i="7" s="1"/>
  <c r="R13" i="7"/>
  <c r="R175" i="17" s="1"/>
  <c r="R96" i="7"/>
  <c r="R102" i="7"/>
  <c r="R6" i="7" s="1"/>
  <c r="R99" i="7"/>
  <c r="R46" i="7"/>
  <c r="R29" i="7"/>
  <c r="R176" i="17" s="1"/>
  <c r="R101" i="7"/>
  <c r="R42" i="10"/>
  <c r="V85" i="9"/>
  <c r="V38" i="9"/>
  <c r="R56" i="15"/>
  <c r="R231" i="9"/>
  <c r="R215" i="9"/>
  <c r="R32" i="15"/>
  <c r="R221" i="9"/>
  <c r="R42" i="15"/>
  <c r="P47" i="10"/>
  <c r="S47" i="10" s="1"/>
  <c r="R7" i="5"/>
  <c r="S37" i="6" l="1"/>
  <c r="S28" i="3"/>
  <c r="S59" i="3"/>
  <c r="R91" i="15"/>
  <c r="S23" i="3"/>
  <c r="S64" i="3"/>
  <c r="R187" i="9"/>
  <c r="S18" i="3"/>
  <c r="V56" i="3"/>
  <c r="S30" i="6"/>
  <c r="S79" i="2"/>
  <c r="R73" i="17"/>
  <c r="S87" i="3"/>
  <c r="R66" i="7"/>
  <c r="S69" i="3"/>
  <c r="S44" i="3"/>
  <c r="S74" i="3"/>
  <c r="V82" i="3"/>
  <c r="R103" i="15"/>
  <c r="R30" i="16"/>
  <c r="S30" i="16" s="1"/>
  <c r="R78" i="17"/>
  <c r="S40" i="6"/>
  <c r="V40" i="6" s="1"/>
  <c r="S85" i="6"/>
  <c r="V85" i="6" s="1"/>
  <c r="S46" i="6"/>
  <c r="S35" i="6"/>
  <c r="V35" i="6" s="1"/>
  <c r="S43" i="6"/>
  <c r="S31" i="6"/>
  <c r="V31" i="6" s="1"/>
  <c r="S38" i="6"/>
  <c r="V38" i="6" s="1"/>
  <c r="S45" i="6"/>
  <c r="V45" i="6" s="1"/>
  <c r="S16" i="6"/>
  <c r="V16" i="6" s="1"/>
  <c r="S47" i="6"/>
  <c r="V47" i="6" s="1"/>
  <c r="R46" i="15"/>
  <c r="S70" i="6"/>
  <c r="V70" i="6" s="1"/>
  <c r="S14" i="6"/>
  <c r="V14" i="6" s="1"/>
  <c r="S87" i="6"/>
  <c r="S88" i="6"/>
  <c r="V88" i="6" s="1"/>
  <c r="S32" i="6"/>
  <c r="S150" i="17" s="1"/>
  <c r="T150" i="17" s="1"/>
  <c r="S41" i="6"/>
  <c r="S19" i="6"/>
  <c r="V19" i="6" s="1"/>
  <c r="S34" i="6"/>
  <c r="T34" i="6" s="1"/>
  <c r="S20" i="6"/>
  <c r="S86" i="6"/>
  <c r="S65" i="6"/>
  <c r="V65" i="6" s="1"/>
  <c r="S29" i="6"/>
  <c r="S149" i="17" s="1"/>
  <c r="T149" i="17" s="1"/>
  <c r="S17" i="6"/>
  <c r="V17" i="6" s="1"/>
  <c r="S28" i="6"/>
  <c r="S60" i="6"/>
  <c r="V60" i="6" s="1"/>
  <c r="S61" i="6"/>
  <c r="V61" i="6" s="1"/>
  <c r="S57" i="6"/>
  <c r="V57" i="6" s="1"/>
  <c r="S82" i="6"/>
  <c r="R7" i="6"/>
  <c r="S33" i="6"/>
  <c r="V33" i="6" s="1"/>
  <c r="S21" i="6"/>
  <c r="S23" i="6"/>
  <c r="S15" i="6"/>
  <c r="S36" i="6"/>
  <c r="T36" i="6" s="1"/>
  <c r="S39" i="6"/>
  <c r="V39" i="6" s="1"/>
  <c r="S40" i="5"/>
  <c r="V40" i="5" s="1"/>
  <c r="S85" i="5"/>
  <c r="V85" i="5" s="1"/>
  <c r="S47" i="5"/>
  <c r="V47" i="5" s="1"/>
  <c r="S39" i="5"/>
  <c r="V39" i="5" s="1"/>
  <c r="S14" i="5"/>
  <c r="V14" i="5" s="1"/>
  <c r="S87" i="5"/>
  <c r="V87" i="5" s="1"/>
  <c r="V96" i="5"/>
  <c r="S88" i="5"/>
  <c r="V88" i="5" s="1"/>
  <c r="S54" i="3"/>
  <c r="V54" i="3" s="1"/>
  <c r="S41" i="3"/>
  <c r="V29" i="3"/>
  <c r="S20" i="3"/>
  <c r="R39" i="10"/>
  <c r="R52" i="16" s="1"/>
  <c r="R60" i="16" s="1"/>
  <c r="S93" i="6"/>
  <c r="V93" i="6" s="1"/>
  <c r="S94" i="6"/>
  <c r="V94" i="6" s="1"/>
  <c r="S72" i="6"/>
  <c r="T72" i="6" s="1"/>
  <c r="S97" i="7"/>
  <c r="V97" i="7" s="1"/>
  <c r="S64" i="7"/>
  <c r="T64" i="7" s="1"/>
  <c r="R48" i="7"/>
  <c r="S30" i="7"/>
  <c r="S84" i="2"/>
  <c r="S20" i="2"/>
  <c r="T20" i="2" s="1"/>
  <c r="S18" i="2"/>
  <c r="R139" i="15"/>
  <c r="R85" i="17"/>
  <c r="S97" i="3"/>
  <c r="V97" i="3" s="1"/>
  <c r="S96" i="3"/>
  <c r="S84" i="3"/>
  <c r="S85" i="3"/>
  <c r="S57" i="3"/>
  <c r="V57" i="3" s="1"/>
  <c r="S36" i="3"/>
  <c r="S34" i="3"/>
  <c r="R43" i="15"/>
  <c r="R222" i="9"/>
  <c r="S22" i="3"/>
  <c r="S16" i="3"/>
  <c r="V16" i="3" s="1"/>
  <c r="S80" i="4"/>
  <c r="S53" i="4"/>
  <c r="V53" i="4" s="1"/>
  <c r="S41" i="4"/>
  <c r="T41" i="4" s="1"/>
  <c r="Q140" i="16"/>
  <c r="S83" i="5"/>
  <c r="S58" i="5"/>
  <c r="T58" i="5" s="1"/>
  <c r="S46" i="5"/>
  <c r="S25" i="5"/>
  <c r="V25" i="5" s="1"/>
  <c r="S23" i="5"/>
  <c r="V23" i="5" s="1"/>
  <c r="S18" i="5"/>
  <c r="V18" i="5" s="1"/>
  <c r="V28" i="10"/>
  <c r="S69" i="6"/>
  <c r="V69" i="6" s="1"/>
  <c r="S95" i="5"/>
  <c r="T95" i="5" s="1"/>
  <c r="S84" i="5"/>
  <c r="T84" i="5" s="1"/>
  <c r="S71" i="5"/>
  <c r="V71" i="5" s="1"/>
  <c r="S66" i="5"/>
  <c r="T66" i="5" s="1"/>
  <c r="S48" i="5"/>
  <c r="V48" i="5" s="1"/>
  <c r="S53" i="5"/>
  <c r="V53" i="5" s="1"/>
  <c r="S41" i="5"/>
  <c r="V41" i="5" s="1"/>
  <c r="S42" i="5"/>
  <c r="V42" i="5" s="1"/>
  <c r="S33" i="5"/>
  <c r="V33" i="5" s="1"/>
  <c r="S89" i="5"/>
  <c r="Q7" i="5"/>
  <c r="S101" i="4"/>
  <c r="S83" i="4"/>
  <c r="S84" i="4"/>
  <c r="V84" i="4" s="1"/>
  <c r="S60" i="4"/>
  <c r="V60" i="4" s="1"/>
  <c r="S48" i="4"/>
  <c r="V48" i="4" s="1"/>
  <c r="S33" i="4"/>
  <c r="S34" i="4"/>
  <c r="V34" i="4" s="1"/>
  <c r="S26" i="4"/>
  <c r="S27" i="4"/>
  <c r="S15" i="4"/>
  <c r="V15" i="4" s="1"/>
  <c r="S98" i="3"/>
  <c r="T98" i="3" s="1"/>
  <c r="S73" i="3"/>
  <c r="S67" i="3"/>
  <c r="V67" i="3" s="1"/>
  <c r="S68" i="3"/>
  <c r="S63" i="3"/>
  <c r="T63" i="3" s="1"/>
  <c r="S50" i="3"/>
  <c r="S47" i="3"/>
  <c r="T47" i="3" s="1"/>
  <c r="S38" i="3"/>
  <c r="S35" i="3"/>
  <c r="V35" i="3" s="1"/>
  <c r="S31" i="3"/>
  <c r="S83" i="2"/>
  <c r="V83" i="2" s="1"/>
  <c r="S46" i="2"/>
  <c r="S29" i="2"/>
  <c r="S13" i="2"/>
  <c r="V13" i="2" s="1"/>
  <c r="S76" i="10"/>
  <c r="T76" i="10" s="1"/>
  <c r="S42" i="10"/>
  <c r="S59" i="5"/>
  <c r="V59" i="5" s="1"/>
  <c r="S70" i="5"/>
  <c r="V70" i="5" s="1"/>
  <c r="S61" i="5"/>
  <c r="V61" i="5" s="1"/>
  <c r="S81" i="5"/>
  <c r="V81" i="5" s="1"/>
  <c r="S65" i="5"/>
  <c r="V65" i="5" s="1"/>
  <c r="S60" i="5"/>
  <c r="V60" i="5" s="1"/>
  <c r="S75" i="3"/>
  <c r="T75" i="3" s="1"/>
  <c r="S95" i="3"/>
  <c r="T95" i="3" s="1"/>
  <c r="S101" i="7"/>
  <c r="S96" i="7"/>
  <c r="V96" i="7" s="1"/>
  <c r="S95" i="7"/>
  <c r="S98" i="7"/>
  <c r="S83" i="7"/>
  <c r="S80" i="7"/>
  <c r="V80" i="7" s="1"/>
  <c r="S74" i="7"/>
  <c r="S72" i="7"/>
  <c r="P71" i="7"/>
  <c r="S73" i="7"/>
  <c r="V73" i="7" s="1"/>
  <c r="R71" i="7"/>
  <c r="S75" i="7"/>
  <c r="V75" i="7" s="1"/>
  <c r="Q71" i="7"/>
  <c r="P66" i="7"/>
  <c r="S67" i="7"/>
  <c r="T67" i="7" s="1"/>
  <c r="S61" i="7"/>
  <c r="S59" i="7"/>
  <c r="V59" i="7" s="1"/>
  <c r="S63" i="7"/>
  <c r="S60" i="7"/>
  <c r="V60" i="7" s="1"/>
  <c r="S62" i="7"/>
  <c r="V62" i="7" s="1"/>
  <c r="S58" i="7"/>
  <c r="Q48" i="7"/>
  <c r="S49" i="7"/>
  <c r="V49" i="7" s="1"/>
  <c r="P48" i="7"/>
  <c r="S42" i="7"/>
  <c r="S44" i="7"/>
  <c r="S45" i="7"/>
  <c r="S41" i="7"/>
  <c r="S46" i="7"/>
  <c r="S43" i="7"/>
  <c r="S36" i="7"/>
  <c r="S35" i="7"/>
  <c r="S34" i="7"/>
  <c r="V34" i="7" s="1"/>
  <c r="S33" i="7"/>
  <c r="P176" i="17"/>
  <c r="S29" i="7"/>
  <c r="P177" i="17"/>
  <c r="S32" i="7"/>
  <c r="S177" i="17" s="1"/>
  <c r="T177" i="17" s="1"/>
  <c r="S26" i="7"/>
  <c r="V26" i="7" s="1"/>
  <c r="S21" i="7"/>
  <c r="S19" i="7"/>
  <c r="S22" i="7"/>
  <c r="V22" i="7" s="1"/>
  <c r="S20" i="7"/>
  <c r="T20" i="7" s="1"/>
  <c r="S23" i="7"/>
  <c r="S16" i="7"/>
  <c r="V16" i="7" s="1"/>
  <c r="S18" i="7"/>
  <c r="V18" i="7" s="1"/>
  <c r="S24" i="7"/>
  <c r="V24" i="7" s="1"/>
  <c r="S25" i="7"/>
  <c r="V25" i="7" s="1"/>
  <c r="S17" i="7"/>
  <c r="S26" i="6"/>
  <c r="V26" i="6" s="1"/>
  <c r="S24" i="6"/>
  <c r="V24" i="6" s="1"/>
  <c r="S25" i="6"/>
  <c r="V25" i="6" s="1"/>
  <c r="S27" i="6"/>
  <c r="V27" i="6" s="1"/>
  <c r="S56" i="6"/>
  <c r="V56" i="6" s="1"/>
  <c r="S64" i="6"/>
  <c r="T64" i="6" s="1"/>
  <c r="S49" i="6"/>
  <c r="V49" i="6" s="1"/>
  <c r="S50" i="6"/>
  <c r="V50" i="6" s="1"/>
  <c r="S52" i="6"/>
  <c r="V52" i="6" s="1"/>
  <c r="S55" i="6"/>
  <c r="V55" i="6" s="1"/>
  <c r="S59" i="6"/>
  <c r="V59" i="6" s="1"/>
  <c r="S51" i="6"/>
  <c r="V51" i="6" s="1"/>
  <c r="S58" i="6"/>
  <c r="V58" i="6" s="1"/>
  <c r="S54" i="6"/>
  <c r="V54" i="6" s="1"/>
  <c r="S53" i="6"/>
  <c r="V53" i="6" s="1"/>
  <c r="S62" i="6"/>
  <c r="V62" i="6" s="1"/>
  <c r="S63" i="6"/>
  <c r="V63" i="6" s="1"/>
  <c r="S67" i="6"/>
  <c r="T67" i="6" s="1"/>
  <c r="S66" i="6"/>
  <c r="V66" i="6" s="1"/>
  <c r="P167" i="17"/>
  <c r="S105" i="6"/>
  <c r="T105" i="6" s="1"/>
  <c r="S97" i="6"/>
  <c r="T97" i="6" s="1"/>
  <c r="S99" i="6"/>
  <c r="S98" i="6"/>
  <c r="T98" i="6" s="1"/>
  <c r="S100" i="6"/>
  <c r="S84" i="6"/>
  <c r="S83" i="6"/>
  <c r="T83" i="6" s="1"/>
  <c r="S71" i="6"/>
  <c r="V71" i="6" s="1"/>
  <c r="S74" i="6"/>
  <c r="S77" i="6"/>
  <c r="V77" i="6" s="1"/>
  <c r="S79" i="6"/>
  <c r="V79" i="6" s="1"/>
  <c r="S75" i="6"/>
  <c r="V75" i="6" s="1"/>
  <c r="S76" i="6"/>
  <c r="V76" i="6" s="1"/>
  <c r="S81" i="6"/>
  <c r="V81" i="6" s="1"/>
  <c r="S80" i="6"/>
  <c r="V80" i="6" s="1"/>
  <c r="S73" i="6"/>
  <c r="V73" i="6" s="1"/>
  <c r="S78" i="6"/>
  <c r="V78" i="6" s="1"/>
  <c r="Q116" i="16"/>
  <c r="Q139" i="17"/>
  <c r="S79" i="5"/>
  <c r="V79" i="5" s="1"/>
  <c r="S75" i="5"/>
  <c r="V75" i="5" s="1"/>
  <c r="S77" i="5"/>
  <c r="V77" i="5" s="1"/>
  <c r="S78" i="5"/>
  <c r="V78" i="5" s="1"/>
  <c r="S76" i="5"/>
  <c r="V76" i="5" s="1"/>
  <c r="S73" i="5"/>
  <c r="V73" i="5" s="1"/>
  <c r="S68" i="5"/>
  <c r="V68" i="5" s="1"/>
  <c r="S69" i="5"/>
  <c r="V69" i="5" s="1"/>
  <c r="S63" i="5"/>
  <c r="V63" i="5" s="1"/>
  <c r="S50" i="5"/>
  <c r="V50" i="5" s="1"/>
  <c r="S52" i="5"/>
  <c r="V52" i="5" s="1"/>
  <c r="S55" i="5"/>
  <c r="V55" i="5" s="1"/>
  <c r="S54" i="5"/>
  <c r="V54" i="5" s="1"/>
  <c r="S57" i="5"/>
  <c r="V57" i="5" s="1"/>
  <c r="S51" i="5"/>
  <c r="V51" i="5" s="1"/>
  <c r="S43" i="5"/>
  <c r="V43" i="5" s="1"/>
  <c r="S44" i="5"/>
  <c r="V44" i="5" s="1"/>
  <c r="S45" i="5"/>
  <c r="V45" i="5" s="1"/>
  <c r="S38" i="5"/>
  <c r="V38" i="5" s="1"/>
  <c r="P123" i="17"/>
  <c r="S32" i="5"/>
  <c r="S123" i="17" s="1"/>
  <c r="T123" i="17" s="1"/>
  <c r="S35" i="5"/>
  <c r="V35" i="5" s="1"/>
  <c r="S37" i="5"/>
  <c r="V37" i="5" s="1"/>
  <c r="P122" i="17"/>
  <c r="S29" i="5"/>
  <c r="S26" i="5"/>
  <c r="V26" i="5" s="1"/>
  <c r="S16" i="5"/>
  <c r="V16" i="5" s="1"/>
  <c r="S24" i="5"/>
  <c r="V24" i="5" s="1"/>
  <c r="P139" i="16"/>
  <c r="S100" i="4"/>
  <c r="V100" i="4" s="1"/>
  <c r="S102" i="4"/>
  <c r="S63" i="4"/>
  <c r="V63" i="4" s="1"/>
  <c r="S45" i="4"/>
  <c r="P96" i="17"/>
  <c r="S32" i="4"/>
  <c r="S96" i="17" s="1"/>
  <c r="T96" i="17" s="1"/>
  <c r="P95" i="17"/>
  <c r="S29" i="4"/>
  <c r="S89" i="4"/>
  <c r="S25" i="4"/>
  <c r="V25" i="4" s="1"/>
  <c r="S22" i="4"/>
  <c r="V22" i="4" s="1"/>
  <c r="P94" i="17"/>
  <c r="S13" i="4"/>
  <c r="S20" i="4"/>
  <c r="T20" i="4" s="1"/>
  <c r="S81" i="3"/>
  <c r="V81" i="3" s="1"/>
  <c r="S72" i="3"/>
  <c r="T72" i="3" s="1"/>
  <c r="R230" i="9"/>
  <c r="S65" i="3"/>
  <c r="V65" i="3" s="1"/>
  <c r="S49" i="3"/>
  <c r="V49" i="3" s="1"/>
  <c r="R55" i="15"/>
  <c r="P69" i="17"/>
  <c r="S33" i="3"/>
  <c r="S69" i="17" s="1"/>
  <c r="T69" i="17" s="1"/>
  <c r="S37" i="3"/>
  <c r="T37" i="3" s="1"/>
  <c r="P68" i="17"/>
  <c r="S30" i="3"/>
  <c r="S68" i="17" s="1"/>
  <c r="T68" i="17" s="1"/>
  <c r="S26" i="3"/>
  <c r="V26" i="3" s="1"/>
  <c r="R76" i="17"/>
  <c r="P137" i="16"/>
  <c r="S137" i="16" s="1"/>
  <c r="S100" i="2"/>
  <c r="T100" i="2" s="1"/>
  <c r="S101" i="2"/>
  <c r="S102" i="2"/>
  <c r="S99" i="2"/>
  <c r="S98" i="2"/>
  <c r="S97" i="2"/>
  <c r="S95" i="2"/>
  <c r="V95" i="2" s="1"/>
  <c r="S96" i="2"/>
  <c r="S72" i="2"/>
  <c r="S80" i="2"/>
  <c r="S73" i="2"/>
  <c r="V73" i="2" s="1"/>
  <c r="S75" i="2"/>
  <c r="V75" i="2" s="1"/>
  <c r="S76" i="2"/>
  <c r="V76" i="2" s="1"/>
  <c r="S74" i="2"/>
  <c r="S77" i="2"/>
  <c r="V77" i="2" s="1"/>
  <c r="S71" i="2"/>
  <c r="S66" i="2"/>
  <c r="V66" i="2" s="1"/>
  <c r="S67" i="2"/>
  <c r="S62" i="2"/>
  <c r="V62" i="2" s="1"/>
  <c r="S64" i="2"/>
  <c r="S53" i="2"/>
  <c r="V53" i="2" s="1"/>
  <c r="S54" i="2"/>
  <c r="V54" i="2" s="1"/>
  <c r="S51" i="2"/>
  <c r="V51" i="2" s="1"/>
  <c r="S50" i="2"/>
  <c r="S49" i="2"/>
  <c r="S55" i="2"/>
  <c r="V55" i="2" s="1"/>
  <c r="S52" i="2"/>
  <c r="V52" i="2" s="1"/>
  <c r="S58" i="2"/>
  <c r="S48" i="2"/>
  <c r="S56" i="2"/>
  <c r="V56" i="2" s="1"/>
  <c r="S57" i="2"/>
  <c r="V57" i="2" s="1"/>
  <c r="S44" i="2"/>
  <c r="S41" i="2"/>
  <c r="S43" i="2"/>
  <c r="V43" i="2" s="1"/>
  <c r="S45" i="2"/>
  <c r="V45" i="2" s="1"/>
  <c r="S42" i="2"/>
  <c r="S89" i="2"/>
  <c r="S34" i="2"/>
  <c r="V34" i="2" s="1"/>
  <c r="S37" i="2"/>
  <c r="V37" i="2" s="1"/>
  <c r="S32" i="2"/>
  <c r="S35" i="2"/>
  <c r="S36" i="2"/>
  <c r="S33" i="2"/>
  <c r="S30" i="2"/>
  <c r="V30" i="2" s="1"/>
  <c r="S22" i="2"/>
  <c r="S15" i="2"/>
  <c r="S21" i="2"/>
  <c r="S19" i="2"/>
  <c r="T19" i="2" s="1"/>
  <c r="S16" i="2"/>
  <c r="S23" i="2"/>
  <c r="S17" i="2"/>
  <c r="V17" i="2" s="1"/>
  <c r="S50" i="10"/>
  <c r="S72" i="10"/>
  <c r="S30" i="10"/>
  <c r="R9" i="16"/>
  <c r="M9" i="16"/>
  <c r="Q9" i="16"/>
  <c r="T46" i="10"/>
  <c r="R225" i="9"/>
  <c r="T58" i="9"/>
  <c r="V34" i="6"/>
  <c r="V98" i="5"/>
  <c r="T98" i="5"/>
  <c r="V94" i="5"/>
  <c r="T94" i="5"/>
  <c r="V90" i="10"/>
  <c r="T90" i="10"/>
  <c r="V33" i="10"/>
  <c r="T33" i="10"/>
  <c r="V159" i="9"/>
  <c r="T159" i="9"/>
  <c r="V65" i="9"/>
  <c r="T65" i="9"/>
  <c r="V18" i="9"/>
  <c r="T18" i="9"/>
  <c r="V23" i="9"/>
  <c r="T23" i="9"/>
  <c r="V59" i="10"/>
  <c r="T59" i="10"/>
  <c r="V63" i="10"/>
  <c r="T63" i="10"/>
  <c r="V93" i="9"/>
  <c r="T93" i="9"/>
  <c r="V72" i="9"/>
  <c r="T72" i="9"/>
  <c r="V54" i="9"/>
  <c r="T54" i="9"/>
  <c r="T47" i="9"/>
  <c r="V29" i="10"/>
  <c r="T29" i="10"/>
  <c r="V27" i="10"/>
  <c r="T27" i="10"/>
  <c r="V117" i="9"/>
  <c r="T117" i="9"/>
  <c r="V44" i="10"/>
  <c r="T44" i="10"/>
  <c r="V26" i="9"/>
  <c r="T26" i="9"/>
  <c r="V84" i="5"/>
  <c r="V74" i="5"/>
  <c r="T74" i="5"/>
  <c r="V56" i="5"/>
  <c r="T56" i="5"/>
  <c r="R102" i="15"/>
  <c r="R107" i="15"/>
  <c r="R181" i="17"/>
  <c r="P107" i="15"/>
  <c r="P181" i="17"/>
  <c r="R186" i="17"/>
  <c r="R34" i="16"/>
  <c r="S34" i="16" s="1"/>
  <c r="P34" i="16"/>
  <c r="P186" i="17"/>
  <c r="V94" i="3"/>
  <c r="R130" i="17"/>
  <c r="Q130" i="17"/>
  <c r="V44" i="4"/>
  <c r="P92" i="15"/>
  <c r="P99" i="17"/>
  <c r="V86" i="4"/>
  <c r="P104" i="15"/>
  <c r="P100" i="17"/>
  <c r="P31" i="16"/>
  <c r="P105" i="17"/>
  <c r="V21" i="3"/>
  <c r="T21" i="3"/>
  <c r="T30" i="6"/>
  <c r="R30" i="15"/>
  <c r="V15" i="10"/>
  <c r="R112" i="16"/>
  <c r="V27" i="3"/>
  <c r="T27" i="3"/>
  <c r="V42" i="3"/>
  <c r="T17" i="10"/>
  <c r="R95" i="15"/>
  <c r="R180" i="17"/>
  <c r="T48" i="6"/>
  <c r="T73" i="3"/>
  <c r="V18" i="3"/>
  <c r="Q91" i="15"/>
  <c r="P73" i="17"/>
  <c r="P103" i="15"/>
  <c r="P30" i="16"/>
  <c r="P78" i="17"/>
  <c r="P95" i="15"/>
  <c r="P180" i="17"/>
  <c r="R7" i="7"/>
  <c r="V20" i="5"/>
  <c r="T20" i="5"/>
  <c r="V24" i="3"/>
  <c r="Q55" i="15"/>
  <c r="R54" i="15"/>
  <c r="R229" i="9"/>
  <c r="V122" i="9"/>
  <c r="V67" i="9"/>
  <c r="T56" i="9"/>
  <c r="V92" i="9"/>
  <c r="T92" i="9"/>
  <c r="V27" i="9"/>
  <c r="V25" i="9"/>
  <c r="T25" i="9"/>
  <c r="V22" i="9"/>
  <c r="T22" i="9"/>
  <c r="Q112" i="16"/>
  <c r="R100" i="16"/>
  <c r="R108" i="16" s="1"/>
  <c r="R88" i="16"/>
  <c r="R96" i="16" s="1"/>
  <c r="R76" i="16"/>
  <c r="R84" i="16" s="1"/>
  <c r="R64" i="16"/>
  <c r="R40" i="16"/>
  <c r="R48" i="16" s="1"/>
  <c r="P100" i="16"/>
  <c r="P88" i="16"/>
  <c r="P96" i="16" s="1"/>
  <c r="P76" i="16"/>
  <c r="V69" i="10"/>
  <c r="T69" i="10"/>
  <c r="V65" i="10"/>
  <c r="T65" i="10"/>
  <c r="V66" i="10"/>
  <c r="T66" i="10"/>
  <c r="V55" i="10"/>
  <c r="T55" i="10"/>
  <c r="P64" i="16"/>
  <c r="P40" i="16"/>
  <c r="T21" i="9"/>
  <c r="T50" i="3"/>
  <c r="T60" i="9"/>
  <c r="V125" i="9"/>
  <c r="V78" i="9"/>
  <c r="Q230" i="9"/>
  <c r="Q88" i="16"/>
  <c r="Q12" i="11"/>
  <c r="V66" i="3"/>
  <c r="V70" i="3"/>
  <c r="V28" i="3"/>
  <c r="V51" i="3"/>
  <c r="Q52" i="16"/>
  <c r="Q60" i="16" s="1"/>
  <c r="Q64" i="16"/>
  <c r="Q92" i="15"/>
  <c r="Q99" i="17"/>
  <c r="Q95" i="15"/>
  <c r="Q180" i="17"/>
  <c r="Q11" i="11"/>
  <c r="V13" i="10"/>
  <c r="T13" i="10"/>
  <c r="Q100" i="16"/>
  <c r="Q108" i="16" s="1"/>
  <c r="Q100" i="17"/>
  <c r="Q104" i="15"/>
  <c r="Q15" i="11"/>
  <c r="Q30" i="16"/>
  <c r="Q78" i="17"/>
  <c r="V71" i="4"/>
  <c r="T116" i="9"/>
  <c r="Q102" i="15"/>
  <c r="Q103" i="15"/>
  <c r="Q73" i="17"/>
  <c r="V88" i="3"/>
  <c r="Q31" i="16"/>
  <c r="Q105" i="17"/>
  <c r="V94" i="4"/>
  <c r="Q13" i="11"/>
  <c r="Q14" i="11"/>
  <c r="T17" i="16"/>
  <c r="Q40" i="16"/>
  <c r="Q48" i="16" s="1"/>
  <c r="Q34" i="16"/>
  <c r="Q186" i="17"/>
  <c r="T86" i="7"/>
  <c r="Q107" i="15"/>
  <c r="Q181" i="17"/>
  <c r="Q10" i="11"/>
  <c r="Q16" i="11"/>
  <c r="P127" i="17"/>
  <c r="P105" i="15"/>
  <c r="S88" i="7"/>
  <c r="V88" i="7" s="1"/>
  <c r="V85" i="7"/>
  <c r="V94" i="7"/>
  <c r="R130" i="16"/>
  <c r="R118" i="16" s="1"/>
  <c r="R194" i="17"/>
  <c r="R193" i="17" s="1"/>
  <c r="R189" i="17"/>
  <c r="R70" i="16"/>
  <c r="P189" i="17"/>
  <c r="P70" i="16"/>
  <c r="Q194" i="17"/>
  <c r="Q193" i="17" s="1"/>
  <c r="Q130" i="16"/>
  <c r="Q118" i="16" s="1"/>
  <c r="Q143" i="15"/>
  <c r="Q142" i="16"/>
  <c r="P130" i="16"/>
  <c r="P194" i="17"/>
  <c r="Q189" i="17"/>
  <c r="Q70" i="16"/>
  <c r="R143" i="15"/>
  <c r="R142" i="16"/>
  <c r="R144" i="16" s="1"/>
  <c r="R21" i="16" s="1"/>
  <c r="R18" i="11" s="1"/>
  <c r="R217" i="9"/>
  <c r="P106" i="15"/>
  <c r="P154" i="17"/>
  <c r="R154" i="17"/>
  <c r="R106" i="15"/>
  <c r="P94" i="15"/>
  <c r="P153" i="17"/>
  <c r="R153" i="17"/>
  <c r="R94" i="15"/>
  <c r="R233" i="9"/>
  <c r="P46" i="15"/>
  <c r="Q106" i="15"/>
  <c r="Q154" i="17"/>
  <c r="V87" i="6"/>
  <c r="R58" i="15"/>
  <c r="P225" i="9"/>
  <c r="R34" i="15"/>
  <c r="Q153" i="17"/>
  <c r="Q94" i="15"/>
  <c r="V28" i="6"/>
  <c r="R142" i="15"/>
  <c r="P129" i="16"/>
  <c r="P58" i="15"/>
  <c r="V43" i="6"/>
  <c r="V82" i="6"/>
  <c r="P162" i="17"/>
  <c r="P69" i="16"/>
  <c r="R69" i="16"/>
  <c r="R162" i="17"/>
  <c r="Q159" i="17"/>
  <c r="Q33" i="16"/>
  <c r="Q167" i="17"/>
  <c r="Q166" i="17" s="1"/>
  <c r="Q129" i="16"/>
  <c r="Q117" i="16" s="1"/>
  <c r="Q142" i="15"/>
  <c r="Q141" i="16"/>
  <c r="R167" i="17"/>
  <c r="R166" i="17" s="1"/>
  <c r="R129" i="16"/>
  <c r="R117" i="16" s="1"/>
  <c r="R159" i="17"/>
  <c r="R33" i="16"/>
  <c r="Q150" i="17"/>
  <c r="Q162" i="17"/>
  <c r="Q69" i="16"/>
  <c r="V37" i="6"/>
  <c r="P33" i="16"/>
  <c r="P159" i="17"/>
  <c r="T83" i="5"/>
  <c r="P126" i="17"/>
  <c r="P93" i="15"/>
  <c r="T93" i="5"/>
  <c r="P32" i="16"/>
  <c r="S32" i="16" s="1"/>
  <c r="P132" i="17"/>
  <c r="P68" i="16"/>
  <c r="S68" i="16" s="1"/>
  <c r="P135" i="17"/>
  <c r="R141" i="17"/>
  <c r="Q141" i="17"/>
  <c r="V83" i="4"/>
  <c r="V87" i="4"/>
  <c r="V59" i="4"/>
  <c r="V81" i="4"/>
  <c r="V88" i="4"/>
  <c r="V47" i="4"/>
  <c r="V40" i="4"/>
  <c r="V55" i="4"/>
  <c r="T97" i="4"/>
  <c r="V75" i="4"/>
  <c r="V24" i="4"/>
  <c r="T96" i="4"/>
  <c r="V56" i="4"/>
  <c r="V18" i="4"/>
  <c r="T88" i="4"/>
  <c r="T86" i="4"/>
  <c r="T87" i="4"/>
  <c r="V36" i="4"/>
  <c r="V23" i="4"/>
  <c r="V50" i="4"/>
  <c r="T21" i="4"/>
  <c r="V69" i="4"/>
  <c r="V52" i="4"/>
  <c r="V68" i="4"/>
  <c r="R138" i="15"/>
  <c r="V87" i="3"/>
  <c r="V69" i="3"/>
  <c r="V77" i="3"/>
  <c r="V59" i="3"/>
  <c r="V60" i="3"/>
  <c r="T20" i="3"/>
  <c r="V62" i="3"/>
  <c r="V45" i="3"/>
  <c r="V43" i="3"/>
  <c r="V41" i="3"/>
  <c r="V25" i="3"/>
  <c r="T87" i="3"/>
  <c r="V44" i="3"/>
  <c r="V36" i="3"/>
  <c r="V46" i="3"/>
  <c r="V61" i="3"/>
  <c r="V39" i="3"/>
  <c r="V71" i="3"/>
  <c r="V79" i="3"/>
  <c r="Q187" i="9"/>
  <c r="V38" i="3"/>
  <c r="V58" i="3"/>
  <c r="P81" i="17"/>
  <c r="P66" i="16"/>
  <c r="V23" i="3"/>
  <c r="Q81" i="17"/>
  <c r="Q66" i="16"/>
  <c r="Q86" i="17"/>
  <c r="Q85" i="17" s="1"/>
  <c r="Q126" i="16"/>
  <c r="Q114" i="16" s="1"/>
  <c r="P91" i="15"/>
  <c r="P72" i="17"/>
  <c r="V53" i="3"/>
  <c r="Q43" i="15"/>
  <c r="R29" i="16"/>
  <c r="Q29" i="16"/>
  <c r="P29" i="16"/>
  <c r="S29" i="16" s="1"/>
  <c r="V94" i="2"/>
  <c r="T40" i="17"/>
  <c r="P90" i="15"/>
  <c r="R213" i="9"/>
  <c r="R90" i="15"/>
  <c r="R49" i="17"/>
  <c r="Q49" i="17"/>
  <c r="Q90" i="15"/>
  <c r="R7" i="2"/>
  <c r="T86" i="2"/>
  <c r="R125" i="16"/>
  <c r="Q90" i="3"/>
  <c r="Q5" i="3" s="1"/>
  <c r="Q180" i="9" s="1"/>
  <c r="Q214" i="9"/>
  <c r="Q67" i="17"/>
  <c r="Q76" i="17" s="1"/>
  <c r="Q139" i="15"/>
  <c r="Q138" i="16"/>
  <c r="V42" i="4"/>
  <c r="V14" i="4"/>
  <c r="T46" i="4"/>
  <c r="V35" i="4"/>
  <c r="V17" i="4"/>
  <c r="V19" i="4"/>
  <c r="V45" i="4"/>
  <c r="T62" i="9"/>
  <c r="T51" i="9"/>
  <c r="V19" i="9"/>
  <c r="T49" i="4"/>
  <c r="V77" i="4"/>
  <c r="V54" i="4"/>
  <c r="V38" i="4"/>
  <c r="V61" i="4"/>
  <c r="V39" i="4"/>
  <c r="V78" i="4"/>
  <c r="P127" i="16"/>
  <c r="P113" i="17"/>
  <c r="P112" i="17" s="1"/>
  <c r="Q65" i="16"/>
  <c r="Q113" i="17"/>
  <c r="Q112" i="17" s="1"/>
  <c r="Q127" i="16"/>
  <c r="Q115" i="16" s="1"/>
  <c r="Q140" i="15"/>
  <c r="Q139" i="16"/>
  <c r="P138" i="15"/>
  <c r="V99" i="4"/>
  <c r="V95" i="4"/>
  <c r="P108" i="17"/>
  <c r="P67" i="16"/>
  <c r="Q125" i="16"/>
  <c r="P125" i="16"/>
  <c r="R114" i="17"/>
  <c r="R116" i="17" s="1"/>
  <c r="Q138" i="15"/>
  <c r="Q67" i="16"/>
  <c r="Q108" i="17"/>
  <c r="P65" i="16"/>
  <c r="S65" i="16" s="1"/>
  <c r="T49" i="10"/>
  <c r="V48" i="3"/>
  <c r="T112" i="9"/>
  <c r="V16" i="9"/>
  <c r="V61" i="7"/>
  <c r="T69" i="7"/>
  <c r="V78" i="3"/>
  <c r="V80" i="3"/>
  <c r="V76" i="3"/>
  <c r="V64" i="3"/>
  <c r="Q31" i="15"/>
  <c r="V37" i="7"/>
  <c r="V35" i="7"/>
  <c r="Q222" i="9"/>
  <c r="V34" i="9"/>
  <c r="V27" i="2"/>
  <c r="V61" i="2"/>
  <c r="V20" i="2"/>
  <c r="V25" i="2"/>
  <c r="V44" i="2"/>
  <c r="V50" i="2"/>
  <c r="T40" i="9"/>
  <c r="Q96" i="10"/>
  <c r="Q9" i="10" s="1"/>
  <c r="V73" i="4"/>
  <c r="V33" i="4"/>
  <c r="P140" i="15"/>
  <c r="V37" i="4"/>
  <c r="T27" i="4"/>
  <c r="V51" i="4"/>
  <c r="V76" i="4"/>
  <c r="V57" i="7"/>
  <c r="V76" i="7"/>
  <c r="V54" i="7"/>
  <c r="V50" i="7"/>
  <c r="V28" i="7"/>
  <c r="V65" i="7"/>
  <c r="V81" i="7"/>
  <c r="V57" i="4"/>
  <c r="T58" i="4"/>
  <c r="Q7" i="6"/>
  <c r="T41" i="5"/>
  <c r="Q6" i="3"/>
  <c r="V20" i="15"/>
  <c r="T20" i="15"/>
  <c r="T16" i="15"/>
  <c r="V16" i="15"/>
  <c r="V44" i="9"/>
  <c r="T44" i="9"/>
  <c r="T28" i="3"/>
  <c r="Q215" i="9"/>
  <c r="Q32" i="15"/>
  <c r="V53" i="10"/>
  <c r="T53" i="10"/>
  <c r="V77" i="7"/>
  <c r="T36" i="5"/>
  <c r="V36" i="5"/>
  <c r="V58" i="5"/>
  <c r="V34" i="5"/>
  <c r="T34" i="5"/>
  <c r="T81" i="3"/>
  <c r="M17" i="11"/>
  <c r="V78" i="2"/>
  <c r="V63" i="2"/>
  <c r="P221" i="9"/>
  <c r="P42" i="15"/>
  <c r="T41" i="17"/>
  <c r="V68" i="2"/>
  <c r="V79" i="2"/>
  <c r="V39" i="2"/>
  <c r="V38" i="2"/>
  <c r="V47" i="2"/>
  <c r="V59" i="2"/>
  <c r="T124" i="9"/>
  <c r="V124" i="9"/>
  <c r="Q47" i="15"/>
  <c r="Q226" i="9"/>
  <c r="Q7" i="7"/>
  <c r="V16" i="10"/>
  <c r="T16" i="10"/>
  <c r="V35" i="10"/>
  <c r="T35" i="10"/>
  <c r="Q233" i="9"/>
  <c r="Q58" i="15"/>
  <c r="V73" i="10"/>
  <c r="V15" i="15"/>
  <c r="T15" i="15"/>
  <c r="P5" i="4"/>
  <c r="P181" i="9" s="1"/>
  <c r="V44" i="7"/>
  <c r="V26" i="10"/>
  <c r="V18" i="15"/>
  <c r="T18" i="15"/>
  <c r="V79" i="4"/>
  <c r="V63" i="7"/>
  <c r="V68" i="7"/>
  <c r="P232" i="9"/>
  <c r="P57" i="15"/>
  <c r="V77" i="10"/>
  <c r="P6" i="4"/>
  <c r="P226" i="9"/>
  <c r="P47" i="15"/>
  <c r="S176" i="17"/>
  <c r="T176" i="17" s="1"/>
  <c r="P234" i="9"/>
  <c r="P59" i="15"/>
  <c r="V38" i="7"/>
  <c r="V52" i="7"/>
  <c r="V72" i="5"/>
  <c r="T72" i="5"/>
  <c r="V46" i="5"/>
  <c r="T46" i="5"/>
  <c r="T25" i="5"/>
  <c r="V49" i="5"/>
  <c r="T49" i="5"/>
  <c r="P189" i="9"/>
  <c r="T17" i="3"/>
  <c r="V17" i="3"/>
  <c r="P187" i="9"/>
  <c r="V14" i="15"/>
  <c r="T14" i="15"/>
  <c r="Q7" i="2"/>
  <c r="Q44" i="15"/>
  <c r="Q223" i="9"/>
  <c r="P229" i="9"/>
  <c r="P54" i="15"/>
  <c r="T42" i="17"/>
  <c r="P6" i="2"/>
  <c r="V26" i="2"/>
  <c r="T30" i="9"/>
  <c r="V30" i="9"/>
  <c r="Q218" i="9"/>
  <c r="Q35" i="15"/>
  <c r="T75" i="10"/>
  <c r="V75" i="10"/>
  <c r="T45" i="10"/>
  <c r="V45" i="10"/>
  <c r="Q217" i="9"/>
  <c r="Q34" i="15"/>
  <c r="V14" i="10"/>
  <c r="T14" i="10"/>
  <c r="V52" i="10"/>
  <c r="T52" i="10"/>
  <c r="V43" i="10"/>
  <c r="T43" i="10"/>
  <c r="V20" i="7"/>
  <c r="V15" i="5"/>
  <c r="T15" i="5"/>
  <c r="V30" i="5"/>
  <c r="T30" i="5"/>
  <c r="V22" i="5"/>
  <c r="T22" i="5"/>
  <c r="T80" i="5"/>
  <c r="V80" i="5"/>
  <c r="T21" i="5"/>
  <c r="V21" i="5"/>
  <c r="Q42" i="15"/>
  <c r="Q221" i="9"/>
  <c r="P5" i="2"/>
  <c r="P179" i="9" s="1"/>
  <c r="T30" i="2"/>
  <c r="T15" i="9"/>
  <c r="V15" i="9"/>
  <c r="Q46" i="15"/>
  <c r="Q225" i="9"/>
  <c r="V43" i="4"/>
  <c r="V70" i="7"/>
  <c r="V14" i="7"/>
  <c r="V40" i="7"/>
  <c r="V79" i="7"/>
  <c r="V62" i="5"/>
  <c r="T62" i="5"/>
  <c r="V67" i="5"/>
  <c r="T67" i="5"/>
  <c r="R47" i="15"/>
  <c r="R226" i="9"/>
  <c r="R234" i="9"/>
  <c r="R59" i="15"/>
  <c r="P39" i="10"/>
  <c r="S39" i="10" s="1"/>
  <c r="V31" i="10"/>
  <c r="T31" i="10"/>
  <c r="P231" i="9"/>
  <c r="P56" i="15"/>
  <c r="P44" i="15"/>
  <c r="P223" i="9"/>
  <c r="S95" i="17"/>
  <c r="T95" i="17" s="1"/>
  <c r="V70" i="4"/>
  <c r="V53" i="7"/>
  <c r="V55" i="7"/>
  <c r="R31" i="15"/>
  <c r="R214" i="9"/>
  <c r="R90" i="3"/>
  <c r="R5" i="3" s="1"/>
  <c r="R180" i="9" s="1"/>
  <c r="R218" i="9"/>
  <c r="R35" i="15"/>
  <c r="T41" i="10"/>
  <c r="V41" i="10"/>
  <c r="V48" i="10"/>
  <c r="T48" i="10"/>
  <c r="T42" i="4"/>
  <c r="V65" i="4"/>
  <c r="P215" i="9"/>
  <c r="P32" i="15"/>
  <c r="V46" i="4"/>
  <c r="V45" i="7"/>
  <c r="V39" i="7"/>
  <c r="V47" i="7"/>
  <c r="V43" i="7"/>
  <c r="V78" i="7"/>
  <c r="V27" i="7"/>
  <c r="V31" i="7"/>
  <c r="V51" i="7"/>
  <c r="V82" i="7"/>
  <c r="V17" i="7"/>
  <c r="T53" i="5"/>
  <c r="T64" i="5"/>
  <c r="V64" i="5"/>
  <c r="V19" i="5"/>
  <c r="T19" i="5"/>
  <c r="T27" i="5"/>
  <c r="V27" i="5"/>
  <c r="P216" i="9"/>
  <c r="S121" i="17"/>
  <c r="P33" i="15"/>
  <c r="P5" i="5"/>
  <c r="P182" i="9" s="1"/>
  <c r="P45" i="15"/>
  <c r="S122" i="17"/>
  <c r="T122" i="17" s="1"/>
  <c r="P224" i="9"/>
  <c r="V17" i="5"/>
  <c r="T17" i="5"/>
  <c r="Q229" i="9"/>
  <c r="Q54" i="15"/>
  <c r="Q7" i="4"/>
  <c r="Q231" i="9"/>
  <c r="Q56" i="15"/>
  <c r="V35" i="2"/>
  <c r="V70" i="2"/>
  <c r="V60" i="2"/>
  <c r="V65" i="2"/>
  <c r="V69" i="2"/>
  <c r="V81" i="2"/>
  <c r="T70" i="9"/>
  <c r="V70" i="9"/>
  <c r="Q234" i="9"/>
  <c r="Q59" i="15"/>
  <c r="V68" i="10"/>
  <c r="T67" i="10"/>
  <c r="T18" i="10"/>
  <c r="V18" i="10"/>
  <c r="V20" i="4" l="1"/>
  <c r="S94" i="17"/>
  <c r="V13" i="4"/>
  <c r="R87" i="17"/>
  <c r="T18" i="5"/>
  <c r="R184" i="17"/>
  <c r="R96" i="10"/>
  <c r="R9" i="10" s="1"/>
  <c r="U9" i="10" s="1"/>
  <c r="S66" i="7"/>
  <c r="T66" i="7" s="1"/>
  <c r="S159" i="17"/>
  <c r="V15" i="6"/>
  <c r="T15" i="6"/>
  <c r="V23" i="6"/>
  <c r="T23" i="6"/>
  <c r="R49" i="15"/>
  <c r="T21" i="6"/>
  <c r="V21" i="6"/>
  <c r="T20" i="6"/>
  <c r="V20" i="6"/>
  <c r="T33" i="5"/>
  <c r="T23" i="5"/>
  <c r="S33" i="16"/>
  <c r="T71" i="5"/>
  <c r="V66" i="5"/>
  <c r="T42" i="5"/>
  <c r="V98" i="6"/>
  <c r="T66" i="6"/>
  <c r="T69" i="6"/>
  <c r="R227" i="9"/>
  <c r="S48" i="7"/>
  <c r="S66" i="16"/>
  <c r="T48" i="5"/>
  <c r="V98" i="3"/>
  <c r="V67" i="6"/>
  <c r="V23" i="7"/>
  <c r="T23" i="7"/>
  <c r="V75" i="3"/>
  <c r="P130" i="17"/>
  <c r="T80" i="6"/>
  <c r="T71" i="6"/>
  <c r="S130" i="16"/>
  <c r="S70" i="16"/>
  <c r="S71" i="7"/>
  <c r="T71" i="7" s="1"/>
  <c r="S129" i="16"/>
  <c r="S69" i="16"/>
  <c r="P115" i="16"/>
  <c r="S115" i="16" s="1"/>
  <c r="S127" i="16"/>
  <c r="S139" i="16"/>
  <c r="S67" i="16"/>
  <c r="P103" i="17"/>
  <c r="V37" i="3"/>
  <c r="R89" i="17"/>
  <c r="P108" i="16"/>
  <c r="S108" i="16" s="1"/>
  <c r="S100" i="16"/>
  <c r="S125" i="16"/>
  <c r="Q96" i="16"/>
  <c r="S96" i="16" s="1"/>
  <c r="S88" i="16"/>
  <c r="S64" i="16"/>
  <c r="P84" i="16"/>
  <c r="S84" i="16" s="1"/>
  <c r="S76" i="16"/>
  <c r="P48" i="16"/>
  <c r="S48" i="16" s="1"/>
  <c r="S40" i="16"/>
  <c r="R109" i="15"/>
  <c r="T62" i="2"/>
  <c r="R157" i="17"/>
  <c r="Q103" i="17"/>
  <c r="R143" i="17"/>
  <c r="T83" i="2"/>
  <c r="Q143" i="17"/>
  <c r="V67" i="7"/>
  <c r="T84" i="4"/>
  <c r="V47" i="3"/>
  <c r="V20" i="3"/>
  <c r="V36" i="6"/>
  <c r="V98" i="2"/>
  <c r="T98" i="2"/>
  <c r="V98" i="4"/>
  <c r="T98" i="4"/>
  <c r="V74" i="7"/>
  <c r="T74" i="7"/>
  <c r="V100" i="6"/>
  <c r="T100" i="6"/>
  <c r="V74" i="6"/>
  <c r="T74" i="6"/>
  <c r="T34" i="2"/>
  <c r="T88" i="3"/>
  <c r="T49" i="3"/>
  <c r="V73" i="3"/>
  <c r="V74" i="3"/>
  <c r="T74" i="3"/>
  <c r="V30" i="6"/>
  <c r="V23" i="2"/>
  <c r="T23" i="2"/>
  <c r="V74" i="2"/>
  <c r="T74" i="2"/>
  <c r="V16" i="2"/>
  <c r="T16" i="2"/>
  <c r="T83" i="4"/>
  <c r="V96" i="4"/>
  <c r="V74" i="4"/>
  <c r="T74" i="4"/>
  <c r="V66" i="4"/>
  <c r="T66" i="4"/>
  <c r="V67" i="4"/>
  <c r="T67" i="4"/>
  <c r="V62" i="4"/>
  <c r="T62" i="4"/>
  <c r="T34" i="4"/>
  <c r="V64" i="7"/>
  <c r="V84" i="6"/>
  <c r="T84" i="6"/>
  <c r="R60" i="17"/>
  <c r="R62" i="17" s="1"/>
  <c r="V42" i="7"/>
  <c r="T42" i="7"/>
  <c r="V46" i="7"/>
  <c r="T46" i="7"/>
  <c r="V41" i="7"/>
  <c r="T41" i="7"/>
  <c r="T43" i="3"/>
  <c r="T67" i="3"/>
  <c r="T24" i="3"/>
  <c r="S104" i="15"/>
  <c r="S100" i="17"/>
  <c r="T100" i="17" s="1"/>
  <c r="V99" i="6"/>
  <c r="T99" i="6"/>
  <c r="T56" i="6"/>
  <c r="V48" i="6"/>
  <c r="T62" i="6"/>
  <c r="V46" i="6"/>
  <c r="T46" i="6"/>
  <c r="V42" i="6"/>
  <c r="T42" i="6"/>
  <c r="V41" i="6"/>
  <c r="T41" i="6"/>
  <c r="V26" i="4"/>
  <c r="T26" i="4"/>
  <c r="T42" i="3"/>
  <c r="R145" i="15"/>
  <c r="R22" i="15" s="1"/>
  <c r="R23" i="15" s="1"/>
  <c r="V85" i="3"/>
  <c r="T85" i="3"/>
  <c r="Q7" i="3"/>
  <c r="R72" i="16"/>
  <c r="R33" i="17"/>
  <c r="R35" i="17" s="1"/>
  <c r="V41" i="4"/>
  <c r="Q87" i="17"/>
  <c r="Q89" i="17" s="1"/>
  <c r="V50" i="3"/>
  <c r="R235" i="9"/>
  <c r="V72" i="6"/>
  <c r="T58" i="6"/>
  <c r="T32" i="6"/>
  <c r="S233" i="9"/>
  <c r="S58" i="15"/>
  <c r="V32" i="6"/>
  <c r="T48" i="4"/>
  <c r="V21" i="4"/>
  <c r="V80" i="4"/>
  <c r="T80" i="4"/>
  <c r="V16" i="4"/>
  <c r="T16" i="4"/>
  <c r="V72" i="3"/>
  <c r="V68" i="3"/>
  <c r="T68" i="3"/>
  <c r="T65" i="3"/>
  <c r="V22" i="3"/>
  <c r="T22" i="3"/>
  <c r="P60" i="17"/>
  <c r="V22" i="2"/>
  <c r="T22" i="2"/>
  <c r="V21" i="2"/>
  <c r="T21" i="2"/>
  <c r="V18" i="2"/>
  <c r="T18" i="2"/>
  <c r="V25" i="10"/>
  <c r="T25" i="10"/>
  <c r="P52" i="16"/>
  <c r="T49" i="6"/>
  <c r="Q205" i="9"/>
  <c r="Q206" i="9" s="1"/>
  <c r="T59" i="3"/>
  <c r="Q33" i="17"/>
  <c r="Q35" i="17" s="1"/>
  <c r="T46" i="17"/>
  <c r="S102" i="15"/>
  <c r="S99" i="17"/>
  <c r="T99" i="17" s="1"/>
  <c r="S92" i="15"/>
  <c r="T27" i="17"/>
  <c r="Q97" i="15"/>
  <c r="Q157" i="17"/>
  <c r="Q109" i="15"/>
  <c r="V13" i="16"/>
  <c r="S10" i="11"/>
  <c r="T13" i="16"/>
  <c r="V86" i="7"/>
  <c r="S181" i="17"/>
  <c r="T181" i="17" s="1"/>
  <c r="S107" i="15"/>
  <c r="V93" i="4"/>
  <c r="S105" i="17"/>
  <c r="T105" i="17" s="1"/>
  <c r="V67" i="10"/>
  <c r="T28" i="17"/>
  <c r="V76" i="10"/>
  <c r="T30" i="17"/>
  <c r="V86" i="2"/>
  <c r="V18" i="16"/>
  <c r="S15" i="11"/>
  <c r="T18" i="16"/>
  <c r="T15" i="16"/>
  <c r="S12" i="11"/>
  <c r="V15" i="16"/>
  <c r="V97" i="6"/>
  <c r="T25" i="17"/>
  <c r="V27" i="4"/>
  <c r="V69" i="7"/>
  <c r="V97" i="4"/>
  <c r="S103" i="15"/>
  <c r="S73" i="17"/>
  <c r="T73" i="17" s="1"/>
  <c r="S180" i="17"/>
  <c r="S95" i="15"/>
  <c r="T19" i="16"/>
  <c r="S16" i="11"/>
  <c r="V19" i="16"/>
  <c r="S14" i="11"/>
  <c r="V17" i="16"/>
  <c r="T24" i="17"/>
  <c r="T29" i="17"/>
  <c r="T16" i="16"/>
  <c r="V16" i="16"/>
  <c r="S13" i="11"/>
  <c r="V105" i="6"/>
  <c r="T95" i="4"/>
  <c r="T33" i="4"/>
  <c r="V93" i="7"/>
  <c r="S186" i="17"/>
  <c r="T186" i="17" s="1"/>
  <c r="S78" i="17"/>
  <c r="T78" i="17" s="1"/>
  <c r="V93" i="3"/>
  <c r="V14" i="16"/>
  <c r="S11" i="11"/>
  <c r="T14" i="16"/>
  <c r="Q184" i="17"/>
  <c r="V86" i="5"/>
  <c r="S127" i="17"/>
  <c r="T127" i="17" s="1"/>
  <c r="S105" i="15"/>
  <c r="T97" i="7"/>
  <c r="T62" i="7"/>
  <c r="Q195" i="17"/>
  <c r="T83" i="7"/>
  <c r="V83" i="7"/>
  <c r="R195" i="17"/>
  <c r="R61" i="15"/>
  <c r="V95" i="7"/>
  <c r="S189" i="17"/>
  <c r="S194" i="17"/>
  <c r="V86" i="6"/>
  <c r="S154" i="17"/>
  <c r="T154" i="17" s="1"/>
  <c r="S106" i="15"/>
  <c r="R36" i="16"/>
  <c r="T33" i="6"/>
  <c r="R97" i="15"/>
  <c r="V83" i="6"/>
  <c r="S153" i="17"/>
  <c r="T153" i="17" s="1"/>
  <c r="S94" i="15"/>
  <c r="Q36" i="16"/>
  <c r="V64" i="6"/>
  <c r="Q168" i="17"/>
  <c r="T159" i="17"/>
  <c r="S167" i="17"/>
  <c r="P36" i="16"/>
  <c r="S162" i="17"/>
  <c r="T162" i="17" s="1"/>
  <c r="R168" i="17"/>
  <c r="V83" i="5"/>
  <c r="S126" i="17"/>
  <c r="T126" i="17" s="1"/>
  <c r="S93" i="15"/>
  <c r="V93" i="5"/>
  <c r="S132" i="17"/>
  <c r="V95" i="5"/>
  <c r="S135" i="17"/>
  <c r="T135" i="17" s="1"/>
  <c r="P97" i="15"/>
  <c r="T23" i="4"/>
  <c r="T19" i="4"/>
  <c r="T15" i="4"/>
  <c r="T36" i="4"/>
  <c r="T85" i="4"/>
  <c r="V85" i="4"/>
  <c r="Q114" i="17"/>
  <c r="P114" i="17"/>
  <c r="V33" i="3"/>
  <c r="T33" i="3"/>
  <c r="Q198" i="9"/>
  <c r="Q200" i="9" s="1"/>
  <c r="T35" i="3"/>
  <c r="V63" i="3"/>
  <c r="V95" i="3"/>
  <c r="S81" i="17"/>
  <c r="T81" i="17" s="1"/>
  <c r="S91" i="15"/>
  <c r="S72" i="17"/>
  <c r="T72" i="17" s="1"/>
  <c r="T13" i="2"/>
  <c r="T51" i="17"/>
  <c r="V93" i="2"/>
  <c r="P49" i="17"/>
  <c r="S90" i="15"/>
  <c r="T45" i="17"/>
  <c r="V84" i="2"/>
  <c r="T84" i="2"/>
  <c r="V87" i="2"/>
  <c r="T87" i="2"/>
  <c r="T95" i="2"/>
  <c r="T53" i="2"/>
  <c r="R113" i="16"/>
  <c r="R120" i="16" s="1"/>
  <c r="R20" i="16" s="1"/>
  <c r="R132" i="16"/>
  <c r="R37" i="15"/>
  <c r="T121" i="17"/>
  <c r="R7" i="3"/>
  <c r="Q144" i="16"/>
  <c r="Q21" i="16" s="1"/>
  <c r="Q18" i="11" s="1"/>
  <c r="T99" i="4"/>
  <c r="T100" i="4"/>
  <c r="Q49" i="15"/>
  <c r="V49" i="4"/>
  <c r="P72" i="16"/>
  <c r="P113" i="16"/>
  <c r="Q145" i="15"/>
  <c r="Q22" i="15" s="1"/>
  <c r="Q23" i="15" s="1"/>
  <c r="P7" i="4"/>
  <c r="Q61" i="15"/>
  <c r="Q72" i="16"/>
  <c r="S138" i="15"/>
  <c r="Q60" i="17"/>
  <c r="Q62" i="17" s="1"/>
  <c r="S113" i="17"/>
  <c r="S140" i="15"/>
  <c r="Q113" i="16"/>
  <c r="Q120" i="16" s="1"/>
  <c r="Q20" i="16" s="1"/>
  <c r="Q132" i="16"/>
  <c r="S108" i="17"/>
  <c r="T94" i="17"/>
  <c r="T66" i="2"/>
  <c r="V99" i="2"/>
  <c r="M19" i="11"/>
  <c r="M41" i="11" s="1"/>
  <c r="I41" i="11"/>
  <c r="T49" i="7"/>
  <c r="T34" i="7"/>
  <c r="V58" i="4"/>
  <c r="V66" i="7"/>
  <c r="V48" i="7"/>
  <c r="T48" i="7"/>
  <c r="T80" i="7"/>
  <c r="V19" i="2"/>
  <c r="V30" i="3"/>
  <c r="T30" i="3"/>
  <c r="V33" i="7"/>
  <c r="T33" i="7"/>
  <c r="R219" i="9"/>
  <c r="V100" i="2"/>
  <c r="Q235" i="9"/>
  <c r="T99" i="2"/>
  <c r="T33" i="2"/>
  <c r="V33" i="2"/>
  <c r="V96" i="3"/>
  <c r="S216" i="9"/>
  <c r="T13" i="5"/>
  <c r="V13" i="5"/>
  <c r="S33" i="15"/>
  <c r="T13" i="4"/>
  <c r="S32" i="15"/>
  <c r="S215" i="9"/>
  <c r="T29" i="6"/>
  <c r="V29" i="6"/>
  <c r="S225" i="9"/>
  <c r="S46" i="15"/>
  <c r="T40" i="10"/>
  <c r="V40" i="10"/>
  <c r="R198" i="9"/>
  <c r="R200" i="9" s="1"/>
  <c r="R205" i="9"/>
  <c r="V19" i="7"/>
  <c r="T19" i="7"/>
  <c r="T30" i="7"/>
  <c r="V30" i="7"/>
  <c r="T30" i="4"/>
  <c r="V30" i="4"/>
  <c r="V15" i="2"/>
  <c r="T15" i="2"/>
  <c r="V48" i="2"/>
  <c r="T48" i="2"/>
  <c r="V58" i="2"/>
  <c r="T58" i="2"/>
  <c r="S229" i="9"/>
  <c r="T32" i="2"/>
  <c r="V32" i="2"/>
  <c r="S54" i="15"/>
  <c r="V84" i="3"/>
  <c r="T84" i="3"/>
  <c r="S187" i="9"/>
  <c r="P230" i="9"/>
  <c r="P235" i="9" s="1"/>
  <c r="P55" i="15"/>
  <c r="P61" i="15" s="1"/>
  <c r="S59" i="15"/>
  <c r="V32" i="7"/>
  <c r="T32" i="7"/>
  <c r="S234" i="9"/>
  <c r="V29" i="7"/>
  <c r="T29" i="7"/>
  <c r="S47" i="15"/>
  <c r="S226" i="9"/>
  <c r="V72" i="4"/>
  <c r="T72" i="4"/>
  <c r="V101" i="4"/>
  <c r="T101" i="4"/>
  <c r="T36" i="7"/>
  <c r="V36" i="7"/>
  <c r="V101" i="7"/>
  <c r="S231" i="9"/>
  <c r="T32" i="4"/>
  <c r="S56" i="15"/>
  <c r="V32" i="4"/>
  <c r="T30" i="10"/>
  <c r="V30" i="10"/>
  <c r="P30" i="15"/>
  <c r="P213" i="9"/>
  <c r="V31" i="3"/>
  <c r="T31" i="3"/>
  <c r="T42" i="10"/>
  <c r="V42" i="10"/>
  <c r="V50" i="10"/>
  <c r="T50" i="10"/>
  <c r="T97" i="2"/>
  <c r="V97" i="2"/>
  <c r="V41" i="2"/>
  <c r="T41" i="2"/>
  <c r="V89" i="4"/>
  <c r="S5" i="4"/>
  <c r="T89" i="4"/>
  <c r="V72" i="10"/>
  <c r="T72" i="10"/>
  <c r="V49" i="2"/>
  <c r="T49" i="2"/>
  <c r="T80" i="2"/>
  <c r="V80" i="2"/>
  <c r="T89" i="5"/>
  <c r="S5" i="5"/>
  <c r="V89" i="5"/>
  <c r="V71" i="2"/>
  <c r="T71" i="2"/>
  <c r="V72" i="7"/>
  <c r="T72" i="7"/>
  <c r="T47" i="10"/>
  <c r="V47" i="10"/>
  <c r="V56" i="7"/>
  <c r="T56" i="7"/>
  <c r="T29" i="4"/>
  <c r="S44" i="15"/>
  <c r="S223" i="9"/>
  <c r="V29" i="4"/>
  <c r="T58" i="7"/>
  <c r="V58" i="7"/>
  <c r="T46" i="2"/>
  <c r="V46" i="2"/>
  <c r="P43" i="15"/>
  <c r="P49" i="15" s="1"/>
  <c r="P222" i="9"/>
  <c r="P227" i="9" s="1"/>
  <c r="T67" i="2"/>
  <c r="V67" i="2"/>
  <c r="P7" i="2"/>
  <c r="T40" i="2"/>
  <c r="V40" i="2"/>
  <c r="V101" i="2"/>
  <c r="T101" i="2"/>
  <c r="V42" i="2"/>
  <c r="T42" i="2"/>
  <c r="T96" i="2"/>
  <c r="V96" i="2"/>
  <c r="T36" i="2"/>
  <c r="V36" i="2"/>
  <c r="S45" i="15"/>
  <c r="T29" i="5"/>
  <c r="S224" i="9"/>
  <c r="V29" i="5"/>
  <c r="V98" i="7"/>
  <c r="T98" i="7"/>
  <c r="V21" i="7"/>
  <c r="T21" i="7"/>
  <c r="T89" i="2"/>
  <c r="V89" i="2"/>
  <c r="S5" i="2"/>
  <c r="Q227" i="9"/>
  <c r="T15" i="3"/>
  <c r="V15" i="3"/>
  <c r="V102" i="2"/>
  <c r="T102" i="2"/>
  <c r="S6" i="2"/>
  <c r="T34" i="3"/>
  <c r="V34" i="3"/>
  <c r="S189" i="9"/>
  <c r="V64" i="4"/>
  <c r="T64" i="4"/>
  <c r="V102" i="4"/>
  <c r="T102" i="4"/>
  <c r="S6" i="4"/>
  <c r="V32" i="5"/>
  <c r="S232" i="9"/>
  <c r="T32" i="5"/>
  <c r="S57" i="15"/>
  <c r="T64" i="2"/>
  <c r="V64" i="2"/>
  <c r="V29" i="2"/>
  <c r="S221" i="9"/>
  <c r="T29" i="2"/>
  <c r="S42" i="15"/>
  <c r="T72" i="2"/>
  <c r="V72" i="2"/>
  <c r="Q213" i="9"/>
  <c r="Q219" i="9" s="1"/>
  <c r="Q30" i="15"/>
  <c r="Q37" i="15" s="1"/>
  <c r="R197" i="17" l="1"/>
  <c r="V71" i="7"/>
  <c r="R170" i="17"/>
  <c r="P116" i="17"/>
  <c r="Q116" i="17"/>
  <c r="S113" i="16"/>
  <c r="S72" i="16"/>
  <c r="P60" i="16"/>
  <c r="S60" i="16" s="1"/>
  <c r="S52" i="16"/>
  <c r="S36" i="16"/>
  <c r="P62" i="17"/>
  <c r="V16" i="11"/>
  <c r="T16" i="11"/>
  <c r="S103" i="17"/>
  <c r="T103" i="17" s="1"/>
  <c r="Q208" i="9"/>
  <c r="Q209" i="9" s="1"/>
  <c r="V14" i="11"/>
  <c r="T14" i="11"/>
  <c r="R17" i="11"/>
  <c r="R19" i="11" s="1"/>
  <c r="R41" i="11" s="1"/>
  <c r="R22" i="16"/>
  <c r="Q17" i="11"/>
  <c r="Q19" i="11" s="1"/>
  <c r="Q41" i="11" s="1"/>
  <c r="Q22" i="16"/>
  <c r="T26" i="17"/>
  <c r="Q197" i="17"/>
  <c r="V13" i="11"/>
  <c r="T13" i="11"/>
  <c r="V10" i="11"/>
  <c r="T10" i="11"/>
  <c r="Q170" i="17"/>
  <c r="T11" i="11"/>
  <c r="V11" i="11"/>
  <c r="T180" i="17"/>
  <c r="V12" i="11"/>
  <c r="T12" i="11"/>
  <c r="T15" i="11"/>
  <c r="V15" i="11"/>
  <c r="S130" i="17"/>
  <c r="T130" i="17" s="1"/>
  <c r="T189" i="17"/>
  <c r="T194" i="17"/>
  <c r="T167" i="17"/>
  <c r="T132" i="17"/>
  <c r="S97" i="15"/>
  <c r="S49" i="17"/>
  <c r="T49" i="17" s="1"/>
  <c r="T59" i="17"/>
  <c r="T108" i="17"/>
  <c r="S112" i="17"/>
  <c r="T112" i="17" s="1"/>
  <c r="T113" i="17"/>
  <c r="T54" i="17"/>
  <c r="V5" i="5"/>
  <c r="T5" i="5"/>
  <c r="S182" i="9"/>
  <c r="S213" i="9"/>
  <c r="S30" i="15"/>
  <c r="R206" i="9"/>
  <c r="R208" i="9"/>
  <c r="R209" i="9" s="1"/>
  <c r="S7" i="4"/>
  <c r="T6" i="4"/>
  <c r="V6" i="4"/>
  <c r="S55" i="15"/>
  <c r="S61" i="15" s="1"/>
  <c r="S230" i="9"/>
  <c r="S235" i="9" s="1"/>
  <c r="V5" i="2"/>
  <c r="T5" i="2"/>
  <c r="S179" i="9"/>
  <c r="V6" i="2"/>
  <c r="T6" i="2"/>
  <c r="S7" i="2"/>
  <c r="S181" i="9"/>
  <c r="T5" i="4"/>
  <c r="V5" i="4"/>
  <c r="S222" i="9"/>
  <c r="S227" i="9" s="1"/>
  <c r="S43" i="15"/>
  <c r="S49" i="15" s="1"/>
  <c r="T39" i="10"/>
  <c r="V39" i="10"/>
  <c r="V7" i="4" l="1"/>
  <c r="T7" i="4"/>
  <c r="S114" i="17"/>
  <c r="S60" i="17"/>
  <c r="V7" i="2"/>
  <c r="T7" i="2"/>
  <c r="T60" i="17" l="1"/>
  <c r="S62" i="17"/>
  <c r="T114" i="17"/>
  <c r="S116" i="17"/>
  <c r="P118" i="9" l="1"/>
  <c r="C106" i="9"/>
  <c r="L106" i="9" s="1"/>
  <c r="S118" i="9" l="1"/>
  <c r="V118" i="9" s="1"/>
  <c r="P106" i="9"/>
  <c r="S106" i="9" s="1"/>
  <c r="C17" i="17"/>
  <c r="P17" i="17" s="1"/>
  <c r="S17" i="17" s="1"/>
  <c r="C77" i="15"/>
  <c r="C85" i="15" s="1"/>
  <c r="C17" i="15" s="1"/>
  <c r="T118" i="9" l="1"/>
  <c r="P77" i="15"/>
  <c r="P85" i="15" s="1"/>
  <c r="C31" i="11"/>
  <c r="P17" i="15"/>
  <c r="S77" i="15" l="1"/>
  <c r="S85" i="15" s="1"/>
  <c r="V106" i="9"/>
  <c r="T106" i="9"/>
  <c r="S17" i="15"/>
  <c r="P31" i="11"/>
  <c r="T17" i="17" l="1"/>
  <c r="V17" i="15"/>
  <c r="T17" i="15"/>
  <c r="S31" i="11"/>
  <c r="V31" i="11" l="1"/>
  <c r="T31" i="11"/>
  <c r="P15" i="7"/>
  <c r="S15" i="7" s="1"/>
  <c r="C13" i="7"/>
  <c r="P13" i="7" s="1"/>
  <c r="S13" i="7" s="1"/>
  <c r="V15" i="7" l="1"/>
  <c r="P218" i="9"/>
  <c r="P35" i="15"/>
  <c r="P175" i="17"/>
  <c r="P184" i="17" s="1"/>
  <c r="C175" i="17"/>
  <c r="C184" i="17" s="1"/>
  <c r="L13" i="7"/>
  <c r="C35" i="15"/>
  <c r="C89" i="7"/>
  <c r="L89" i="7" s="1"/>
  <c r="C218" i="9"/>
  <c r="S35" i="15" l="1"/>
  <c r="V13" i="7"/>
  <c r="S175" i="17"/>
  <c r="S218" i="9"/>
  <c r="C5" i="7"/>
  <c r="L5" i="7" s="1"/>
  <c r="C104" i="7"/>
  <c r="C100" i="7" s="1"/>
  <c r="P89" i="7"/>
  <c r="S89" i="7" s="1"/>
  <c r="L100" i="7" l="1"/>
  <c r="C142" i="16"/>
  <c r="C99" i="7"/>
  <c r="L99" i="7" s="1"/>
  <c r="C143" i="15"/>
  <c r="P100" i="7"/>
  <c r="S100" i="7" s="1"/>
  <c r="S184" i="17"/>
  <c r="T184" i="17" s="1"/>
  <c r="T175" i="17"/>
  <c r="P5" i="7"/>
  <c r="P184" i="9" s="1"/>
  <c r="C184" i="9"/>
  <c r="S5" i="7" l="1"/>
  <c r="V89" i="7"/>
  <c r="C118" i="16"/>
  <c r="C193" i="17"/>
  <c r="C195" i="17" s="1"/>
  <c r="C197" i="17" s="1"/>
  <c r="C102" i="7"/>
  <c r="L102" i="7" s="1"/>
  <c r="P99" i="7"/>
  <c r="S99" i="7" s="1"/>
  <c r="P142" i="16"/>
  <c r="S142" i="16" s="1"/>
  <c r="T100" i="7"/>
  <c r="P143" i="15"/>
  <c r="C6" i="7" l="1"/>
  <c r="L6" i="7" s="1"/>
  <c r="P102" i="7"/>
  <c r="S102" i="7" s="1"/>
  <c r="V5" i="7"/>
  <c r="S184" i="9"/>
  <c r="T5" i="7"/>
  <c r="S143" i="15"/>
  <c r="V100" i="7"/>
  <c r="P193" i="17"/>
  <c r="P195" i="17" s="1"/>
  <c r="P197" i="17" s="1"/>
  <c r="P118" i="16"/>
  <c r="S118" i="16" s="1"/>
  <c r="T99" i="7" l="1"/>
  <c r="V99" i="7"/>
  <c r="S193" i="17"/>
  <c r="P6" i="7"/>
  <c r="P7" i="7" s="1"/>
  <c r="C7" i="7"/>
  <c r="T7" i="7" s="1"/>
  <c r="S195" i="17" l="1"/>
  <c r="T193" i="17"/>
  <c r="S6" i="7"/>
  <c r="V102" i="7"/>
  <c r="V6" i="7" l="1"/>
  <c r="S7" i="7"/>
  <c r="V7" i="7" s="1"/>
  <c r="T6" i="7"/>
  <c r="S197" i="17"/>
  <c r="T195" i="17"/>
  <c r="T15" i="7"/>
  <c r="C13" i="6"/>
  <c r="L13" i="6" s="1"/>
  <c r="C34" i="15" l="1"/>
  <c r="C89" i="6"/>
  <c r="L89" i="6" s="1"/>
  <c r="P13" i="6"/>
  <c r="S13" i="6" s="1"/>
  <c r="C217" i="9"/>
  <c r="T13" i="7"/>
  <c r="C148" i="17"/>
  <c r="C157" i="17" s="1"/>
  <c r="P34" i="15" l="1"/>
  <c r="P148" i="17"/>
  <c r="P157" i="17" s="1"/>
  <c r="P217" i="9"/>
  <c r="T89" i="7"/>
  <c r="C5" i="6"/>
  <c r="L5" i="6" s="1"/>
  <c r="C109" i="6"/>
  <c r="C104" i="6" s="1"/>
  <c r="P89" i="6"/>
  <c r="S89" i="6" s="1"/>
  <c r="C112" i="6" l="1"/>
  <c r="L104" i="6"/>
  <c r="C183" i="9"/>
  <c r="V13" i="6"/>
  <c r="S217" i="9"/>
  <c r="S34" i="15"/>
  <c r="S148" i="17"/>
  <c r="T13" i="6"/>
  <c r="P5" i="6"/>
  <c r="P183" i="9" s="1"/>
  <c r="T102" i="7"/>
  <c r="C141" i="16"/>
  <c r="C103" i="6"/>
  <c r="L103" i="6" s="1"/>
  <c r="C142" i="15"/>
  <c r="P104" i="6"/>
  <c r="S104" i="6" s="1"/>
  <c r="S5" i="6" l="1"/>
  <c r="V89" i="6"/>
  <c r="T89" i="6"/>
  <c r="T148" i="17"/>
  <c r="S157" i="17"/>
  <c r="T157" i="17" s="1"/>
  <c r="P142" i="15"/>
  <c r="P141" i="16"/>
  <c r="S141" i="16" s="1"/>
  <c r="P103" i="6"/>
  <c r="S103" i="6" s="1"/>
  <c r="C166" i="17"/>
  <c r="C168" i="17" s="1"/>
  <c r="C170" i="17" s="1"/>
  <c r="C117" i="16"/>
  <c r="C106" i="6"/>
  <c r="L106" i="6" s="1"/>
  <c r="T101" i="7"/>
  <c r="C6" i="6" l="1"/>
  <c r="L6" i="6" s="1"/>
  <c r="P106" i="6"/>
  <c r="S106" i="6" s="1"/>
  <c r="V5" i="6"/>
  <c r="S183" i="9"/>
  <c r="T5" i="6"/>
  <c r="P166" i="17"/>
  <c r="P168" i="17" s="1"/>
  <c r="P170" i="17" s="1"/>
  <c r="P117" i="16"/>
  <c r="S117" i="16" s="1"/>
  <c r="V104" i="6"/>
  <c r="S142" i="15"/>
  <c r="T104" i="6"/>
  <c r="P6" i="6" l="1"/>
  <c r="P7" i="6" s="1"/>
  <c r="C7" i="6"/>
  <c r="T7" i="6" s="1"/>
  <c r="S166" i="17"/>
  <c r="V103" i="6"/>
  <c r="T103" i="6"/>
  <c r="S6" i="6" l="1"/>
  <c r="V106" i="6"/>
  <c r="T106" i="6"/>
  <c r="T166" i="17"/>
  <c r="S168" i="17"/>
  <c r="V6" i="6" l="1"/>
  <c r="S7" i="6"/>
  <c r="V7" i="6" s="1"/>
  <c r="T6" i="6"/>
  <c r="S170" i="17"/>
  <c r="T168" i="17"/>
  <c r="P19" i="3" l="1"/>
  <c r="S19" i="3" s="1"/>
  <c r="C13" i="3"/>
  <c r="C67" i="17" l="1"/>
  <c r="C76" i="17" s="1"/>
  <c r="L13" i="3"/>
  <c r="P13" i="3"/>
  <c r="C31" i="15"/>
  <c r="C37" i="15" s="1"/>
  <c r="C13" i="15" s="1"/>
  <c r="C27" i="11" s="1"/>
  <c r="V19" i="3"/>
  <c r="T19" i="3"/>
  <c r="C214" i="9"/>
  <c r="C219" i="9" s="1"/>
  <c r="C237" i="9" s="1"/>
  <c r="C90" i="3"/>
  <c r="C109" i="3" s="1"/>
  <c r="C110" i="3" s="1"/>
  <c r="L90" i="3" l="1"/>
  <c r="C104" i="3"/>
  <c r="P31" i="15"/>
  <c r="P37" i="15" s="1"/>
  <c r="S13" i="3"/>
  <c r="V13" i="3" s="1"/>
  <c r="P67" i="17"/>
  <c r="P76" i="17" s="1"/>
  <c r="P13" i="15"/>
  <c r="S13" i="15" s="1"/>
  <c r="P214" i="9"/>
  <c r="P219" i="9" s="1"/>
  <c r="P90" i="3"/>
  <c r="C5" i="3"/>
  <c r="L5" i="3" s="1"/>
  <c r="P27" i="11"/>
  <c r="P5" i="3" l="1"/>
  <c r="P180" i="9" s="1"/>
  <c r="P198" i="9" s="1"/>
  <c r="S90" i="3"/>
  <c r="S5" i="3" s="1"/>
  <c r="S180" i="9" s="1"/>
  <c r="S67" i="17"/>
  <c r="T67" i="17" s="1"/>
  <c r="S214" i="9"/>
  <c r="S219" i="9" s="1"/>
  <c r="S31" i="15"/>
  <c r="S37" i="15" s="1"/>
  <c r="T13" i="3"/>
  <c r="C180" i="9"/>
  <c r="V13" i="15"/>
  <c r="T13" i="15"/>
  <c r="S27" i="11"/>
  <c r="V5" i="3" l="1"/>
  <c r="T5" i="3"/>
  <c r="P205" i="9"/>
  <c r="P208" i="9" s="1"/>
  <c r="S76" i="17"/>
  <c r="T76" i="17" s="1"/>
  <c r="T90" i="3"/>
  <c r="V27" i="11"/>
  <c r="T27" i="11"/>
  <c r="C205" i="9"/>
  <c r="C198" i="9"/>
  <c r="S205" i="9"/>
  <c r="S198" i="9"/>
  <c r="S208" i="9" l="1"/>
  <c r="C208" i="9"/>
  <c r="L88" i="10" l="1"/>
  <c r="P88" i="10"/>
  <c r="S88" i="10" s="1"/>
  <c r="T88" i="10" s="1"/>
  <c r="C87" i="10"/>
  <c r="L87" i="10" s="1"/>
  <c r="C81" i="10" l="1"/>
  <c r="C32" i="17"/>
  <c r="P32" i="17" s="1"/>
  <c r="S32" i="17" s="1"/>
  <c r="T32" i="17" s="1"/>
  <c r="P87" i="10"/>
  <c r="C124" i="16"/>
  <c r="V88" i="10"/>
  <c r="P81" i="10" l="1"/>
  <c r="L81" i="10"/>
  <c r="C80" i="10"/>
  <c r="C31" i="17" s="1"/>
  <c r="S87" i="10"/>
  <c r="P124" i="16"/>
  <c r="L80" i="10" l="1"/>
  <c r="C112" i="16"/>
  <c r="C96" i="10"/>
  <c r="D98" i="10" s="1"/>
  <c r="D100" i="10" s="1"/>
  <c r="S81" i="10"/>
  <c r="P80" i="10"/>
  <c r="P112" i="16" s="1"/>
  <c r="S124" i="16"/>
  <c r="V87" i="10"/>
  <c r="T87" i="10"/>
  <c r="C33" i="17"/>
  <c r="P31" i="17"/>
  <c r="V81" i="10" l="1"/>
  <c r="T81" i="10"/>
  <c r="L96" i="10"/>
  <c r="C9" i="10"/>
  <c r="L9" i="10" s="1"/>
  <c r="P96" i="10"/>
  <c r="S80" i="10"/>
  <c r="S112" i="16"/>
  <c r="S31" i="17"/>
  <c r="P33" i="17"/>
  <c r="V80" i="10" l="1"/>
  <c r="T80" i="10"/>
  <c r="S96" i="10"/>
  <c r="P9" i="10"/>
  <c r="S33" i="17"/>
  <c r="T31" i="17"/>
  <c r="S9" i="10" l="1"/>
  <c r="T96" i="10"/>
  <c r="V96" i="10"/>
  <c r="T33" i="17"/>
  <c r="V9" i="10" l="1"/>
  <c r="T9" i="10"/>
  <c r="C140" i="17"/>
  <c r="P103" i="5"/>
  <c r="S103" i="5" s="1"/>
  <c r="C128" i="16"/>
  <c r="C106" i="5"/>
  <c r="C102" i="5" l="1"/>
  <c r="C141" i="15" s="1"/>
  <c r="D109" i="5"/>
  <c r="P128" i="16"/>
  <c r="S128" i="16" s="1"/>
  <c r="S140" i="17"/>
  <c r="T140" i="17" s="1"/>
  <c r="T103" i="5"/>
  <c r="V103" i="5"/>
  <c r="P140" i="17"/>
  <c r="C101" i="5" l="1"/>
  <c r="C139" i="17" s="1"/>
  <c r="C141" i="17" s="1"/>
  <c r="C143" i="17" s="1"/>
  <c r="C140" i="16"/>
  <c r="P102" i="5"/>
  <c r="P140" i="16" s="1"/>
  <c r="C116" i="16" l="1"/>
  <c r="P141" i="15"/>
  <c r="P101" i="5"/>
  <c r="S101" i="5" s="1"/>
  <c r="S102" i="5"/>
  <c r="T102" i="5" s="1"/>
  <c r="S140" i="16"/>
  <c r="P139" i="17" l="1"/>
  <c r="P141" i="17" s="1"/>
  <c r="P143" i="17" s="1"/>
  <c r="S141" i="15"/>
  <c r="P116" i="16"/>
  <c r="S116" i="16" s="1"/>
  <c r="V102" i="5"/>
  <c r="V101" i="5"/>
  <c r="S139" i="17"/>
  <c r="T101" i="5"/>
  <c r="T139" i="17" l="1"/>
  <c r="S141" i="17"/>
  <c r="S143" i="17" l="1"/>
  <c r="T141" i="17"/>
  <c r="C86" i="17"/>
  <c r="C126" i="16"/>
  <c r="C132" i="16"/>
  <c r="P101" i="3"/>
  <c r="P86" i="17" s="1"/>
  <c r="S101" i="3" l="1"/>
  <c r="T101" i="3" s="1"/>
  <c r="P126" i="16"/>
  <c r="C100" i="3"/>
  <c r="L100" i="3" s="1"/>
  <c r="S86" i="17" l="1"/>
  <c r="T86" i="17" s="1"/>
  <c r="V101" i="3"/>
  <c r="S126" i="16"/>
  <c r="P132" i="16"/>
  <c r="S132" i="16" s="1"/>
  <c r="C138" i="16"/>
  <c r="C144" i="16" s="1"/>
  <c r="C21" i="16" s="1"/>
  <c r="C161" i="9"/>
  <c r="C99" i="3"/>
  <c r="L99" i="3" s="1"/>
  <c r="C139" i="15"/>
  <c r="C145" i="15" s="1"/>
  <c r="C22" i="15" s="1"/>
  <c r="P100" i="3"/>
  <c r="C146" i="9" l="1"/>
  <c r="L146" i="9" s="1"/>
  <c r="L161" i="9"/>
  <c r="P161" i="9"/>
  <c r="S161" i="9" s="1"/>
  <c r="V161" i="9" s="1"/>
  <c r="P99" i="3"/>
  <c r="C102" i="3"/>
  <c r="C114" i="16"/>
  <c r="C120" i="16" s="1"/>
  <c r="C20" i="16" s="1"/>
  <c r="C85" i="17"/>
  <c r="C87" i="17" s="1"/>
  <c r="C89" i="17" s="1"/>
  <c r="S100" i="3"/>
  <c r="P139" i="15"/>
  <c r="P145" i="15" s="1"/>
  <c r="P22" i="15" s="1"/>
  <c r="P138" i="16"/>
  <c r="C36" i="11"/>
  <c r="C18" i="11"/>
  <c r="D107" i="3" l="1"/>
  <c r="L102" i="3"/>
  <c r="P36" i="11"/>
  <c r="S36" i="11" s="1"/>
  <c r="P85" i="17"/>
  <c r="P87" i="17" s="1"/>
  <c r="P89" i="17" s="1"/>
  <c r="P114" i="16"/>
  <c r="S99" i="3"/>
  <c r="C17" i="11"/>
  <c r="C22" i="16"/>
  <c r="S138" i="16"/>
  <c r="P144" i="16"/>
  <c r="P146" i="9"/>
  <c r="S146" i="9" s="1"/>
  <c r="V146" i="9" s="1"/>
  <c r="C145" i="9"/>
  <c r="V100" i="3"/>
  <c r="S139" i="15"/>
  <c r="S145" i="15" s="1"/>
  <c r="S22" i="15" s="1"/>
  <c r="T100" i="3"/>
  <c r="C6" i="3"/>
  <c r="L6" i="3" s="1"/>
  <c r="P102" i="3"/>
  <c r="T161" i="9"/>
  <c r="P145" i="9" l="1"/>
  <c r="L145" i="9"/>
  <c r="C7" i="3"/>
  <c r="S144" i="16"/>
  <c r="P21" i="16"/>
  <c r="C9" i="16"/>
  <c r="P9" i="16" s="1"/>
  <c r="S9" i="16" s="1"/>
  <c r="S114" i="16"/>
  <c r="P120" i="16"/>
  <c r="C125" i="15"/>
  <c r="C133" i="15" s="1"/>
  <c r="C21" i="15" s="1"/>
  <c r="C21" i="17"/>
  <c r="C197" i="9"/>
  <c r="S85" i="17"/>
  <c r="V99" i="3"/>
  <c r="T99" i="3"/>
  <c r="P6" i="3"/>
  <c r="P7" i="3" s="1"/>
  <c r="S102" i="3"/>
  <c r="V22" i="15"/>
  <c r="T22" i="15"/>
  <c r="T146" i="9"/>
  <c r="C19" i="11"/>
  <c r="S145" i="9" l="1"/>
  <c r="P125" i="15"/>
  <c r="P133" i="15" s="1"/>
  <c r="P197" i="9"/>
  <c r="P21" i="17"/>
  <c r="S87" i="17"/>
  <c r="T85" i="17"/>
  <c r="C209" i="9"/>
  <c r="C206" i="9"/>
  <c r="S120" i="16"/>
  <c r="P20" i="16"/>
  <c r="S21" i="16"/>
  <c r="P18" i="11"/>
  <c r="S6" i="3"/>
  <c r="V102" i="3"/>
  <c r="T102" i="3"/>
  <c r="P21" i="15"/>
  <c r="C35" i="11"/>
  <c r="V9" i="16"/>
  <c r="T9" i="16"/>
  <c r="P206" i="9" l="1"/>
  <c r="P209" i="9"/>
  <c r="S125" i="15"/>
  <c r="S133" i="15" s="1"/>
  <c r="S197" i="9"/>
  <c r="T145" i="9"/>
  <c r="V145" i="9"/>
  <c r="S21" i="15"/>
  <c r="P35" i="11"/>
  <c r="S21" i="17"/>
  <c r="V21" i="16"/>
  <c r="S18" i="11"/>
  <c r="V18" i="11" s="1"/>
  <c r="T21" i="16"/>
  <c r="S20" i="16"/>
  <c r="P22" i="16"/>
  <c r="S22" i="16" s="1"/>
  <c r="P17" i="11"/>
  <c r="P19" i="11" s="1"/>
  <c r="V6" i="3"/>
  <c r="S7" i="3"/>
  <c r="T6" i="3"/>
  <c r="T87" i="17"/>
  <c r="S89" i="17"/>
  <c r="S209" i="9" l="1"/>
  <c r="S206" i="9"/>
  <c r="V7" i="3"/>
  <c r="T7" i="3"/>
  <c r="V22" i="16"/>
  <c r="T22" i="16"/>
  <c r="T21" i="17"/>
  <c r="V20" i="16"/>
  <c r="S17" i="11"/>
  <c r="T20" i="16"/>
  <c r="S35" i="11"/>
  <c r="V21" i="15"/>
  <c r="T21" i="15"/>
  <c r="V35" i="11" l="1"/>
  <c r="T35" i="11"/>
  <c r="S19" i="11"/>
  <c r="V17" i="11"/>
  <c r="T17" i="11"/>
  <c r="V19" i="11" l="1"/>
  <c r="T19" i="11"/>
  <c r="P133" i="9" l="1"/>
  <c r="S133" i="9" s="1"/>
  <c r="V133" i="9" s="1"/>
  <c r="L133" i="9"/>
  <c r="P130" i="9"/>
  <c r="S130" i="9" s="1"/>
  <c r="V130" i="9" s="1"/>
  <c r="L130" i="9"/>
  <c r="T133" i="9"/>
  <c r="C129" i="9"/>
  <c r="T130" i="9"/>
  <c r="P129" i="9" l="1"/>
  <c r="L129" i="9"/>
  <c r="C168" i="9"/>
  <c r="D291" i="9" s="1"/>
  <c r="D293" i="9" s="1"/>
  <c r="C195" i="9"/>
  <c r="C19" i="17"/>
  <c r="C22" i="17" s="1"/>
  <c r="C35" i="17" s="1"/>
  <c r="C101" i="15"/>
  <c r="C109" i="15" s="1"/>
  <c r="C19" i="15" s="1"/>
  <c r="P195" i="9" l="1"/>
  <c r="P101" i="15"/>
  <c r="P109" i="15" s="1"/>
  <c r="S129" i="9"/>
  <c r="T129" i="9" s="1"/>
  <c r="P168" i="9"/>
  <c r="S168" i="9" s="1"/>
  <c r="T168" i="9" s="1"/>
  <c r="C9" i="9"/>
  <c r="P9" i="9" s="1"/>
  <c r="L168" i="9"/>
  <c r="P19" i="17"/>
  <c r="C23" i="15"/>
  <c r="C9" i="15" s="1"/>
  <c r="C33" i="11"/>
  <c r="P19" i="15"/>
  <c r="S195" i="9" l="1"/>
  <c r="S101" i="15"/>
  <c r="S109" i="15" s="1"/>
  <c r="V129" i="9"/>
  <c r="V168" i="9"/>
  <c r="L9" i="15"/>
  <c r="P9" i="15"/>
  <c r="S9" i="15" s="1"/>
  <c r="V9" i="15" s="1"/>
  <c r="S9" i="9"/>
  <c r="S200" i="9" s="1"/>
  <c r="P200" i="9"/>
  <c r="L9" i="9"/>
  <c r="C200" i="9"/>
  <c r="S19" i="17"/>
  <c r="P22" i="17"/>
  <c r="P35" i="17" s="1"/>
  <c r="S19" i="15"/>
  <c r="P23" i="15"/>
  <c r="C37" i="11"/>
  <c r="P33" i="11"/>
  <c r="C41" i="11" l="1"/>
  <c r="T9" i="15"/>
  <c r="V9" i="9"/>
  <c r="T9" i="9"/>
  <c r="T19" i="17"/>
  <c r="S22" i="17"/>
  <c r="P37" i="11"/>
  <c r="P41" i="11" s="1"/>
  <c r="S33" i="11"/>
  <c r="S23" i="15"/>
  <c r="T19" i="15"/>
  <c r="V19" i="15"/>
  <c r="T22" i="17" l="1"/>
  <c r="S35" i="17"/>
  <c r="V23" i="15"/>
  <c r="T23" i="15"/>
  <c r="V33" i="11"/>
  <c r="S37" i="11"/>
  <c r="T33" i="11"/>
  <c r="S41" i="11" l="1"/>
  <c r="T37" i="11"/>
  <c r="V37" i="11"/>
  <c r="V41" i="11" l="1"/>
  <c r="T41" i="11"/>
  <c r="C104" i="5"/>
  <c r="P104" i="5" l="1"/>
  <c r="C6" i="5"/>
  <c r="L104" i="5"/>
  <c r="L6" i="5" l="1"/>
  <c r="C7" i="5"/>
  <c r="T7" i="5" s="1"/>
  <c r="P6" i="5"/>
  <c r="P7" i="5" s="1"/>
  <c r="S104" i="5"/>
  <c r="V104" i="5" l="1"/>
  <c r="S6" i="5"/>
  <c r="T104" i="5"/>
  <c r="S7" i="5" l="1"/>
  <c r="V7" i="5" s="1"/>
  <c r="V6" i="5"/>
  <c r="T6" i="5"/>
</calcChain>
</file>

<file path=xl/comments1.xml><?xml version="1.0" encoding="utf-8"?>
<comments xmlns="http://schemas.openxmlformats.org/spreadsheetml/2006/main">
  <authors>
    <author>Smidtné Nagy Terézia</author>
  </authors>
  <commentLis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telefon, kerékpár
</t>
        </r>
      </text>
    </comment>
  </commentList>
</comments>
</file>

<file path=xl/comments2.xml><?xml version="1.0" encoding="utf-8"?>
<comments xmlns="http://schemas.openxmlformats.org/spreadsheetml/2006/main">
  <authors>
    <author>Smidtné Nagy Terézia</author>
  </authors>
  <commentList>
    <comment ref="C85" authorId="0" shapeId="0">
      <text>
        <r>
          <rPr>
            <sz val="9"/>
            <color indexed="81"/>
            <rFont val="Segoe UI"/>
            <family val="2"/>
            <charset val="238"/>
          </rPr>
          <t>Mosogatógép 450, laptop 180, tűzhely 70, ágyak 235, dia 100, szőnyegek 70</t>
        </r>
      </text>
    </comment>
  </commentList>
</comments>
</file>

<file path=xl/comments3.xml><?xml version="1.0" encoding="utf-8"?>
<comments xmlns="http://schemas.openxmlformats.org/spreadsheetml/2006/main">
  <authors>
    <author>Smidtné Nagy Terézia</author>
  </authors>
  <commentList>
    <comment ref="B36" authorId="0" shapeId="0">
      <text>
        <r>
          <rPr>
            <sz val="9"/>
            <color indexed="81"/>
            <rFont val="Segoe UI"/>
            <family val="2"/>
            <charset val="238"/>
          </rPr>
          <t xml:space="preserve">élélmiszer, tisztítószer, munaruha, pellet, kinti játékok, szőnyegek, textilek
</t>
        </r>
      </text>
    </comment>
  </commentList>
</comments>
</file>

<file path=xl/comments4.xml><?xml version="1.0" encoding="utf-8"?>
<comments xmlns="http://schemas.openxmlformats.org/spreadsheetml/2006/main">
  <authors>
    <author>Smidtné Nagy Terézia</author>
  </authors>
  <commentLis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Laptopok </t>
        </r>
      </text>
    </comment>
  </commentList>
</comments>
</file>

<file path=xl/comments5.xml><?xml version="1.0" encoding="utf-8"?>
<comments xmlns="http://schemas.openxmlformats.org/spreadsheetml/2006/main">
  <authors>
    <author>Smidtné Nagy Terézia</author>
  </authors>
  <commentLis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nyomtató
</t>
        </r>
      </text>
    </comment>
  </commentList>
</comments>
</file>

<file path=xl/comments6.xml><?xml version="1.0" encoding="utf-8"?>
<comments xmlns="http://schemas.openxmlformats.org/spreadsheetml/2006/main">
  <authors>
    <author>Smidtné Nagy Terézia</author>
  </authors>
  <commentLis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mosógép , mérleg,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<sst xmlns="http://schemas.openxmlformats.org/spreadsheetml/2006/main" count="1818" uniqueCount="519">
  <si>
    <t>K1</t>
  </si>
  <si>
    <t>K11</t>
  </si>
  <si>
    <t>K1101</t>
  </si>
  <si>
    <t>Személyi juttatások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</si>
  <si>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</si>
  <si>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</si>
  <si>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</si>
  <si>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</si>
  <si>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</si>
  <si>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</si>
  <si>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</si>
  <si>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</si>
  <si>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</si>
  <si>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</si>
  <si>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</si>
  <si>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</si>
  <si>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</si>
  <si>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</si>
  <si>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</si>
  <si>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</si>
  <si>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</si>
  <si>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</si>
  <si>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</si>
  <si>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</si>
  <si>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</si>
  <si>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</si>
  <si>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</si>
  <si>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</si>
  <si>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</si>
  <si>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</si>
  <si>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</si>
  <si>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</si>
  <si>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</si>
  <si>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</si>
  <si>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</si>
  <si>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</si>
  <si>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</si>
  <si>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</si>
  <si>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</si>
  <si>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</si>
  <si>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</si>
  <si>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</si>
  <si>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</si>
  <si>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</si>
  <si>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</si>
  <si>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</si>
  <si>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</si>
  <si>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</si>
  <si>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</si>
  <si>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</si>
  <si>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</si>
  <si>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</si>
  <si>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</si>
  <si>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</si>
  <si>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</si>
  <si>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</si>
  <si>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</si>
  <si>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</si>
  <si>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</si>
  <si>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</si>
  <si>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</si>
  <si>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</si>
  <si>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</si>
  <si>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</si>
  <si>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</si>
  <si>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</si>
  <si>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</si>
  <si>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</si>
  <si>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</si>
  <si>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</si>
  <si>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</si>
  <si>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</si>
  <si>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</si>
  <si>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</si>
  <si>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</si>
  <si>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</si>
  <si>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</si>
  <si>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</si>
  <si>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</si>
  <si>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</si>
  <si>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</si>
  <si>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</si>
  <si>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</si>
  <si>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</si>
  <si>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</si>
  <si>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</si>
  <si>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</si>
  <si>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</si>
  <si>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</si>
  <si>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</si>
  <si>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</si>
  <si>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</si>
  <si>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</si>
  <si>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</si>
  <si>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</si>
  <si>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</si>
  <si>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</si>
  <si>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</si>
  <si>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</si>
  <si>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</si>
  <si>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</si>
  <si>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</si>
  <si>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Kiadások összesen</t>
  </si>
  <si>
    <t>irodaszer nyomtatvány, festék patronok,tisztitószer</t>
  </si>
  <si>
    <t>Minden kamat kiadást itt kell elszámolni-ebből államháztartáson belülre, vagy fedezeti ügyletek kamatkiadásai</t>
  </si>
  <si>
    <t>üzemanyag, élelmiszer, védő és munkaruha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</si>
  <si>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</si>
  <si>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</si>
  <si>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</si>
  <si>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</si>
  <si>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</si>
  <si>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</si>
  <si>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</si>
  <si>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</si>
  <si>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</si>
  <si>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</si>
  <si>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</si>
  <si>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</si>
  <si>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</si>
  <si>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</si>
  <si>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</si>
  <si>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</si>
  <si>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</si>
  <si>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</si>
  <si>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</si>
  <si>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</si>
  <si>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</si>
  <si>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</si>
  <si>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</si>
  <si>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</si>
  <si>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</si>
  <si>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</si>
  <si>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</si>
  <si>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</si>
  <si>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</si>
  <si>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</si>
  <si>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</si>
  <si>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</si>
  <si>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</si>
  <si>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</si>
  <si>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</si>
  <si>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</si>
  <si>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</si>
  <si>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</si>
  <si>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</si>
  <si>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</si>
  <si>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</si>
  <si>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</si>
  <si>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</si>
  <si>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</si>
  <si>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</si>
  <si>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Működési célú garancia és kezességváll.államháztartáson kívülre (külön ki kell mutatnio az állami vagy önkormányzati tualjonban lévő gazdasági társaságok tartozásai miatti kifizetéseket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</si>
  <si>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</si>
  <si>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</si>
  <si>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</si>
  <si>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</si>
  <si>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</si>
  <si>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</si>
  <si>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</si>
  <si>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</si>
  <si>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</si>
  <si>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</si>
  <si>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</si>
  <si>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</si>
  <si>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</si>
  <si>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</si>
  <si>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</si>
  <si>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</si>
  <si>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</si>
  <si>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</si>
  <si>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</si>
  <si>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</si>
  <si>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</si>
  <si>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</si>
  <si>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</si>
  <si>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</si>
  <si>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</si>
  <si>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</si>
  <si>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</si>
  <si>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</si>
  <si>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</si>
  <si>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</si>
  <si>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</si>
  <si>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</si>
  <si>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</si>
  <si>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</si>
  <si>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</si>
  <si>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</si>
  <si>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</si>
  <si>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</si>
  <si>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</si>
  <si>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K86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</si>
  <si>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</si>
  <si>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</si>
  <si>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</si>
  <si>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</si>
  <si>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</si>
  <si>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</si>
  <si>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</si>
  <si>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</si>
  <si>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</si>
  <si>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</si>
  <si>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</si>
  <si>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</si>
  <si>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</si>
  <si>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</si>
  <si>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</si>
  <si>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</si>
  <si>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</si>
  <si>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</si>
  <si>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</si>
  <si>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</si>
  <si>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</si>
  <si>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</si>
  <si>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</si>
  <si>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</si>
  <si>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</si>
  <si>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</si>
  <si>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</si>
  <si>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</si>
  <si>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</si>
  <si>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</si>
  <si>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</si>
  <si>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</si>
  <si>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</si>
  <si>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</si>
  <si>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</si>
  <si>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</si>
  <si>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</si>
  <si>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</si>
  <si>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</si>
  <si>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</si>
  <si>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</si>
  <si>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</si>
  <si>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</si>
  <si>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</si>
  <si>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</si>
  <si>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</si>
  <si>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</si>
  <si>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</si>
  <si>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</si>
  <si>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</si>
  <si>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B112</t>
  </si>
  <si>
    <t>B113</t>
  </si>
  <si>
    <t>B114</t>
  </si>
  <si>
    <t>B115</t>
  </si>
  <si>
    <t>Működési célú központosított előirányzatok</t>
  </si>
  <si>
    <t>B116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</si>
  <si>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</si>
  <si>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</si>
  <si>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</si>
  <si>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</si>
  <si>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</si>
  <si>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</si>
  <si>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</si>
  <si>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</si>
  <si>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</si>
  <si>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B2</t>
  </si>
  <si>
    <t>Felhalmozási célú támogatások államháztartáson belülről</t>
  </si>
  <si>
    <t>B21</t>
  </si>
  <si>
    <t>B22</t>
  </si>
  <si>
    <t>B23</t>
  </si>
  <si>
    <t>Felhalmozási célú visszatéritendő támogatások, kölcsönök visszatérülése államháztartáson belülről</t>
  </si>
  <si>
    <t>B24</t>
  </si>
  <si>
    <t>B25</t>
  </si>
  <si>
    <t>B3</t>
  </si>
  <si>
    <t>Közhatalmi bevételek</t>
  </si>
  <si>
    <t>B34</t>
  </si>
  <si>
    <t>Vagyoni típusú adók</t>
  </si>
  <si>
    <t>B35</t>
  </si>
  <si>
    <t>Termékek és szolgáltatások adói</t>
  </si>
  <si>
    <t>B351</t>
  </si>
  <si>
    <t>Értékesítési és forgalmi adó</t>
  </si>
  <si>
    <t>általános forgalmi adó</t>
  </si>
  <si>
    <t>B354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</si>
  <si>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</si>
  <si>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</si>
  <si>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</si>
  <si>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</si>
  <si>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</si>
  <si>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</si>
  <si>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B402</t>
  </si>
  <si>
    <t>Szolgáltatások ellenértéke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</si>
  <si>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</si>
  <si>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</si>
  <si>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</si>
  <si>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</si>
  <si>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</si>
  <si>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</si>
  <si>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</si>
  <si>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</si>
  <si>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</si>
  <si>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</si>
  <si>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</si>
  <si>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</si>
  <si>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</si>
  <si>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</si>
  <si>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</si>
  <si>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</si>
  <si>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</si>
  <si>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</si>
  <si>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</si>
  <si>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Egyéb működési bevételek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</si>
  <si>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</si>
  <si>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</si>
  <si>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</si>
  <si>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</si>
  <si>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</si>
  <si>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</si>
  <si>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</si>
  <si>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</si>
  <si>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</si>
  <si>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</si>
  <si>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</si>
  <si>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</si>
  <si>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</si>
  <si>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</si>
  <si>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</si>
  <si>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B62</t>
  </si>
  <si>
    <t>Működési célú cisszatérítendő támogatások, kölcsönök visszatérülése államháztartáson kívülről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</si>
  <si>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</si>
  <si>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</si>
  <si>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</si>
  <si>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</si>
  <si>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B72</t>
  </si>
  <si>
    <t>Felhalmozási célú visszatérítendő támogatások, kölcsönök visszatérülése államháztartáson kívülről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</si>
  <si>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</si>
  <si>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</si>
  <si>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</si>
  <si>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</si>
  <si>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</si>
  <si>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</si>
  <si>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</si>
  <si>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</si>
  <si>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</si>
  <si>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</si>
  <si>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</si>
  <si>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</si>
  <si>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</si>
  <si>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</si>
  <si>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</si>
  <si>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</si>
  <si>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</si>
  <si>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</si>
  <si>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</si>
  <si>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</si>
  <si>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</si>
  <si>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</si>
  <si>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</si>
  <si>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</si>
  <si>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</si>
  <si>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</si>
  <si>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</si>
  <si>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</si>
  <si>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</si>
  <si>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</si>
  <si>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</si>
  <si>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</si>
  <si>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könyvek,folyóiratok, napilapok,  inf.eszk.(CD,stb)gyógyszer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</si>
  <si>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</si>
  <si>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</si>
  <si>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Egyéb működési támogatások államháztartáson kívülre</t>
  </si>
  <si>
    <t>Működési jelleggel véglegesen adott támogatások, adományok</t>
  </si>
  <si>
    <t>K512</t>
  </si>
  <si>
    <t>Megnevezés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</si>
  <si>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</si>
  <si>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</si>
  <si>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</si>
  <si>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</si>
  <si>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</si>
  <si>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</si>
  <si>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</si>
  <si>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</si>
  <si>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Vezetői pótlék</t>
  </si>
  <si>
    <t>Helyi önkormányzatok működési támogatása (Általános támogatás)</t>
  </si>
  <si>
    <t>Egyéb működési célú támogatások bevételei államháztartáson belülről (OEP vődőnők,közfogl., mezőőr)</t>
  </si>
  <si>
    <t>K1106</t>
  </si>
  <si>
    <t>Tárgyi eszközök beszerzése</t>
  </si>
  <si>
    <t>Központi, irányítószervi támogatás</t>
  </si>
  <si>
    <t>B411</t>
  </si>
  <si>
    <t>Központi, irányító szervi támogatás</t>
  </si>
  <si>
    <t>K513</t>
  </si>
  <si>
    <t>B16-01</t>
  </si>
  <si>
    <t>Egyéb működési támogatás</t>
  </si>
  <si>
    <t>Tárgyi eszközök bérbeadásából származó bevétel</t>
  </si>
  <si>
    <t>B16-02</t>
  </si>
  <si>
    <t>B16-03</t>
  </si>
  <si>
    <t>B16-04</t>
  </si>
  <si>
    <t>Egyéb működési célú átvett pénzeszközök (Tám. visszafizetése)</t>
  </si>
  <si>
    <t>Egyéb műk. c. tám. elkülönített állami pénzalaptól</t>
  </si>
  <si>
    <t>Működési c. támogatások államháztartáson belülről</t>
  </si>
  <si>
    <t xml:space="preserve">Törvény szerinti illetmények, munkabérek </t>
  </si>
  <si>
    <t>működési bevételek nincsenek</t>
  </si>
  <si>
    <t>helyi iparűzési adó</t>
  </si>
  <si>
    <t>Gépjárműadók</t>
  </si>
  <si>
    <t>Összes növelendő</t>
  </si>
  <si>
    <t>Összes csökkentendő</t>
  </si>
  <si>
    <t>előirányzat(ok) változása</t>
  </si>
  <si>
    <t>előirányzatok változása összesen</t>
  </si>
  <si>
    <r>
      <t xml:space="preserve">előirányzatok változása </t>
    </r>
    <r>
      <rPr>
        <b/>
        <u/>
        <sz val="8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</si>
  <si>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FELHASZNÁLÁS</t>
  </si>
  <si>
    <t>ELŐIRÁNYZAT</t>
  </si>
  <si>
    <t>EGYENLEGÜK</t>
  </si>
  <si>
    <t>kontroll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</si>
  <si>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</si>
  <si>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</si>
  <si>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</si>
  <si>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r>
      <t xml:space="preserve">Egyéb működési támogatás központi költségvetési szervtől </t>
    </r>
    <r>
      <rPr>
        <sz val="8"/>
        <rFont val="Arial"/>
        <family val="2"/>
        <charset val="238"/>
      </rPr>
      <t>(OEP-től vődőnői feladatokra, foglalkoztatást helyettesítő bérkompenzáció)</t>
    </r>
  </si>
  <si>
    <r>
      <t xml:space="preserve">Egyéb műk. c. tám kozponti kezelésű ei-tól </t>
    </r>
    <r>
      <rPr>
        <sz val="8"/>
        <rFont val="Arial"/>
        <family val="2"/>
        <charset val="238"/>
      </rPr>
      <t>(mezőőr)</t>
    </r>
  </si>
  <si>
    <r>
      <t>Egéyb műk c. tám. fejezet kez. ei-tól</t>
    </r>
    <r>
      <rPr>
        <sz val="8"/>
        <rFont val="Arial"/>
        <family val="2"/>
        <charset val="238"/>
      </rPr>
      <t xml:space="preserve"> (Közfoglalkoztatottakra kapott tám.)</t>
    </r>
  </si>
  <si>
    <t>Felhalmozási célú visszatérítendő támogatások, kölcsönök igénybevétele államháztartáson belülről</t>
  </si>
  <si>
    <t>REALIZÁLÁS</t>
  </si>
  <si>
    <t>%-ban</t>
  </si>
  <si>
    <t>Ft-ban</t>
  </si>
  <si>
    <t>rovat</t>
  </si>
  <si>
    <t>BEVÉTELEI</t>
  </si>
  <si>
    <t>KIADÁSAI</t>
  </si>
  <si>
    <t>GÓLYAHÍR BÖLCSŐDE</t>
  </si>
  <si>
    <t>Wass Albert Művelődési Központ és Könyvtár</t>
  </si>
  <si>
    <t>Központi Konyha</t>
  </si>
  <si>
    <t>finanszírozási kiadások</t>
  </si>
  <si>
    <t>pótelőirányzat</t>
  </si>
  <si>
    <t>beruházások</t>
  </si>
  <si>
    <t>felújítások</t>
  </si>
  <si>
    <t>K1,2,3</t>
  </si>
  <si>
    <t>K1,2,3-n túli</t>
  </si>
  <si>
    <t>szumma</t>
  </si>
  <si>
    <t>Polg.Mest.Hiv. nélküli finanszírozási kiadások munkalapokból</t>
  </si>
  <si>
    <t xml:space="preserve">ÖSSZESEN </t>
  </si>
  <si>
    <r>
      <t xml:space="preserve">ÖSSZESEN </t>
    </r>
    <r>
      <rPr>
        <b/>
        <i/>
        <u/>
        <sz val="10"/>
        <color rgb="FFFF0000"/>
        <rFont val="Arial"/>
        <family val="2"/>
        <charset val="238"/>
      </rPr>
      <t>eltérés</t>
    </r>
    <r>
      <rPr>
        <i/>
        <sz val="10"/>
        <color rgb="FFFF0000"/>
        <rFont val="Arial"/>
        <family val="2"/>
        <charset val="238"/>
      </rPr>
      <t>e</t>
    </r>
  </si>
  <si>
    <t>FINANSZÍROZÁSI KIADÁSOK ELTÉRÉSE</t>
  </si>
  <si>
    <r>
      <t xml:space="preserve">fenti tánla és munkalapok </t>
    </r>
    <r>
      <rPr>
        <b/>
        <i/>
        <u/>
        <sz val="9"/>
        <color rgb="FFFF0000"/>
        <rFont val="Arial"/>
        <family val="2"/>
        <charset val="238"/>
      </rPr>
      <t>eltérés</t>
    </r>
    <r>
      <rPr>
        <i/>
        <sz val="9"/>
        <color rgb="FFFF0000"/>
        <rFont val="Arial"/>
        <family val="2"/>
        <charset val="238"/>
      </rPr>
      <t>e</t>
    </r>
  </si>
  <si>
    <r>
      <t xml:space="preserve">Polg.Mest.Hiv. nélküli </t>
    </r>
    <r>
      <rPr>
        <b/>
        <i/>
        <u/>
        <sz val="9"/>
        <color rgb="FFFF0000"/>
        <rFont val="Arial"/>
        <family val="2"/>
        <charset val="238"/>
      </rPr>
      <t>eltérés</t>
    </r>
  </si>
  <si>
    <t>munkalapokról PMH-lel együtt összesen</t>
  </si>
  <si>
    <t>ennyi eltérés van benn</t>
  </si>
  <si>
    <t>korrekció intézményeknél megjelenő finanszírozás miatt</t>
  </si>
  <si>
    <t>ÖSSZESEN</t>
  </si>
  <si>
    <t>intézményi finanszírozás miatti korrekció</t>
  </si>
  <si>
    <t>korrekciós tétel lesz az összesítőben</t>
  </si>
  <si>
    <t>KIADÁSI SEGÉDTÁBLA</t>
  </si>
  <si>
    <t>Felhalmozási célú tám-ok államházt-on belülről</t>
  </si>
  <si>
    <t>Működési célú tám-ok államháztartáson belülről</t>
  </si>
  <si>
    <t>technikai sor</t>
  </si>
  <si>
    <t>B8-ból előző évi mardvány igénybevétele</t>
  </si>
  <si>
    <t>Munkaadót terhelő járulékok és szoc. hozzáj.</t>
  </si>
  <si>
    <t>WAMKK</t>
  </si>
  <si>
    <t>Polgármesteri Hivatal</t>
  </si>
  <si>
    <t>Gólyahír Bölcsőde</t>
  </si>
  <si>
    <t>B8-ból maradványértéken túli finanszírozási bevételek</t>
  </si>
  <si>
    <t>EGYENLEG</t>
  </si>
  <si>
    <t>Gólyahír Bőlcsőde</t>
  </si>
  <si>
    <t>BEVÉTELI SEGÉDTÁBLA</t>
  </si>
  <si>
    <t>Dr. Gáspár István HSZK</t>
  </si>
  <si>
    <t>Egyéb működési bevételek és kapott kamatok</t>
  </si>
  <si>
    <t>B411,B408</t>
  </si>
  <si>
    <t>SÜLYSÁPI CSICSERGŐ ÓVODA</t>
  </si>
  <si>
    <t>Egyéb működési bevételek, Egyéb kapott kamat</t>
  </si>
  <si>
    <t>Egyéb tárgyi eszközök beszerzése + ÁFA</t>
  </si>
  <si>
    <t xml:space="preserve">Választott tisztésviselők juttatásai </t>
  </si>
  <si>
    <t xml:space="preserve">Felhalmozási célú önkormányzati támogatások </t>
  </si>
  <si>
    <r>
      <t>Felhalmozási célú garancia és kezességvállalásból származó</t>
    </r>
    <r>
      <rPr>
        <sz val="8"/>
        <color theme="1"/>
        <rFont val="Arial"/>
        <family val="2"/>
        <charset val="238"/>
      </rPr>
      <t xml:space="preserve"> minek a </t>
    </r>
    <r>
      <rPr>
        <b/>
        <sz val="10"/>
        <color theme="1"/>
        <rFont val="Arial"/>
        <family val="2"/>
        <charset val="238"/>
      </rPr>
      <t>megtérülése államháztartáson belülről</t>
    </r>
  </si>
  <si>
    <t>Dr Gáspár HSZK</t>
  </si>
  <si>
    <t>Sülysápi Csicsergő Óvoda</t>
  </si>
  <si>
    <t>Sülysáp Város Önkormányzata</t>
  </si>
  <si>
    <t>Önkormányzatnál kapott támogatás (B113)</t>
  </si>
  <si>
    <t>Önkormányzatnál kapott támogatás (B112)</t>
  </si>
  <si>
    <t>Önkormányzatnál kapott támogatás (B111)</t>
  </si>
  <si>
    <t>B113 (III.2. A települési önkormányzatok
szociális feladatainak egyéb
támogatása)</t>
  </si>
  <si>
    <t>Önkormányzatnál kapott támogatás (házi segítségnyújtás, időskorúak nap el., szoc étk) (B113)</t>
  </si>
  <si>
    <t>Áru és készletértékesítés ellenértéke</t>
  </si>
  <si>
    <t>Elláttotak pénzbeli juttatásai</t>
  </si>
  <si>
    <t>Sülysáp Város Önkormányzata és Intézményei</t>
  </si>
  <si>
    <t>Sülysáp Város Önkormányzata és intézményei</t>
  </si>
  <si>
    <t>Önkormányzatnál a kapott támogatás (B114)</t>
  </si>
  <si>
    <t>Önkormányzat önerőből adott támogatásása</t>
  </si>
  <si>
    <t>B408, B411</t>
  </si>
  <si>
    <t>Kamatbevételek, Egyéb működési bevételek</t>
  </si>
  <si>
    <t>B402, B405</t>
  </si>
  <si>
    <r>
      <t>Egyéb felhalmozási célú támogatások bevételei államháztartáson belülről</t>
    </r>
    <r>
      <rPr>
        <b/>
        <sz val="8"/>
        <rFont val="Arial"/>
        <family val="2"/>
        <charset val="238"/>
      </rPr>
      <t xml:space="preserve"> </t>
    </r>
  </si>
  <si>
    <t>ebrendészeti hozzájárulás, szabályszegések után az önkormányhatot megillető rész, pótlékok, mezőőri járulék</t>
  </si>
  <si>
    <r>
      <t xml:space="preserve">Egyéb műk c. tám. </t>
    </r>
    <r>
      <rPr>
        <sz val="8"/>
        <rFont val="Arial"/>
        <family val="2"/>
        <charset val="238"/>
      </rPr>
      <t>(Leader)</t>
    </r>
  </si>
  <si>
    <t xml:space="preserve"> </t>
  </si>
  <si>
    <t>+ bölcsődei étkezés</t>
  </si>
  <si>
    <t xml:space="preserve">Tartalékok </t>
  </si>
  <si>
    <t>25 fő  óvonő 1 fő gyógyp., 12  fő dajka 4 fő ped.aszisztens , 1óvoda titkár = 26 pedagógus, 17 pedagógus munkát segítő = 43 fő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</si>
  <si>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2021.01.01</t>
    </r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</si>
  <si>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2021.06.30</t>
    </r>
  </si>
  <si>
    <r>
      <t xml:space="preserve">Módosított előirányzat </t>
    </r>
    <r>
      <rPr>
        <b/>
        <sz val="12"/>
        <rFont val="Arial"/>
        <family val="2"/>
        <charset val="238"/>
      </rPr>
      <t>2021.09.30</t>
    </r>
  </si>
  <si>
    <r>
      <t xml:space="preserve">Módosított előirányzat </t>
    </r>
    <r>
      <rPr>
        <b/>
        <sz val="12"/>
        <rFont val="Arial"/>
        <family val="2"/>
        <charset val="238"/>
      </rPr>
      <t>2021.12.31</t>
    </r>
  </si>
  <si>
    <r>
      <rPr>
        <b/>
        <sz val="12"/>
        <rFont val="Arial"/>
        <family val="2"/>
        <charset val="238"/>
      </rPr>
      <t>2021.06.30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realizálás</t>
    </r>
  </si>
  <si>
    <t>2021.09.30-ig tényleges realizálás</t>
  </si>
  <si>
    <t>2021.12.31-ig tényleges realizálás</t>
  </si>
  <si>
    <r>
      <t>2021.06.30-i realizálás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</si>
  <si>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2021.12.31-i realizálás </t>
    </r>
    <r>
      <rPr>
        <b/>
        <u/>
        <sz val="8"/>
        <rFont val="Arial"/>
        <family val="2"/>
        <charset val="238"/>
      </rPr>
      <t>2021.09.30-i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</si>
  <si>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2021.09.30-i realizálás </t>
    </r>
    <r>
      <rPr>
        <b/>
        <u/>
        <sz val="8"/>
        <rFont val="Arial"/>
        <family val="2"/>
        <charset val="238"/>
      </rPr>
      <t>2021.06.30-i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</si>
  <si>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2021.06.30-i</t>
    </r>
    <r>
      <rPr>
        <b/>
        <sz val="10"/>
        <rFont val="Arial"/>
        <family val="2"/>
        <charset val="238"/>
      </rPr>
      <t xml:space="preserve"> az eredetihez képest</t>
    </r>
  </si>
  <si>
    <t>a 2021.09.30-i a 2021.06.30-ihoz képest</t>
  </si>
  <si>
    <t>a 2021.12.31-i a 2021.09.30-ihoz képest</t>
  </si>
  <si>
    <r>
      <rPr>
        <b/>
        <sz val="12"/>
        <rFont val="Arial"/>
        <family val="2"/>
        <charset val="238"/>
      </rPr>
      <t>2021.06.30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</si>
  <si>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2021.09.30-ig tényleges felhasználás</t>
  </si>
  <si>
    <t>2021.12.31-ig tényleges felhasználás</t>
  </si>
  <si>
    <r>
      <t>2021.06.30-i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</si>
  <si>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2021.09.30-i felhasználás </t>
    </r>
    <r>
      <rPr>
        <b/>
        <u/>
        <sz val="8"/>
        <rFont val="Arial"/>
        <family val="2"/>
        <charset val="238"/>
      </rPr>
      <t>2021.06.30-i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</si>
  <si>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2021.12.31-i felhasználás </t>
    </r>
    <r>
      <rPr>
        <b/>
        <u/>
        <sz val="8"/>
        <rFont val="Arial"/>
        <family val="2"/>
        <charset val="238"/>
      </rPr>
      <t>2021.09.30-i módosított</t>
    </r>
    <r>
      <rPr>
        <b/>
        <sz val="8"/>
        <rFont val="Arial"/>
        <family val="2"/>
        <charset val="238"/>
      </rPr>
      <t xml:space="preserve"> előir-hoz képest</t>
    </r>
  </si>
  <si>
    <t>B64</t>
  </si>
  <si>
    <t>Béren kívüli juttatások</t>
  </si>
  <si>
    <t>Helyi önkormányzatok kiegészítő támogatásai (Iparűzési adó kiegészítés)</t>
  </si>
  <si>
    <t>K1103, K1104</t>
  </si>
  <si>
    <r>
      <t>Céljuttatás, projektprémium. Készentléti, ügyeleti, helyettesítési díj, túlóra,</t>
    </r>
    <r>
      <rPr>
        <u/>
        <sz val="10"/>
        <rFont val="Arial"/>
        <family val="2"/>
        <charset val="238"/>
      </rPr>
      <t xml:space="preserve"> pótlék</t>
    </r>
  </si>
  <si>
    <t>SÜLYSÁPI POLGÁRMESTERI HIVATAL</t>
  </si>
  <si>
    <t>építményadó, telekadó, kommunális adó</t>
  </si>
  <si>
    <t>B74, B75</t>
  </si>
  <si>
    <t>Sülysápi Polgármesteri Hivatal</t>
  </si>
  <si>
    <t>B65</t>
  </si>
  <si>
    <t>Egyéb működési célú átvett pénzeszközök</t>
  </si>
  <si>
    <t>Egylb felhalmozási célú támogatások államháztartáson belülről</t>
  </si>
  <si>
    <t>Falhalmozsái bevételek</t>
  </si>
  <si>
    <t>Tárgyi eszköz értékesítése</t>
  </si>
  <si>
    <t>2021. ÉVI KÖLTSÉGVETÉS MÓDOSÍTÁSA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</si>
</sst>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5" formatCode="_-* #,##0.00\ _H_U_F_-;\-* #,##0.00\ _H_U_F_-;_-* &quot;-&quot;??\ _H_U_F_-;_-@_-"/>
    <numFmt numFmtId="166" formatCode="_-* #,##0\ _F_t_-;\-* #,##0\ _F_t_-;_-* &quot;-&quot;??\ _F_t_-;_-@_-"/>
    <numFmt numFmtId="167" formatCode="#,##0_ ;\-#,##0\ "/>
    <numFmt numFmtId="168" formatCode="_-* #,##0\ &quot;Ft&quot;_-;\-* #,##0\ &quot;Ft&quot;_-;_-* &quot;-&quot;??\ &quot;Ft&quot;_-;_-@_-"/>
    <numFmt numFmtId="171" formatCode="[$-40E]General"/>
  </numFmts>
  <fonts count="7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 val="singleAccounting"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20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  <font>
      <sz val="9.5"/>
      <color indexed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i/>
      <sz val="6"/>
      <color theme="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 CE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009900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1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5" borderId="0" applyNumberFormat="0" applyBorder="0" applyAlignment="0" applyProtection="0"/>
    <xf numFmtId="0" fontId="54" fillId="30" borderId="0" applyNumberFormat="0" applyBorder="0" applyAlignment="0" applyProtection="0"/>
    <xf numFmtId="0" fontId="54" fillId="33" borderId="0" applyNumberFormat="0" applyBorder="0" applyAlignment="0" applyProtection="0"/>
    <xf numFmtId="0" fontId="55" fillId="23" borderId="41" applyNumberFormat="0" applyAlignment="0" applyProtection="0"/>
    <xf numFmtId="0" fontId="56" fillId="0" borderId="0" applyNumberFormat="0" applyFill="0" applyBorder="0" applyAlignment="0" applyProtection="0"/>
    <xf numFmtId="0" fontId="57" fillId="0" borderId="42" applyNumberFormat="0" applyFill="0" applyAlignment="0" applyProtection="0"/>
    <xf numFmtId="0" fontId="58" fillId="0" borderId="43" applyNumberFormat="0" applyFill="0" applyAlignment="0" applyProtection="0"/>
    <xf numFmtId="0" fontId="59" fillId="0" borderId="44" applyNumberFormat="0" applyFill="0" applyAlignment="0" applyProtection="0"/>
    <xf numFmtId="0" fontId="59" fillId="0" borderId="0" applyNumberFormat="0" applyFill="0" applyBorder="0" applyAlignment="0" applyProtection="0"/>
    <xf numFmtId="0" fontId="60" fillId="34" borderId="45" applyNumberFormat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46" applyNumberFormat="0" applyFill="0" applyAlignment="0" applyProtection="0"/>
    <xf numFmtId="0" fontId="52" fillId="35" borderId="47" applyNumberFormat="0" applyFont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9" borderId="0" applyNumberFormat="0" applyBorder="0" applyAlignment="0" applyProtection="0"/>
    <xf numFmtId="0" fontId="54" fillId="16" borderId="0" applyNumberFormat="0" applyBorder="0" applyAlignment="0" applyProtection="0"/>
    <xf numFmtId="0" fontId="54" fillId="24" borderId="0" applyNumberFormat="0" applyBorder="0" applyAlignment="0" applyProtection="0"/>
    <xf numFmtId="0" fontId="63" fillId="20" borderId="0" applyNumberFormat="0" applyBorder="0" applyAlignment="0" applyProtection="0"/>
    <xf numFmtId="0" fontId="64" fillId="36" borderId="48" applyNumberFormat="0" applyAlignment="0" applyProtection="0"/>
    <xf numFmtId="0" fontId="65" fillId="0" borderId="0" applyNumberFormat="0" applyFill="0" applyBorder="0" applyAlignment="0" applyProtection="0"/>
    <xf numFmtId="0" fontId="53" fillId="0" borderId="0"/>
    <xf numFmtId="0" fontId="66" fillId="0" borderId="49" applyNumberFormat="0" applyFill="0" applyAlignment="0" applyProtection="0"/>
    <xf numFmtId="0" fontId="67" fillId="19" borderId="0" applyNumberFormat="0" applyBorder="0" applyAlignment="0" applyProtection="0"/>
    <xf numFmtId="0" fontId="68" fillId="37" borderId="0" applyNumberFormat="0" applyBorder="0" applyAlignment="0" applyProtection="0"/>
    <xf numFmtId="0" fontId="69" fillId="36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171" fontId="70" fillId="0" borderId="0"/>
    <xf numFmtId="0" fontId="78" fillId="0" borderId="0"/>
  </cellStyleXfs>
  <cellXfs count="797">
    <xf numFmtId="0" fontId="0" fillId="0" borderId="0" xfId="0"/>
    <xf numFmtId="0" fontId="0" fillId="0" borderId="0" xfId="0" applyAlignment="1">
      <alignment wrapText="1"/>
    </xf>
    <xf numFmtId="166" fontId="0" fillId="0" borderId="0" xfId="0" applyNumberFormat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wrapText="1"/>
    </xf>
    <xf numFmtId="166" fontId="4" fillId="2" borderId="1" xfId="1" applyNumberFormat="1" applyFont="1" applyFill="1" applyBorder="1"/>
    <xf numFmtId="0" fontId="4" fillId="2" borderId="1" xfId="0" applyFont="1" applyFill="1" applyBorder="1"/>
    <xf numFmtId="0" fontId="0" fillId="0" borderId="0" xfId="0" applyFill="1"/>
    <xf numFmtId="166" fontId="0" fillId="0" borderId="0" xfId="1" applyNumberFormat="1" applyFont="1" applyBorder="1"/>
    <xf numFmtId="166" fontId="4" fillId="2" borderId="2" xfId="1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8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wrapText="1"/>
    </xf>
    <xf numFmtId="166" fontId="8" fillId="0" borderId="1" xfId="1" applyNumberFormat="1" applyFont="1" applyBorder="1"/>
    <xf numFmtId="166" fontId="8" fillId="0" borderId="0" xfId="1" applyNumberFormat="1" applyFont="1"/>
    <xf numFmtId="0" fontId="9" fillId="0" borderId="1" xfId="0" applyFont="1" applyFill="1" applyBorder="1" applyAlignment="1">
      <alignment wrapText="1"/>
    </xf>
    <xf numFmtId="166" fontId="8" fillId="0" borderId="0" xfId="0" applyNumberFormat="1" applyFont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0" xfId="0" applyFont="1" applyBorder="1"/>
    <xf numFmtId="166" fontId="8" fillId="0" borderId="0" xfId="1" applyNumberFormat="1" applyFont="1" applyBorder="1"/>
    <xf numFmtId="0" fontId="9" fillId="2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0" xfId="0" applyFont="1"/>
    <xf numFmtId="9" fontId="4" fillId="2" borderId="1" xfId="3" applyFont="1" applyFill="1" applyBorder="1"/>
    <xf numFmtId="166" fontId="5" fillId="2" borderId="2" xfId="1" applyNumberFormat="1" applyFont="1" applyFill="1" applyBorder="1"/>
    <xf numFmtId="9" fontId="4" fillId="0" borderId="1" xfId="3" applyFont="1" applyFill="1" applyBorder="1"/>
    <xf numFmtId="0" fontId="8" fillId="0" borderId="1" xfId="0" applyFont="1" applyFill="1" applyBorder="1"/>
    <xf numFmtId="9" fontId="8" fillId="0" borderId="1" xfId="3" applyFont="1" applyFill="1" applyBorder="1"/>
    <xf numFmtId="9" fontId="4" fillId="0" borderId="0" xfId="3" applyFont="1" applyFill="1" applyBorder="1"/>
    <xf numFmtId="9" fontId="0" fillId="0" borderId="0" xfId="3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9" fontId="4" fillId="0" borderId="1" xfId="3" applyFont="1" applyBorder="1"/>
    <xf numFmtId="166" fontId="8" fillId="4" borderId="1" xfId="1" applyNumberFormat="1" applyFont="1" applyFill="1" applyBorder="1"/>
    <xf numFmtId="0" fontId="4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0" fillId="0" borderId="0" xfId="0" applyBorder="1"/>
    <xf numFmtId="0" fontId="8" fillId="0" borderId="0" xfId="0" applyFont="1" applyBorder="1" applyAlignment="1">
      <alignment wrapText="1"/>
    </xf>
    <xf numFmtId="0" fontId="5" fillId="5" borderId="1" xfId="0" applyFont="1" applyFill="1" applyBorder="1" applyAlignment="1">
      <alignment wrapText="1"/>
    </xf>
    <xf numFmtId="166" fontId="9" fillId="4" borderId="2" xfId="1" applyNumberFormat="1" applyFont="1" applyFill="1" applyBorder="1"/>
    <xf numFmtId="0" fontId="6" fillId="4" borderId="0" xfId="0" applyFont="1" applyFill="1"/>
    <xf numFmtId="0" fontId="4" fillId="5" borderId="1" xfId="0" applyFont="1" applyFill="1" applyBorder="1" applyAlignment="1">
      <alignment wrapText="1"/>
    </xf>
    <xf numFmtId="166" fontId="4" fillId="5" borderId="1" xfId="1" applyNumberFormat="1" applyFont="1" applyFill="1" applyBorder="1"/>
    <xf numFmtId="9" fontId="4" fillId="5" borderId="1" xfId="3" applyFont="1" applyFill="1" applyBorder="1"/>
    <xf numFmtId="0" fontId="6" fillId="4" borderId="1" xfId="0" applyFont="1" applyFill="1" applyBorder="1" applyAlignment="1">
      <alignment wrapText="1"/>
    </xf>
    <xf numFmtId="0" fontId="4" fillId="6" borderId="1" xfId="0" applyFont="1" applyFill="1" applyBorder="1"/>
    <xf numFmtId="0" fontId="2" fillId="0" borderId="0" xfId="0" applyFont="1" applyBorder="1"/>
    <xf numFmtId="166" fontId="0" fillId="0" borderId="0" xfId="3" applyNumberFormat="1" applyFont="1"/>
    <xf numFmtId="9" fontId="4" fillId="0" borderId="0" xfId="3" applyFont="1"/>
    <xf numFmtId="0" fontId="2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5" fillId="2" borderId="1" xfId="0" applyNumberFormat="1" applyFont="1" applyFill="1" applyBorder="1"/>
    <xf numFmtId="3" fontId="4" fillId="2" borderId="1" xfId="1" applyNumberFormat="1" applyFont="1" applyFill="1" applyBorder="1"/>
    <xf numFmtId="3" fontId="8" fillId="0" borderId="1" xfId="1" applyNumberFormat="1" applyFont="1" applyBorder="1"/>
    <xf numFmtId="3" fontId="9" fillId="0" borderId="1" xfId="1" applyNumberFormat="1" applyFont="1" applyBorder="1"/>
    <xf numFmtId="3" fontId="4" fillId="2" borderId="1" xfId="0" applyNumberFormat="1" applyFont="1" applyFill="1" applyBorder="1"/>
    <xf numFmtId="3" fontId="8" fillId="0" borderId="1" xfId="0" applyNumberFormat="1" applyFont="1" applyBorder="1"/>
    <xf numFmtId="3" fontId="9" fillId="5" borderId="1" xfId="1" applyNumberFormat="1" applyFont="1" applyFill="1" applyBorder="1"/>
    <xf numFmtId="3" fontId="8" fillId="0" borderId="0" xfId="0" applyNumberFormat="1" applyFont="1" applyBorder="1"/>
    <xf numFmtId="3" fontId="8" fillId="0" borderId="0" xfId="1" applyNumberFormat="1" applyFont="1" applyBorder="1"/>
    <xf numFmtId="3" fontId="10" fillId="0" borderId="0" xfId="1" applyNumberFormat="1" applyFont="1" applyBorder="1"/>
    <xf numFmtId="0" fontId="5" fillId="8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3" fontId="15" fillId="0" borderId="1" xfId="0" applyNumberFormat="1" applyFont="1" applyFill="1" applyBorder="1"/>
    <xf numFmtId="167" fontId="4" fillId="2" borderId="1" xfId="1" applyNumberFormat="1" applyFont="1" applyFill="1" applyBorder="1"/>
    <xf numFmtId="167" fontId="9" fillId="0" borderId="1" xfId="1" applyNumberFormat="1" applyFont="1" applyBorder="1"/>
    <xf numFmtId="167" fontId="4" fillId="2" borderId="1" xfId="0" applyNumberFormat="1" applyFont="1" applyFill="1" applyBorder="1"/>
    <xf numFmtId="167" fontId="5" fillId="2" borderId="1" xfId="0" applyNumberFormat="1" applyFont="1" applyFill="1" applyBorder="1"/>
    <xf numFmtId="167" fontId="8" fillId="0" borderId="0" xfId="1" applyNumberFormat="1" applyFont="1" applyBorder="1"/>
    <xf numFmtId="9" fontId="16" fillId="2" borderId="1" xfId="3" applyFont="1" applyFill="1" applyBorder="1"/>
    <xf numFmtId="0" fontId="3" fillId="0" borderId="0" xfId="0" applyFont="1"/>
    <xf numFmtId="0" fontId="19" fillId="0" borderId="0" xfId="0" applyFont="1" applyBorder="1"/>
    <xf numFmtId="3" fontId="4" fillId="0" borderId="5" xfId="0" applyNumberFormat="1" applyFont="1" applyBorder="1" applyAlignment="1">
      <alignment horizontal="center"/>
    </xf>
    <xf numFmtId="3" fontId="5" fillId="2" borderId="1" xfId="1" applyNumberFormat="1" applyFont="1" applyFill="1" applyBorder="1"/>
    <xf numFmtId="3" fontId="5" fillId="2" borderId="2" xfId="1" applyNumberFormat="1" applyFont="1" applyFill="1" applyBorder="1"/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3" fontId="8" fillId="0" borderId="2" xfId="1" applyNumberFormat="1" applyFont="1" applyBorder="1" applyAlignment="1">
      <alignment horizontal="center"/>
    </xf>
    <xf numFmtId="3" fontId="4" fillId="0" borderId="1" xfId="1" applyNumberFormat="1" applyFont="1" applyBorder="1"/>
    <xf numFmtId="3" fontId="8" fillId="0" borderId="2" xfId="1" applyNumberFormat="1" applyFont="1" applyBorder="1"/>
    <xf numFmtId="3" fontId="8" fillId="0" borderId="0" xfId="1" applyNumberFormat="1" applyFont="1"/>
    <xf numFmtId="3" fontId="8" fillId="0" borderId="0" xfId="0" applyNumberFormat="1" applyFont="1"/>
    <xf numFmtId="3" fontId="15" fillId="0" borderId="19" xfId="0" applyNumberFormat="1" applyFont="1" applyFill="1" applyBorder="1"/>
    <xf numFmtId="3" fontId="15" fillId="0" borderId="20" xfId="0" applyNumberFormat="1" applyFont="1" applyFill="1" applyBorder="1"/>
    <xf numFmtId="3" fontId="15" fillId="0" borderId="21" xfId="0" applyNumberFormat="1" applyFont="1" applyFill="1" applyBorder="1"/>
    <xf numFmtId="3" fontId="15" fillId="0" borderId="10" xfId="0" applyNumberFormat="1" applyFont="1" applyFill="1" applyBorder="1"/>
    <xf numFmtId="3" fontId="5" fillId="0" borderId="19" xfId="0" applyNumberFormat="1" applyFont="1" applyFill="1" applyBorder="1"/>
    <xf numFmtId="9" fontId="4" fillId="0" borderId="20" xfId="1" applyNumberFormat="1" applyFont="1" applyFill="1" applyBorder="1"/>
    <xf numFmtId="3" fontId="5" fillId="0" borderId="20" xfId="0" applyNumberFormat="1" applyFont="1" applyFill="1" applyBorder="1"/>
    <xf numFmtId="9" fontId="4" fillId="0" borderId="20" xfId="3" applyFont="1" applyFill="1" applyBorder="1"/>
    <xf numFmtId="9" fontId="4" fillId="0" borderId="21" xfId="3" applyFont="1" applyFill="1" applyBorder="1"/>
    <xf numFmtId="3" fontId="15" fillId="0" borderId="4" xfId="0" applyNumberFormat="1" applyFont="1" applyFill="1" applyBorder="1"/>
    <xf numFmtId="3" fontId="15" fillId="0" borderId="5" xfId="0" applyNumberFormat="1" applyFont="1" applyFill="1" applyBorder="1"/>
    <xf numFmtId="3" fontId="15" fillId="0" borderId="23" xfId="0" applyNumberFormat="1" applyFont="1" applyFill="1" applyBorder="1"/>
    <xf numFmtId="3" fontId="15" fillId="0" borderId="22" xfId="0" applyNumberFormat="1" applyFont="1" applyFill="1" applyBorder="1"/>
    <xf numFmtId="3" fontId="5" fillId="0" borderId="4" xfId="0" applyNumberFormat="1" applyFont="1" applyFill="1" applyBorder="1"/>
    <xf numFmtId="9" fontId="4" fillId="0" borderId="5" xfId="1" applyNumberFormat="1" applyFont="1" applyFill="1" applyBorder="1"/>
    <xf numFmtId="3" fontId="5" fillId="0" borderId="5" xfId="0" applyNumberFormat="1" applyFont="1" applyFill="1" applyBorder="1"/>
    <xf numFmtId="9" fontId="4" fillId="0" borderId="5" xfId="3" applyFont="1" applyFill="1" applyBorder="1"/>
    <xf numFmtId="9" fontId="4" fillId="0" borderId="23" xfId="3" applyFont="1" applyFill="1" applyBorder="1"/>
    <xf numFmtId="3" fontId="8" fillId="0" borderId="2" xfId="0" applyNumberFormat="1" applyFont="1" applyBorder="1"/>
    <xf numFmtId="9" fontId="4" fillId="2" borderId="2" xfId="3" applyFont="1" applyFill="1" applyBorder="1"/>
    <xf numFmtId="0" fontId="8" fillId="0" borderId="2" xfId="0" applyFont="1" applyBorder="1"/>
    <xf numFmtId="9" fontId="8" fillId="0" borderId="2" xfId="3" applyFont="1" applyBorder="1"/>
    <xf numFmtId="9" fontId="4" fillId="0" borderId="2" xfId="3" applyFont="1" applyBorder="1"/>
    <xf numFmtId="3" fontId="0" fillId="0" borderId="0" xfId="0" applyNumberFormat="1"/>
    <xf numFmtId="3" fontId="21" fillId="0" borderId="0" xfId="0" applyNumberFormat="1" applyFont="1"/>
    <xf numFmtId="3" fontId="15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23" fillId="0" borderId="2" xfId="0" applyNumberFormat="1" applyFont="1" applyFill="1" applyBorder="1" applyAlignment="1">
      <alignment horizontal="center"/>
    </xf>
    <xf numFmtId="3" fontId="24" fillId="7" borderId="2" xfId="0" applyNumberFormat="1" applyFont="1" applyFill="1" applyBorder="1" applyAlignment="1">
      <alignment horizontal="center"/>
    </xf>
    <xf numFmtId="3" fontId="4" fillId="0" borderId="0" xfId="0" applyNumberFormat="1" applyFont="1"/>
    <xf numFmtId="0" fontId="4" fillId="0" borderId="5" xfId="0" applyFont="1" applyFill="1" applyBorder="1" applyAlignment="1">
      <alignment horizontal="center"/>
    </xf>
    <xf numFmtId="0" fontId="2" fillId="0" borderId="0" xfId="0" applyFont="1" applyFill="1"/>
    <xf numFmtId="0" fontId="25" fillId="3" borderId="1" xfId="0" applyFont="1" applyFill="1" applyBorder="1" applyAlignment="1">
      <alignment horizontal="center" vertical="center" textRotation="90" wrapText="1"/>
    </xf>
    <xf numFmtId="9" fontId="5" fillId="2" borderId="1" xfId="3" applyFont="1" applyFill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9" fontId="3" fillId="0" borderId="1" xfId="3" applyFont="1" applyBorder="1"/>
    <xf numFmtId="167" fontId="8" fillId="4" borderId="1" xfId="1" applyNumberFormat="1" applyFont="1" applyFill="1" applyBorder="1"/>
    <xf numFmtId="167" fontId="8" fillId="9" borderId="1" xfId="1" applyNumberFormat="1" applyFont="1" applyFill="1" applyBorder="1"/>
    <xf numFmtId="3" fontId="4" fillId="0" borderId="1" xfId="0" applyNumberFormat="1" applyFont="1" applyBorder="1"/>
    <xf numFmtId="3" fontId="6" fillId="0" borderId="1" xfId="1" applyNumberFormat="1" applyFont="1" applyBorder="1"/>
    <xf numFmtId="3" fontId="2" fillId="0" borderId="1" xfId="0" applyNumberFormat="1" applyFont="1" applyBorder="1"/>
    <xf numFmtId="3" fontId="2" fillId="0" borderId="1" xfId="1" applyNumberFormat="1" applyFont="1" applyBorder="1"/>
    <xf numFmtId="3" fontId="8" fillId="4" borderId="1" xfId="0" applyNumberFormat="1" applyFont="1" applyFill="1" applyBorder="1"/>
    <xf numFmtId="3" fontId="8" fillId="4" borderId="1" xfId="1" applyNumberFormat="1" applyFont="1" applyFill="1" applyBorder="1"/>
    <xf numFmtId="0" fontId="2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5" fillId="0" borderId="1" xfId="0" applyNumberFormat="1" applyFont="1" applyFill="1" applyBorder="1"/>
    <xf numFmtId="9" fontId="16" fillId="0" borderId="1" xfId="3" applyFont="1" applyFill="1" applyBorder="1"/>
    <xf numFmtId="0" fontId="4" fillId="0" borderId="2" xfId="0" applyFont="1" applyBorder="1" applyAlignment="1">
      <alignment horizontal="center"/>
    </xf>
    <xf numFmtId="3" fontId="32" fillId="0" borderId="1" xfId="0" applyNumberFormat="1" applyFont="1" applyFill="1" applyBorder="1"/>
    <xf numFmtId="167" fontId="28" fillId="9" borderId="1" xfId="1" applyNumberFormat="1" applyFont="1" applyFill="1" applyBorder="1"/>
    <xf numFmtId="3" fontId="5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7" fontId="8" fillId="0" borderId="1" xfId="1" applyNumberFormat="1" applyFont="1" applyFill="1" applyBorder="1"/>
    <xf numFmtId="167" fontId="5" fillId="0" borderId="1" xfId="1" applyNumberFormat="1" applyFont="1" applyFill="1" applyBorder="1"/>
    <xf numFmtId="3" fontId="5" fillId="0" borderId="22" xfId="0" applyNumberFormat="1" applyFont="1" applyFill="1" applyBorder="1" applyAlignment="1">
      <alignment vertical="center"/>
    </xf>
    <xf numFmtId="3" fontId="8" fillId="0" borderId="10" xfId="1" applyNumberFormat="1" applyFont="1" applyBorder="1" applyAlignment="1">
      <alignment vertical="center"/>
    </xf>
    <xf numFmtId="167" fontId="4" fillId="0" borderId="1" xfId="1" applyNumberFormat="1" applyFont="1" applyFill="1" applyBorder="1"/>
    <xf numFmtId="3" fontId="8" fillId="0" borderId="1" xfId="1" applyNumberFormat="1" applyFont="1" applyBorder="1" applyAlignment="1">
      <alignment vertical="center"/>
    </xf>
    <xf numFmtId="3" fontId="21" fillId="0" borderId="3" xfId="0" applyNumberFormat="1" applyFont="1" applyBorder="1"/>
    <xf numFmtId="3" fontId="21" fillId="0" borderId="23" xfId="0" applyNumberFormat="1" applyFont="1" applyBorder="1"/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8" fillId="0" borderId="22" xfId="1" applyNumberFormat="1" applyFont="1" applyFill="1" applyBorder="1"/>
    <xf numFmtId="3" fontId="8" fillId="0" borderId="10" xfId="1" applyNumberFormat="1" applyFont="1" applyFill="1" applyBorder="1"/>
    <xf numFmtId="0" fontId="4" fillId="0" borderId="4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/>
    <xf numFmtId="3" fontId="2" fillId="0" borderId="1" xfId="1" applyNumberFormat="1" applyFont="1" applyFill="1" applyBorder="1"/>
    <xf numFmtId="9" fontId="3" fillId="0" borderId="1" xfId="3" applyFont="1" applyFill="1" applyBorder="1"/>
    <xf numFmtId="0" fontId="28" fillId="0" borderId="1" xfId="0" applyFont="1" applyFill="1" applyBorder="1" applyAlignment="1">
      <alignment wrapText="1"/>
    </xf>
    <xf numFmtId="167" fontId="28" fillId="0" borderId="1" xfId="1" applyNumberFormat="1" applyFont="1" applyFill="1" applyBorder="1"/>
    <xf numFmtId="3" fontId="21" fillId="0" borderId="3" xfId="0" applyNumberFormat="1" applyFont="1" applyFill="1" applyBorder="1"/>
    <xf numFmtId="3" fontId="21" fillId="0" borderId="23" xfId="0" applyNumberFormat="1" applyFont="1" applyFill="1" applyBorder="1"/>
    <xf numFmtId="0" fontId="0" fillId="0" borderId="20" xfId="0" applyBorder="1"/>
    <xf numFmtId="0" fontId="4" fillId="9" borderId="1" xfId="0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>
      <alignment horizontal="center" vertical="center" wrapText="1"/>
    </xf>
    <xf numFmtId="166" fontId="4" fillId="9" borderId="1" xfId="1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textRotation="90" wrapText="1"/>
    </xf>
    <xf numFmtId="0" fontId="26" fillId="9" borderId="1" xfId="0" applyFont="1" applyFill="1" applyBorder="1" applyAlignment="1">
      <alignment horizontal="center" vertical="center" wrapText="1"/>
    </xf>
    <xf numFmtId="166" fontId="4" fillId="9" borderId="1" xfId="0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/>
    <xf numFmtId="3" fontId="9" fillId="0" borderId="2" xfId="1" applyNumberFormat="1" applyFont="1" applyBorder="1"/>
    <xf numFmtId="3" fontId="4" fillId="2" borderId="2" xfId="0" applyNumberFormat="1" applyFont="1" applyFill="1" applyBorder="1"/>
    <xf numFmtId="3" fontId="5" fillId="2" borderId="2" xfId="0" applyNumberFormat="1" applyFont="1" applyFill="1" applyBorder="1"/>
    <xf numFmtId="3" fontId="9" fillId="5" borderId="2" xfId="1" applyNumberFormat="1" applyFont="1" applyFill="1" applyBorder="1"/>
    <xf numFmtId="3" fontId="21" fillId="0" borderId="6" xfId="0" applyNumberFormat="1" applyFont="1" applyBorder="1"/>
    <xf numFmtId="3" fontId="21" fillId="0" borderId="22" xfId="0" applyNumberFormat="1" applyFont="1" applyBorder="1"/>
    <xf numFmtId="0" fontId="0" fillId="0" borderId="6" xfId="0" applyBorder="1"/>
    <xf numFmtId="3" fontId="21" fillId="0" borderId="1" xfId="0" applyNumberFormat="1" applyFont="1" applyBorder="1"/>
    <xf numFmtId="3" fontId="32" fillId="0" borderId="2" xfId="0" applyNumberFormat="1" applyFont="1" applyFill="1" applyBorder="1"/>
    <xf numFmtId="0" fontId="4" fillId="0" borderId="22" xfId="0" applyFont="1" applyFill="1" applyBorder="1" applyAlignment="1">
      <alignment horizontal="center"/>
    </xf>
    <xf numFmtId="9" fontId="36" fillId="2" borderId="1" xfId="3" applyFont="1" applyFill="1" applyBorder="1"/>
    <xf numFmtId="9" fontId="36" fillId="2" borderId="2" xfId="3" applyFont="1" applyFill="1" applyBorder="1"/>
    <xf numFmtId="9" fontId="4" fillId="0" borderId="3" xfId="3" applyFont="1" applyFill="1" applyBorder="1"/>
    <xf numFmtId="3" fontId="8" fillId="0" borderId="8" xfId="1" applyNumberFormat="1" applyFont="1" applyBorder="1"/>
    <xf numFmtId="9" fontId="3" fillId="0" borderId="1" xfId="1" applyNumberFormat="1" applyFont="1" applyBorder="1"/>
    <xf numFmtId="9" fontId="3" fillId="0" borderId="1" xfId="3" applyNumberFormat="1" applyFont="1" applyBorder="1"/>
    <xf numFmtId="9" fontId="16" fillId="2" borderId="1" xfId="1" applyNumberFormat="1" applyFont="1" applyFill="1" applyBorder="1"/>
    <xf numFmtId="9" fontId="16" fillId="0" borderId="1" xfId="1" applyNumberFormat="1" applyFont="1" applyBorder="1"/>
    <xf numFmtId="9" fontId="16" fillId="6" borderId="1" xfId="1" applyNumberFormat="1" applyFont="1" applyFill="1" applyBorder="1"/>
    <xf numFmtId="9" fontId="16" fillId="2" borderId="1" xfId="1" applyNumberFormat="1" applyFont="1" applyFill="1" applyBorder="1" applyAlignment="1"/>
    <xf numFmtId="9" fontId="3" fillId="0" borderId="1" xfId="0" applyNumberFormat="1" applyFont="1" applyBorder="1" applyAlignment="1"/>
    <xf numFmtId="9" fontId="36" fillId="2" borderId="1" xfId="0" applyNumberFormat="1" applyFont="1" applyFill="1" applyBorder="1" applyAlignment="1"/>
    <xf numFmtId="9" fontId="3" fillId="0" borderId="1" xfId="1" applyNumberFormat="1" applyFont="1" applyBorder="1" applyAlignment="1"/>
    <xf numFmtId="3" fontId="8" fillId="0" borderId="6" xfId="1" applyNumberFormat="1" applyFont="1" applyFill="1" applyBorder="1"/>
    <xf numFmtId="3" fontId="4" fillId="6" borderId="1" xfId="1" applyNumberFormat="1" applyFont="1" applyFill="1" applyBorder="1"/>
    <xf numFmtId="3" fontId="4" fillId="2" borderId="1" xfId="1" applyNumberFormat="1" applyFont="1" applyFill="1" applyBorder="1" applyAlignment="1"/>
    <xf numFmtId="3" fontId="8" fillId="0" borderId="0" xfId="1" applyNumberFormat="1" applyFont="1" applyBorder="1" applyAlignment="1"/>
    <xf numFmtId="3" fontId="8" fillId="0" borderId="0" xfId="0" applyNumberFormat="1" applyFont="1" applyBorder="1" applyAlignment="1"/>
    <xf numFmtId="3" fontId="5" fillId="2" borderId="1" xfId="0" applyNumberFormat="1" applyFont="1" applyFill="1" applyBorder="1" applyAlignment="1"/>
    <xf numFmtId="3" fontId="8" fillId="0" borderId="1" xfId="0" applyNumberFormat="1" applyFont="1" applyBorder="1" applyAlignment="1"/>
    <xf numFmtId="3" fontId="8" fillId="0" borderId="1" xfId="1" applyNumberFormat="1" applyFont="1" applyBorder="1" applyAlignment="1"/>
    <xf numFmtId="0" fontId="8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 wrapText="1"/>
    </xf>
    <xf numFmtId="0" fontId="35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9" fillId="0" borderId="0" xfId="0" applyFont="1" applyBorder="1" applyAlignment="1"/>
    <xf numFmtId="0" fontId="35" fillId="0" borderId="0" xfId="0" applyFont="1" applyBorder="1" applyAlignment="1">
      <alignment vertical="center"/>
    </xf>
    <xf numFmtId="0" fontId="35" fillId="0" borderId="0" xfId="0" applyFont="1" applyBorder="1" applyAlignment="1"/>
    <xf numFmtId="0" fontId="8" fillId="8" borderId="1" xfId="0" applyFont="1" applyFill="1" applyBorder="1" applyAlignment="1">
      <alignment vertical="center"/>
    </xf>
    <xf numFmtId="3" fontId="15" fillId="8" borderId="1" xfId="0" applyNumberFormat="1" applyFont="1" applyFill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9" fontId="29" fillId="0" borderId="1" xfId="3" applyFont="1" applyFill="1" applyBorder="1"/>
    <xf numFmtId="3" fontId="21" fillId="0" borderId="8" xfId="0" applyNumberFormat="1" applyFont="1" applyFill="1" applyBorder="1"/>
    <xf numFmtId="3" fontId="21" fillId="0" borderId="1" xfId="0" applyNumberFormat="1" applyFont="1" applyFill="1" applyBorder="1"/>
    <xf numFmtId="3" fontId="24" fillId="0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32" fillId="8" borderId="1" xfId="0" applyFont="1" applyFill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/>
    </xf>
    <xf numFmtId="9" fontId="33" fillId="8" borderId="1" xfId="3" applyFont="1" applyFill="1" applyBorder="1" applyAlignment="1">
      <alignment vertical="center"/>
    </xf>
    <xf numFmtId="9" fontId="4" fillId="8" borderId="1" xfId="3" applyFont="1" applyFill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0" fontId="32" fillId="2" borderId="1" xfId="0" applyFont="1" applyFill="1" applyBorder="1" applyAlignment="1">
      <alignment wrapText="1"/>
    </xf>
    <xf numFmtId="3" fontId="32" fillId="2" borderId="1" xfId="1" applyNumberFormat="1" applyFont="1" applyFill="1" applyBorder="1"/>
    <xf numFmtId="0" fontId="13" fillId="2" borderId="1" xfId="0" applyFont="1" applyFill="1" applyBorder="1" applyAlignment="1">
      <alignment wrapText="1"/>
    </xf>
    <xf numFmtId="3" fontId="13" fillId="2" borderId="1" xfId="1" applyNumberFormat="1" applyFont="1" applyFill="1" applyBorder="1"/>
    <xf numFmtId="3" fontId="22" fillId="0" borderId="5" xfId="0" applyNumberFormat="1" applyFont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1" fillId="0" borderId="1" xfId="1" applyNumberFormat="1" applyFont="1" applyBorder="1"/>
    <xf numFmtId="3" fontId="22" fillId="2" borderId="1" xfId="1" applyNumberFormat="1" applyFont="1" applyFill="1" applyBorder="1"/>
    <xf numFmtId="3" fontId="22" fillId="0" borderId="1" xfId="1" applyNumberFormat="1" applyFont="1" applyBorder="1"/>
    <xf numFmtId="3" fontId="22" fillId="6" borderId="1" xfId="1" applyNumberFormat="1" applyFont="1" applyFill="1" applyBorder="1"/>
    <xf numFmtId="3" fontId="22" fillId="2" borderId="1" xfId="1" applyNumberFormat="1" applyFont="1" applyFill="1" applyBorder="1" applyAlignment="1"/>
    <xf numFmtId="3" fontId="22" fillId="2" borderId="1" xfId="0" applyNumberFormat="1" applyFont="1" applyFill="1" applyBorder="1" applyAlignment="1"/>
    <xf numFmtId="9" fontId="23" fillId="2" borderId="1" xfId="3" applyFont="1" applyFill="1" applyBorder="1"/>
    <xf numFmtId="9" fontId="37" fillId="0" borderId="1" xfId="3" applyFont="1" applyBorder="1"/>
    <xf numFmtId="9" fontId="23" fillId="0" borderId="1" xfId="3" applyFont="1" applyBorder="1"/>
    <xf numFmtId="9" fontId="23" fillId="6" borderId="1" xfId="3" applyFont="1" applyFill="1" applyBorder="1"/>
    <xf numFmtId="9" fontId="23" fillId="2" borderId="1" xfId="3" applyFont="1" applyFill="1" applyBorder="1" applyAlignment="1"/>
    <xf numFmtId="9" fontId="40" fillId="2" borderId="1" xfId="3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9" fillId="0" borderId="1" xfId="1" applyNumberFormat="1" applyFont="1" applyFill="1" applyBorder="1"/>
    <xf numFmtId="3" fontId="34" fillId="7" borderId="1" xfId="1" applyNumberFormat="1" applyFont="1" applyFill="1" applyBorder="1"/>
    <xf numFmtId="3" fontId="4" fillId="2" borderId="1" xfId="1" applyNumberFormat="1" applyFont="1" applyFill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4" fillId="0" borderId="1" xfId="1" applyNumberFormat="1" applyFont="1" applyBorder="1" applyAlignment="1"/>
    <xf numFmtId="3" fontId="8" fillId="0" borderId="0" xfId="1" applyNumberFormat="1" applyFont="1" applyAlignment="1"/>
    <xf numFmtId="3" fontId="8" fillId="0" borderId="0" xfId="0" applyNumberFormat="1" applyFont="1" applyAlignment="1"/>
    <xf numFmtId="9" fontId="23" fillId="0" borderId="1" xfId="3" applyFont="1" applyFill="1" applyBorder="1"/>
    <xf numFmtId="9" fontId="23" fillId="5" borderId="1" xfId="3" applyFont="1" applyFill="1" applyBorder="1"/>
    <xf numFmtId="0" fontId="10" fillId="0" borderId="10" xfId="0" applyFont="1" applyBorder="1"/>
    <xf numFmtId="0" fontId="10" fillId="0" borderId="10" xfId="0" applyFont="1" applyBorder="1" applyAlignment="1">
      <alignment wrapText="1"/>
    </xf>
    <xf numFmtId="3" fontId="8" fillId="0" borderId="10" xfId="1" applyNumberFormat="1" applyFont="1" applyBorder="1" applyAlignment="1">
      <alignment horizontal="right"/>
    </xf>
    <xf numFmtId="3" fontId="8" fillId="0" borderId="10" xfId="1" applyNumberFormat="1" applyFont="1" applyBorder="1" applyAlignment="1"/>
    <xf numFmtId="9" fontId="23" fillId="0" borderId="10" xfId="3" applyFont="1" applyFill="1" applyBorder="1"/>
    <xf numFmtId="9" fontId="8" fillId="0" borderId="19" xfId="3" applyFont="1" applyBorder="1"/>
    <xf numFmtId="0" fontId="2" fillId="2" borderId="1" xfId="0" applyFont="1" applyFill="1" applyBorder="1" applyAlignment="1">
      <alignment wrapText="1"/>
    </xf>
    <xf numFmtId="3" fontId="4" fillId="5" borderId="1" xfId="1" applyNumberFormat="1" applyFont="1" applyFill="1" applyBorder="1"/>
    <xf numFmtId="3" fontId="4" fillId="0" borderId="2" xfId="1" applyNumberFormat="1" applyFont="1" applyFill="1" applyBorder="1"/>
    <xf numFmtId="3" fontId="4" fillId="5" borderId="1" xfId="0" applyNumberFormat="1" applyFont="1" applyFill="1" applyBorder="1"/>
    <xf numFmtId="3" fontId="9" fillId="4" borderId="2" xfId="0" applyNumberFormat="1" applyFont="1" applyFill="1" applyBorder="1"/>
    <xf numFmtId="3" fontId="9" fillId="4" borderId="2" xfId="1" applyNumberFormat="1" applyFont="1" applyFill="1" applyBorder="1"/>
    <xf numFmtId="3" fontId="0" fillId="0" borderId="0" xfId="1" applyNumberFormat="1" applyFont="1" applyBorder="1"/>
    <xf numFmtId="3" fontId="4" fillId="2" borderId="2" xfId="1" applyNumberFormat="1" applyFont="1" applyFill="1" applyBorder="1" applyAlignment="1">
      <alignment horizontal="right"/>
    </xf>
    <xf numFmtId="3" fontId="4" fillId="5" borderId="1" xfId="1" applyNumberFormat="1" applyFont="1" applyFill="1" applyBorder="1" applyAlignment="1">
      <alignment horizontal="right"/>
    </xf>
    <xf numFmtId="3" fontId="5" fillId="2" borderId="2" xfId="1" applyNumberFormat="1" applyFont="1" applyFill="1" applyBorder="1" applyAlignment="1">
      <alignment horizontal="right"/>
    </xf>
    <xf numFmtId="3" fontId="35" fillId="0" borderId="0" xfId="0" applyNumberFormat="1" applyFont="1" applyBorder="1" applyAlignment="1">
      <alignment vertical="center"/>
    </xf>
    <xf numFmtId="3" fontId="2" fillId="0" borderId="1" xfId="1" applyNumberFormat="1" applyFont="1" applyFill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3" fontId="9" fillId="0" borderId="1" xfId="1" applyNumberFormat="1" applyFont="1" applyBorder="1" applyAlignment="1"/>
    <xf numFmtId="3" fontId="8" fillId="0" borderId="2" xfId="0" applyNumberFormat="1" applyFont="1" applyBorder="1" applyAlignment="1"/>
    <xf numFmtId="3" fontId="8" fillId="0" borderId="2" xfId="1" applyNumberFormat="1" applyFont="1" applyBorder="1" applyAlignment="1"/>
    <xf numFmtId="3" fontId="5" fillId="2" borderId="1" xfId="1" applyNumberFormat="1" applyFont="1" applyFill="1" applyBorder="1" applyAlignment="1"/>
    <xf numFmtId="3" fontId="9" fillId="0" borderId="1" xfId="0" applyNumberFormat="1" applyFont="1" applyFill="1" applyBorder="1" applyAlignment="1"/>
    <xf numFmtId="3" fontId="8" fillId="0" borderId="1" xfId="1" applyNumberFormat="1" applyFont="1" applyFill="1" applyBorder="1" applyAlignment="1"/>
    <xf numFmtId="3" fontId="4" fillId="2" borderId="1" xfId="0" applyNumberFormat="1" applyFont="1" applyFill="1" applyBorder="1" applyAlignment="1"/>
    <xf numFmtId="3" fontId="8" fillId="0" borderId="2" xfId="1" applyNumberFormat="1" applyFont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4" fillId="2" borderId="2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10" fillId="0" borderId="1" xfId="1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1" xfId="1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Border="1"/>
    <xf numFmtId="0" fontId="28" fillId="0" borderId="0" xfId="0" applyFont="1" applyBorder="1"/>
    <xf numFmtId="0" fontId="4" fillId="0" borderId="0" xfId="0" applyFont="1" applyBorder="1"/>
    <xf numFmtId="3" fontId="28" fillId="0" borderId="0" xfId="0" applyNumberFormat="1" applyFont="1" applyBorder="1" applyAlignment="1">
      <alignment horizontal="center"/>
    </xf>
    <xf numFmtId="3" fontId="28" fillId="5" borderId="0" xfId="0" applyNumberFormat="1" applyFont="1" applyFill="1" applyBorder="1" applyAlignment="1">
      <alignment horizontal="center"/>
    </xf>
    <xf numFmtId="3" fontId="8" fillId="5" borderId="0" xfId="0" applyNumberFormat="1" applyFont="1" applyFill="1" applyBorder="1"/>
    <xf numFmtId="3" fontId="28" fillId="0" borderId="0" xfId="0" applyNumberFormat="1" applyFont="1" applyFill="1" applyBorder="1" applyAlignment="1">
      <alignment horizontal="center"/>
    </xf>
    <xf numFmtId="3" fontId="27" fillId="5" borderId="0" xfId="0" applyNumberFormat="1" applyFont="1" applyFill="1" applyBorder="1"/>
    <xf numFmtId="0" fontId="2" fillId="0" borderId="0" xfId="0" applyFont="1" applyFill="1" applyBorder="1"/>
    <xf numFmtId="0" fontId="41" fillId="0" borderId="0" xfId="0" applyFont="1" applyFill="1" applyBorder="1"/>
    <xf numFmtId="3" fontId="41" fillId="0" borderId="0" xfId="1" applyNumberFormat="1" applyFont="1" applyBorder="1"/>
    <xf numFmtId="0" fontId="41" fillId="0" borderId="0" xfId="0" applyFont="1"/>
    <xf numFmtId="0" fontId="43" fillId="0" borderId="0" xfId="0" applyFont="1" applyBorder="1"/>
    <xf numFmtId="3" fontId="43" fillId="0" borderId="0" xfId="0" applyNumberFormat="1" applyFont="1" applyBorder="1"/>
    <xf numFmtId="3" fontId="43" fillId="0" borderId="0" xfId="1" applyNumberFormat="1" applyFont="1" applyBorder="1"/>
    <xf numFmtId="0" fontId="8" fillId="10" borderId="0" xfId="0" applyFont="1" applyFill="1" applyBorder="1"/>
    <xf numFmtId="3" fontId="8" fillId="10" borderId="0" xfId="0" applyNumberFormat="1" applyFont="1" applyFill="1" applyBorder="1"/>
    <xf numFmtId="3" fontId="8" fillId="10" borderId="0" xfId="1" applyNumberFormat="1" applyFont="1" applyFill="1" applyBorder="1"/>
    <xf numFmtId="166" fontId="8" fillId="10" borderId="0" xfId="1" applyNumberFormat="1" applyFont="1" applyFill="1" applyBorder="1"/>
    <xf numFmtId="0" fontId="8" fillId="10" borderId="0" xfId="0" applyFont="1" applyFill="1"/>
    <xf numFmtId="0" fontId="2" fillId="11" borderId="2" xfId="0" applyFont="1" applyFill="1" applyBorder="1"/>
    <xf numFmtId="3" fontId="8" fillId="11" borderId="8" xfId="0" applyNumberFormat="1" applyFont="1" applyFill="1" applyBorder="1"/>
    <xf numFmtId="3" fontId="8" fillId="11" borderId="9" xfId="0" applyNumberFormat="1" applyFont="1" applyFill="1" applyBorder="1"/>
    <xf numFmtId="3" fontId="4" fillId="3" borderId="8" xfId="1" applyNumberFormat="1" applyFont="1" applyFill="1" applyBorder="1" applyAlignment="1">
      <alignment horizontal="center" vertical="center" wrapText="1"/>
    </xf>
    <xf numFmtId="167" fontId="9" fillId="0" borderId="0" xfId="1" applyNumberFormat="1" applyFont="1" applyBorder="1"/>
    <xf numFmtId="3" fontId="15" fillId="0" borderId="0" xfId="0" applyNumberFormat="1" applyFont="1" applyFill="1" applyBorder="1"/>
    <xf numFmtId="3" fontId="5" fillId="0" borderId="0" xfId="0" applyNumberFormat="1" applyFont="1" applyFill="1" applyBorder="1"/>
    <xf numFmtId="9" fontId="4" fillId="0" borderId="0" xfId="1" applyNumberFormat="1" applyFont="1" applyFill="1" applyBorder="1"/>
    <xf numFmtId="3" fontId="32" fillId="0" borderId="0" xfId="0" applyNumberFormat="1" applyFont="1" applyFill="1" applyBorder="1"/>
    <xf numFmtId="3" fontId="24" fillId="7" borderId="0" xfId="0" applyNumberFormat="1" applyFont="1" applyFill="1" applyBorder="1" applyAlignment="1">
      <alignment horizontal="center"/>
    </xf>
    <xf numFmtId="0" fontId="5" fillId="8" borderId="0" xfId="0" applyFont="1" applyFill="1" applyBorder="1"/>
    <xf numFmtId="0" fontId="32" fillId="8" borderId="0" xfId="0" applyFont="1" applyFill="1" applyBorder="1" applyAlignment="1">
      <alignment vertical="center" wrapText="1"/>
    </xf>
    <xf numFmtId="3" fontId="32" fillId="8" borderId="0" xfId="0" applyNumberFormat="1" applyFont="1" applyFill="1" applyBorder="1" applyAlignment="1">
      <alignment vertical="center"/>
    </xf>
    <xf numFmtId="3" fontId="15" fillId="8" borderId="0" xfId="0" applyNumberFormat="1" applyFont="1" applyFill="1" applyBorder="1" applyAlignment="1">
      <alignment vertical="center"/>
    </xf>
    <xf numFmtId="9" fontId="4" fillId="8" borderId="0" xfId="1" applyNumberFormat="1" applyFont="1" applyFill="1" applyBorder="1" applyAlignment="1">
      <alignment vertical="center"/>
    </xf>
    <xf numFmtId="9" fontId="33" fillId="8" borderId="0" xfId="3" applyFont="1" applyFill="1" applyBorder="1" applyAlignment="1">
      <alignment vertical="center"/>
    </xf>
    <xf numFmtId="0" fontId="5" fillId="0" borderId="0" xfId="0" applyFont="1" applyFill="1" applyBorder="1"/>
    <xf numFmtId="0" fontId="15" fillId="0" borderId="0" xfId="0" applyFont="1" applyFill="1" applyBorder="1" applyAlignment="1">
      <alignment wrapText="1"/>
    </xf>
    <xf numFmtId="9" fontId="14" fillId="0" borderId="0" xfId="1" applyNumberFormat="1" applyFont="1" applyFill="1" applyBorder="1"/>
    <xf numFmtId="9" fontId="29" fillId="0" borderId="0" xfId="3" applyFont="1" applyFill="1" applyBorder="1"/>
    <xf numFmtId="3" fontId="4" fillId="3" borderId="0" xfId="1" applyNumberFormat="1" applyFont="1" applyFill="1" applyBorder="1" applyAlignment="1">
      <alignment horizontal="center" vertical="center" wrapText="1"/>
    </xf>
    <xf numFmtId="166" fontId="4" fillId="3" borderId="0" xfId="1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3" fontId="9" fillId="0" borderId="0" xfId="1" applyNumberFormat="1" applyFont="1" applyBorder="1"/>
    <xf numFmtId="9" fontId="14" fillId="0" borderId="0" xfId="3" applyFont="1" applyFill="1" applyBorder="1"/>
    <xf numFmtId="0" fontId="4" fillId="11" borderId="0" xfId="0" applyFont="1" applyFill="1" applyBorder="1"/>
    <xf numFmtId="3" fontId="4" fillId="11" borderId="0" xfId="0" applyNumberFormat="1" applyFont="1" applyFill="1" applyBorder="1"/>
    <xf numFmtId="3" fontId="9" fillId="0" borderId="20" xfId="1" applyNumberFormat="1" applyFont="1" applyBorder="1"/>
    <xf numFmtId="9" fontId="28" fillId="0" borderId="1" xfId="3" applyFont="1" applyFill="1" applyBorder="1"/>
    <xf numFmtId="0" fontId="45" fillId="0" borderId="1" xfId="0" applyFont="1" applyFill="1" applyBorder="1" applyAlignment="1">
      <alignment wrapText="1"/>
    </xf>
    <xf numFmtId="3" fontId="22" fillId="0" borderId="2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167" fontId="2" fillId="4" borderId="1" xfId="1" applyNumberFormat="1" applyFont="1" applyFill="1" applyBorder="1"/>
    <xf numFmtId="3" fontId="46" fillId="0" borderId="0" xfId="0" applyNumberFormat="1" applyFont="1" applyBorder="1"/>
    <xf numFmtId="167" fontId="2" fillId="0" borderId="1" xfId="1" applyNumberFormat="1" applyFont="1" applyFill="1" applyBorder="1"/>
    <xf numFmtId="3" fontId="4" fillId="0" borderId="2" xfId="1" applyNumberFormat="1" applyFont="1" applyBorder="1"/>
    <xf numFmtId="166" fontId="4" fillId="0" borderId="1" xfId="1" applyNumberFormat="1" applyFont="1" applyBorder="1"/>
    <xf numFmtId="167" fontId="5" fillId="0" borderId="1" xfId="1" applyNumberFormat="1" applyFont="1" applyBorder="1"/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27" fillId="0" borderId="20" xfId="0" applyNumberFormat="1" applyFont="1" applyBorder="1"/>
    <xf numFmtId="0" fontId="27" fillId="0" borderId="20" xfId="0" applyFont="1" applyBorder="1"/>
    <xf numFmtId="167" fontId="4" fillId="0" borderId="0" xfId="0" applyNumberFormat="1" applyFont="1" applyBorder="1"/>
    <xf numFmtId="3" fontId="47" fillId="12" borderId="0" xfId="0" applyNumberFormat="1" applyFont="1" applyFill="1" applyBorder="1"/>
    <xf numFmtId="0" fontId="48" fillId="12" borderId="0" xfId="0" applyFont="1" applyFill="1" applyBorder="1"/>
    <xf numFmtId="0" fontId="4" fillId="14" borderId="0" xfId="0" applyFont="1" applyFill="1" applyBorder="1"/>
    <xf numFmtId="167" fontId="2" fillId="0" borderId="1" xfId="1" applyNumberFormat="1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8" xfId="1" applyNumberFormat="1" applyFont="1" applyBorder="1"/>
    <xf numFmtId="0" fontId="4" fillId="0" borderId="8" xfId="0" applyFont="1" applyFill="1" applyBorder="1"/>
    <xf numFmtId="3" fontId="4" fillId="0" borderId="8" xfId="0" applyNumberFormat="1" applyFont="1" applyFill="1" applyBorder="1"/>
    <xf numFmtId="3" fontId="4" fillId="0" borderId="8" xfId="1" applyNumberFormat="1" applyFont="1" applyFill="1" applyBorder="1"/>
    <xf numFmtId="3" fontId="4" fillId="0" borderId="9" xfId="0" applyNumberFormat="1" applyFont="1" applyFill="1" applyBorder="1"/>
    <xf numFmtId="3" fontId="8" fillId="0" borderId="8" xfId="1" applyNumberFormat="1" applyFont="1" applyFill="1" applyBorder="1"/>
    <xf numFmtId="3" fontId="2" fillId="0" borderId="0" xfId="1" applyNumberFormat="1" applyFont="1" applyBorder="1"/>
    <xf numFmtId="0" fontId="8" fillId="0" borderId="31" xfId="0" applyFont="1" applyBorder="1"/>
    <xf numFmtId="0" fontId="8" fillId="0" borderId="16" xfId="0" applyFont="1" applyBorder="1"/>
    <xf numFmtId="166" fontId="8" fillId="0" borderId="16" xfId="1" applyNumberFormat="1" applyFont="1" applyBorder="1"/>
    <xf numFmtId="0" fontId="8" fillId="0" borderId="18" xfId="0" applyFont="1" applyBorder="1"/>
    <xf numFmtId="0" fontId="2" fillId="0" borderId="32" xfId="0" applyFont="1" applyBorder="1"/>
    <xf numFmtId="0" fontId="2" fillId="0" borderId="32" xfId="0" applyFont="1" applyFill="1" applyBorder="1"/>
    <xf numFmtId="0" fontId="2" fillId="0" borderId="34" xfId="0" applyFont="1" applyBorder="1"/>
    <xf numFmtId="0" fontId="8" fillId="0" borderId="32" xfId="0" applyFont="1" applyBorder="1"/>
    <xf numFmtId="0" fontId="4" fillId="0" borderId="34" xfId="0" applyFont="1" applyBorder="1"/>
    <xf numFmtId="0" fontId="8" fillId="0" borderId="33" xfId="0" applyFont="1" applyBorder="1"/>
    <xf numFmtId="0" fontId="4" fillId="13" borderId="35" xfId="0" applyFont="1" applyFill="1" applyBorder="1"/>
    <xf numFmtId="0" fontId="4" fillId="13" borderId="26" xfId="0" applyFont="1" applyFill="1" applyBorder="1"/>
    <xf numFmtId="3" fontId="4" fillId="13" borderId="26" xfId="0" applyNumberFormat="1" applyFont="1" applyFill="1" applyBorder="1"/>
    <xf numFmtId="3" fontId="4" fillId="13" borderId="26" xfId="1" applyNumberFormat="1" applyFont="1" applyFill="1" applyBorder="1"/>
    <xf numFmtId="3" fontId="4" fillId="13" borderId="36" xfId="0" applyNumberFormat="1" applyFont="1" applyFill="1" applyBorder="1"/>
    <xf numFmtId="0" fontId="12" fillId="0" borderId="11" xfId="0" applyFont="1" applyBorder="1"/>
    <xf numFmtId="0" fontId="8" fillId="0" borderId="13" xfId="0" applyFont="1" applyBorder="1"/>
    <xf numFmtId="0" fontId="12" fillId="0" borderId="31" xfId="0" applyFont="1" applyBorder="1"/>
    <xf numFmtId="0" fontId="2" fillId="0" borderId="16" xfId="0" applyFont="1" applyBorder="1"/>
    <xf numFmtId="3" fontId="8" fillId="0" borderId="18" xfId="0" applyNumberFormat="1" applyFont="1" applyBorder="1"/>
    <xf numFmtId="3" fontId="8" fillId="0" borderId="16" xfId="0" applyNumberFormat="1" applyFont="1" applyBorder="1"/>
    <xf numFmtId="3" fontId="8" fillId="0" borderId="16" xfId="1" applyNumberFormat="1" applyFont="1" applyBorder="1"/>
    <xf numFmtId="3" fontId="8" fillId="0" borderId="16" xfId="0" applyNumberFormat="1" applyFont="1" applyBorder="1" applyAlignment="1"/>
    <xf numFmtId="0" fontId="19" fillId="0" borderId="16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7" fontId="9" fillId="0" borderId="32" xfId="1" applyNumberFormat="1" applyFont="1" applyBorder="1"/>
    <xf numFmtId="9" fontId="16" fillId="0" borderId="33" xfId="3" applyFont="1" applyFill="1" applyBorder="1"/>
    <xf numFmtId="3" fontId="8" fillId="0" borderId="32" xfId="0" applyNumberFormat="1" applyFont="1" applyBorder="1"/>
    <xf numFmtId="3" fontId="8" fillId="0" borderId="31" xfId="0" applyNumberFormat="1" applyFont="1" applyBorder="1"/>
    <xf numFmtId="3" fontId="4" fillId="0" borderId="34" xfId="0" applyNumberFormat="1" applyFont="1" applyBorder="1"/>
    <xf numFmtId="3" fontId="2" fillId="0" borderId="32" xfId="0" applyNumberFormat="1" applyFont="1" applyBorder="1"/>
    <xf numFmtId="3" fontId="4" fillId="13" borderId="35" xfId="0" applyNumberFormat="1" applyFont="1" applyFill="1" applyBorder="1"/>
    <xf numFmtId="3" fontId="4" fillId="0" borderId="34" xfId="0" applyNumberFormat="1" applyFont="1" applyFill="1" applyBorder="1"/>
    <xf numFmtId="0" fontId="8" fillId="0" borderId="37" xfId="0" applyFont="1" applyBorder="1"/>
    <xf numFmtId="0" fontId="8" fillId="0" borderId="38" xfId="0" applyFont="1" applyBorder="1"/>
    <xf numFmtId="9" fontId="14" fillId="0" borderId="33" xfId="3" applyFont="1" applyFill="1" applyBorder="1"/>
    <xf numFmtId="3" fontId="8" fillId="0" borderId="32" xfId="0" applyNumberFormat="1" applyFont="1" applyBorder="1" applyAlignment="1"/>
    <xf numFmtId="3" fontId="8" fillId="0" borderId="31" xfId="0" applyNumberFormat="1" applyFont="1" applyBorder="1" applyAlignment="1"/>
    <xf numFmtId="3" fontId="8" fillId="0" borderId="33" xfId="0" applyNumberFormat="1" applyFont="1" applyBorder="1"/>
    <xf numFmtId="166" fontId="8" fillId="0" borderId="38" xfId="1" applyNumberFormat="1" applyFont="1" applyBorder="1"/>
    <xf numFmtId="3" fontId="15" fillId="0" borderId="32" xfId="0" applyNumberFormat="1" applyFont="1" applyFill="1" applyBorder="1" applyAlignment="1">
      <alignment horizontal="center"/>
    </xf>
    <xf numFmtId="3" fontId="8" fillId="0" borderId="32" xfId="1" applyNumberFormat="1" applyFont="1" applyBorder="1"/>
    <xf numFmtId="3" fontId="9" fillId="0" borderId="33" xfId="1" applyNumberFormat="1" applyFont="1" applyBorder="1"/>
    <xf numFmtId="3" fontId="8" fillId="0" borderId="15" xfId="0" applyNumberFormat="1" applyFont="1" applyBorder="1"/>
    <xf numFmtId="3" fontId="8" fillId="0" borderId="33" xfId="1" applyNumberFormat="1" applyFont="1" applyBorder="1"/>
    <xf numFmtId="3" fontId="8" fillId="0" borderId="18" xfId="1" applyNumberFormat="1" applyFont="1" applyBorder="1"/>
    <xf numFmtId="3" fontId="4" fillId="0" borderId="39" xfId="0" applyNumberFormat="1" applyFont="1" applyBorder="1"/>
    <xf numFmtId="3" fontId="2" fillId="0" borderId="33" xfId="0" applyNumberFormat="1" applyFont="1" applyBorder="1"/>
    <xf numFmtId="3" fontId="4" fillId="13" borderId="28" xfId="0" applyNumberFormat="1" applyFont="1" applyFill="1" applyBorder="1"/>
    <xf numFmtId="166" fontId="8" fillId="0" borderId="33" xfId="1" applyNumberFormat="1" applyFont="1" applyBorder="1"/>
    <xf numFmtId="166" fontId="8" fillId="0" borderId="18" xfId="1" applyNumberFormat="1" applyFont="1" applyBorder="1"/>
    <xf numFmtId="3" fontId="4" fillId="0" borderId="39" xfId="0" applyNumberFormat="1" applyFont="1" applyFill="1" applyBorder="1"/>
    <xf numFmtId="166" fontId="8" fillId="0" borderId="14" xfId="1" applyNumberFormat="1" applyFont="1" applyBorder="1"/>
    <xf numFmtId="0" fontId="2" fillId="0" borderId="18" xfId="0" applyFont="1" applyBorder="1"/>
    <xf numFmtId="0" fontId="2" fillId="0" borderId="31" xfId="0" applyFont="1" applyBorder="1"/>
    <xf numFmtId="0" fontId="4" fillId="0" borderId="32" xfId="0" applyFont="1" applyBorder="1"/>
    <xf numFmtId="0" fontId="4" fillId="0" borderId="32" xfId="0" applyFont="1" applyFill="1" applyBorder="1"/>
    <xf numFmtId="0" fontId="2" fillId="0" borderId="34" xfId="0" applyFont="1" applyFill="1" applyBorder="1"/>
    <xf numFmtId="0" fontId="4" fillId="0" borderId="34" xfId="0" applyFont="1" applyFill="1" applyBorder="1"/>
    <xf numFmtId="167" fontId="9" fillId="0" borderId="3" xfId="1" applyNumberFormat="1" applyFont="1" applyBorder="1"/>
    <xf numFmtId="166" fontId="8" fillId="0" borderId="3" xfId="1" applyNumberFormat="1" applyFont="1" applyBorder="1"/>
    <xf numFmtId="166" fontId="8" fillId="0" borderId="24" xfId="1" applyNumberFormat="1" applyFont="1" applyBorder="1"/>
    <xf numFmtId="3" fontId="8" fillId="0" borderId="3" xfId="0" applyNumberFormat="1" applyFont="1" applyBorder="1"/>
    <xf numFmtId="3" fontId="2" fillId="0" borderId="3" xfId="0" applyNumberFormat="1" applyFont="1" applyBorder="1"/>
    <xf numFmtId="3" fontId="8" fillId="0" borderId="24" xfId="0" applyNumberFormat="1" applyFont="1" applyBorder="1"/>
    <xf numFmtId="166" fontId="8" fillId="0" borderId="27" xfId="1" applyNumberFormat="1" applyFont="1" applyBorder="1"/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1" xfId="0" applyNumberFormat="1" applyFont="1" applyFill="1" applyBorder="1"/>
    <xf numFmtId="0" fontId="8" fillId="15" borderId="0" xfId="0" applyFont="1" applyFill="1" applyAlignment="1">
      <alignment wrapText="1"/>
    </xf>
    <xf numFmtId="3" fontId="8" fillId="15" borderId="0" xfId="1" applyNumberFormat="1" applyFont="1" applyFill="1"/>
    <xf numFmtId="3" fontId="8" fillId="15" borderId="0" xfId="0" applyNumberFormat="1" applyFont="1" applyFill="1"/>
    <xf numFmtId="0" fontId="8" fillId="15" borderId="0" xfId="0" applyFont="1" applyFill="1" applyBorder="1"/>
    <xf numFmtId="3" fontId="21" fillId="15" borderId="6" xfId="0" applyNumberFormat="1" applyFont="1" applyFill="1" applyBorder="1"/>
    <xf numFmtId="0" fontId="26" fillId="2" borderId="1" xfId="0" applyFont="1" applyFill="1" applyBorder="1" applyAlignment="1">
      <alignment vertical="center" wrapText="1"/>
    </xf>
    <xf numFmtId="3" fontId="26" fillId="2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right" vertical="center"/>
    </xf>
    <xf numFmtId="9" fontId="23" fillId="5" borderId="1" xfId="3" applyFont="1" applyFill="1" applyBorder="1" applyAlignment="1">
      <alignment vertical="center"/>
    </xf>
    <xf numFmtId="9" fontId="8" fillId="0" borderId="2" xfId="3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3" fontId="26" fillId="2" borderId="1" xfId="1" applyNumberFormat="1" applyFont="1" applyFill="1" applyBorder="1" applyAlignment="1">
      <alignment vertical="center"/>
    </xf>
    <xf numFmtId="9" fontId="8" fillId="0" borderId="2" xfId="3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3" fontId="26" fillId="2" borderId="2" xfId="1" applyNumberFormat="1" applyFont="1" applyFill="1" applyBorder="1" applyAlignment="1">
      <alignment horizontal="right" vertical="center"/>
    </xf>
    <xf numFmtId="3" fontId="26" fillId="2" borderId="2" xfId="1" applyNumberFormat="1" applyFont="1" applyFill="1" applyBorder="1" applyAlignment="1">
      <alignment vertical="center"/>
    </xf>
    <xf numFmtId="167" fontId="8" fillId="0" borderId="9" xfId="1" applyNumberFormat="1" applyFont="1" applyFill="1" applyBorder="1"/>
    <xf numFmtId="167" fontId="4" fillId="0" borderId="9" xfId="1" applyNumberFormat="1" applyFont="1" applyFill="1" applyBorder="1"/>
    <xf numFmtId="167" fontId="28" fillId="0" borderId="9" xfId="1" applyNumberFormat="1" applyFont="1" applyFill="1" applyBorder="1"/>
    <xf numFmtId="3" fontId="24" fillId="7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8" borderId="7" xfId="0" applyNumberFormat="1" applyFont="1" applyFill="1" applyBorder="1" applyAlignment="1">
      <alignment vertical="center"/>
    </xf>
    <xf numFmtId="9" fontId="33" fillId="8" borderId="3" xfId="3" applyFont="1" applyFill="1" applyBorder="1" applyAlignment="1">
      <alignment vertical="center"/>
    </xf>
    <xf numFmtId="3" fontId="15" fillId="0" borderId="7" xfId="0" applyNumberFormat="1" applyFont="1" applyFill="1" applyBorder="1"/>
    <xf numFmtId="9" fontId="29" fillId="0" borderId="3" xfId="3" applyFont="1" applyFill="1" applyBorder="1"/>
    <xf numFmtId="166" fontId="4" fillId="3" borderId="7" xfId="1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167" fontId="9" fillId="0" borderId="7" xfId="1" applyNumberFormat="1" applyFont="1" applyBorder="1"/>
    <xf numFmtId="9" fontId="16" fillId="0" borderId="3" xfId="3" applyFont="1" applyFill="1" applyBorder="1"/>
    <xf numFmtId="3" fontId="8" fillId="0" borderId="7" xfId="0" applyNumberFormat="1" applyFont="1" applyBorder="1"/>
    <xf numFmtId="0" fontId="8" fillId="0" borderId="3" xfId="0" applyFont="1" applyBorder="1"/>
    <xf numFmtId="3" fontId="47" fillId="12" borderId="7" xfId="0" applyNumberFormat="1" applyFont="1" applyFill="1" applyBorder="1"/>
    <xf numFmtId="3" fontId="4" fillId="11" borderId="7" xfId="0" applyNumberFormat="1" applyFont="1" applyFill="1" applyBorder="1"/>
    <xf numFmtId="0" fontId="8" fillId="0" borderId="7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23" xfId="0" applyFont="1" applyBorder="1"/>
    <xf numFmtId="167" fontId="8" fillId="0" borderId="8" xfId="1" applyNumberFormat="1" applyFont="1" applyFill="1" applyBorder="1"/>
    <xf numFmtId="167" fontId="4" fillId="0" borderId="8" xfId="1" applyNumberFormat="1" applyFont="1" applyFill="1" applyBorder="1"/>
    <xf numFmtId="167" fontId="28" fillId="0" borderId="8" xfId="1" applyNumberFormat="1" applyFont="1" applyFill="1" applyBorder="1"/>
    <xf numFmtId="9" fontId="14" fillId="0" borderId="3" xfId="3" applyFont="1" applyFill="1" applyBorder="1"/>
    <xf numFmtId="3" fontId="8" fillId="0" borderId="7" xfId="0" applyNumberFormat="1" applyFont="1" applyBorder="1" applyAlignment="1"/>
    <xf numFmtId="3" fontId="47" fillId="12" borderId="3" xfId="0" applyNumberFormat="1" applyFont="1" applyFill="1" applyBorder="1"/>
    <xf numFmtId="3" fontId="4" fillId="11" borderId="3" xfId="0" applyNumberFormat="1" applyFont="1" applyFill="1" applyBorder="1"/>
    <xf numFmtId="166" fontId="8" fillId="0" borderId="5" xfId="1" applyNumberFormat="1" applyFont="1" applyBorder="1"/>
    <xf numFmtId="0" fontId="9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8" fillId="0" borderId="2" xfId="0" applyFont="1" applyFill="1" applyBorder="1" applyAlignment="1">
      <alignment wrapText="1"/>
    </xf>
    <xf numFmtId="3" fontId="15" fillId="0" borderId="7" xfId="0" applyNumberFormat="1" applyFont="1" applyFill="1" applyBorder="1" applyAlignment="1">
      <alignment horizontal="center"/>
    </xf>
    <xf numFmtId="3" fontId="32" fillId="8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/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/>
    <xf numFmtId="3" fontId="9" fillId="0" borderId="3" xfId="1" applyNumberFormat="1" applyFont="1" applyBorder="1"/>
    <xf numFmtId="3" fontId="8" fillId="0" borderId="3" xfId="1" applyNumberFormat="1" applyFont="1" applyBorder="1"/>
    <xf numFmtId="3" fontId="46" fillId="0" borderId="7" xfId="0" applyNumberFormat="1" applyFont="1" applyBorder="1"/>
    <xf numFmtId="166" fontId="8" fillId="0" borderId="23" xfId="1" applyNumberFormat="1" applyFont="1" applyBorder="1"/>
    <xf numFmtId="3" fontId="2" fillId="0" borderId="7" xfId="0" applyNumberFormat="1" applyFont="1" applyBorder="1"/>
    <xf numFmtId="0" fontId="27" fillId="0" borderId="12" xfId="0" applyFont="1" applyFill="1" applyBorder="1"/>
    <xf numFmtId="0" fontId="2" fillId="0" borderId="1" xfId="0" applyFont="1" applyBorder="1"/>
    <xf numFmtId="3" fontId="2" fillId="0" borderId="1" xfId="1" applyNumberFormat="1" applyFont="1" applyBorder="1" applyAlignment="1"/>
    <xf numFmtId="9" fontId="49" fillId="0" borderId="0" xfId="3" applyFont="1" applyBorder="1" applyAlignment="1">
      <alignment horizontal="center"/>
    </xf>
    <xf numFmtId="9" fontId="49" fillId="0" borderId="33" xfId="3" applyFont="1" applyBorder="1" applyAlignment="1">
      <alignment horizontal="center"/>
    </xf>
    <xf numFmtId="9" fontId="49" fillId="0" borderId="8" xfId="3" applyFont="1" applyBorder="1" applyAlignment="1">
      <alignment horizontal="center"/>
    </xf>
    <xf numFmtId="9" fontId="49" fillId="0" borderId="39" xfId="3" applyFont="1" applyBorder="1" applyAlignment="1">
      <alignment horizontal="center"/>
    </xf>
    <xf numFmtId="9" fontId="29" fillId="0" borderId="8" xfId="3" applyFont="1" applyBorder="1" applyAlignment="1">
      <alignment horizontal="center"/>
    </xf>
    <xf numFmtId="9" fontId="29" fillId="0" borderId="39" xfId="3" applyFont="1" applyBorder="1" applyAlignment="1">
      <alignment horizontal="center"/>
    </xf>
    <xf numFmtId="9" fontId="29" fillId="13" borderId="26" xfId="3" applyFont="1" applyFill="1" applyBorder="1" applyAlignment="1">
      <alignment horizontal="center"/>
    </xf>
    <xf numFmtId="9" fontId="29" fillId="13" borderId="28" xfId="3" applyFont="1" applyFill="1" applyBorder="1" applyAlignment="1">
      <alignment horizontal="center"/>
    </xf>
    <xf numFmtId="9" fontId="49" fillId="0" borderId="16" xfId="3" applyFont="1" applyBorder="1" applyAlignment="1">
      <alignment horizontal="center"/>
    </xf>
    <xf numFmtId="9" fontId="49" fillId="0" borderId="18" xfId="3" applyFont="1" applyBorder="1" applyAlignment="1">
      <alignment horizontal="center"/>
    </xf>
    <xf numFmtId="9" fontId="49" fillId="0" borderId="8" xfId="3" applyFont="1" applyFill="1" applyBorder="1" applyAlignment="1">
      <alignment horizontal="center"/>
    </xf>
    <xf numFmtId="9" fontId="49" fillId="0" borderId="39" xfId="3" applyFont="1" applyFill="1" applyBorder="1" applyAlignment="1">
      <alignment horizontal="center"/>
    </xf>
    <xf numFmtId="9" fontId="29" fillId="0" borderId="8" xfId="3" applyFont="1" applyFill="1" applyBorder="1" applyAlignment="1">
      <alignment horizontal="center"/>
    </xf>
    <xf numFmtId="9" fontId="29" fillId="0" borderId="39" xfId="3" applyFont="1" applyFill="1" applyBorder="1" applyAlignment="1">
      <alignment horizontal="center"/>
    </xf>
    <xf numFmtId="9" fontId="49" fillId="0" borderId="38" xfId="3" applyFont="1" applyBorder="1" applyAlignment="1">
      <alignment horizontal="center"/>
    </xf>
    <xf numFmtId="9" fontId="49" fillId="0" borderId="14" xfId="3" applyFont="1" applyBorder="1" applyAlignment="1">
      <alignment horizontal="center"/>
    </xf>
    <xf numFmtId="9" fontId="49" fillId="0" borderId="33" xfId="3" applyNumberFormat="1" applyFont="1" applyBorder="1" applyAlignment="1">
      <alignment horizontal="center"/>
    </xf>
    <xf numFmtId="9" fontId="49" fillId="0" borderId="17" xfId="3" applyNumberFormat="1" applyFont="1" applyBorder="1" applyAlignment="1">
      <alignment horizontal="center"/>
    </xf>
    <xf numFmtId="9" fontId="19" fillId="0" borderId="33" xfId="0" applyNumberFormat="1" applyFont="1" applyBorder="1" applyAlignment="1">
      <alignment horizontal="center"/>
    </xf>
    <xf numFmtId="9" fontId="19" fillId="0" borderId="14" xfId="0" applyNumberFormat="1" applyFont="1" applyBorder="1" applyAlignment="1">
      <alignment horizontal="center"/>
    </xf>
    <xf numFmtId="9" fontId="19" fillId="0" borderId="18" xfId="0" applyNumberFormat="1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3" fontId="2" fillId="0" borderId="1" xfId="1" applyNumberFormat="1" applyFont="1" applyBorder="1" applyAlignment="1">
      <alignment vertical="center"/>
    </xf>
    <xf numFmtId="3" fontId="2" fillId="0" borderId="0" xfId="0" applyNumberFormat="1" applyFont="1"/>
    <xf numFmtId="3" fontId="4" fillId="0" borderId="1" xfId="1" applyNumberFormat="1" applyFont="1" applyBorder="1" applyAlignment="1">
      <alignment vertical="center"/>
    </xf>
    <xf numFmtId="3" fontId="22" fillId="0" borderId="6" xfId="0" applyNumberFormat="1" applyFont="1" applyBorder="1"/>
    <xf numFmtId="0" fontId="50" fillId="0" borderId="1" xfId="0" applyFont="1" applyBorder="1" applyAlignment="1">
      <alignment wrapText="1"/>
    </xf>
    <xf numFmtId="3" fontId="4" fillId="0" borderId="0" xfId="0" applyNumberFormat="1" applyFont="1" applyBorder="1" applyAlignment="1">
      <alignment horizontal="center"/>
    </xf>
    <xf numFmtId="3" fontId="2" fillId="0" borderId="2" xfId="1" applyNumberFormat="1" applyFont="1" applyBorder="1"/>
    <xf numFmtId="0" fontId="2" fillId="0" borderId="0" xfId="0" applyFont="1" applyAlignment="1">
      <alignment wrapText="1"/>
    </xf>
    <xf numFmtId="0" fontId="8" fillId="4" borderId="1" xfId="0" applyFont="1" applyFill="1" applyBorder="1" applyAlignment="1">
      <alignment wrapText="1"/>
    </xf>
    <xf numFmtId="3" fontId="8" fillId="4" borderId="1" xfId="0" applyNumberFormat="1" applyFont="1" applyFill="1" applyBorder="1" applyAlignment="1"/>
    <xf numFmtId="3" fontId="8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right"/>
    </xf>
    <xf numFmtId="168" fontId="70" fillId="0" borderId="0" xfId="0" applyNumberFormat="1" applyFont="1" applyFill="1" applyBorder="1"/>
    <xf numFmtId="3" fontId="2" fillId="0" borderId="2" xfId="1" applyNumberFormat="1" applyFont="1" applyBorder="1" applyAlignment="1">
      <alignment vertical="center"/>
    </xf>
    <xf numFmtId="166" fontId="2" fillId="0" borderId="0" xfId="1" applyNumberFormat="1" applyFont="1"/>
    <xf numFmtId="3" fontId="8" fillId="4" borderId="1" xfId="1" applyNumberFormat="1" applyFont="1" applyFill="1" applyBorder="1" applyAlignment="1">
      <alignment horizontal="right"/>
    </xf>
    <xf numFmtId="0" fontId="35" fillId="4" borderId="0" xfId="0" applyFont="1" applyFill="1" applyBorder="1" applyAlignment="1">
      <alignment vertical="center"/>
    </xf>
    <xf numFmtId="0" fontId="2" fillId="0" borderId="5" xfId="0" applyFont="1" applyBorder="1" applyAlignment="1">
      <alignment wrapText="1"/>
    </xf>
    <xf numFmtId="3" fontId="8" fillId="0" borderId="5" xfId="1" applyNumberFormat="1" applyFont="1" applyBorder="1"/>
    <xf numFmtId="0" fontId="16" fillId="0" borderId="5" xfId="0" applyFont="1" applyBorder="1" applyAlignment="1">
      <alignment horizontal="center"/>
    </xf>
    <xf numFmtId="3" fontId="3" fillId="0" borderId="0" xfId="0" applyNumberFormat="1" applyFont="1" applyBorder="1" applyAlignment="1"/>
    <xf numFmtId="166" fontId="3" fillId="0" borderId="0" xfId="1" applyNumberFormat="1" applyFont="1"/>
    <xf numFmtId="167" fontId="0" fillId="0" borderId="0" xfId="0" applyNumberFormat="1"/>
    <xf numFmtId="166" fontId="0" fillId="0" borderId="0" xfId="1" applyNumberFormat="1" applyFont="1"/>
    <xf numFmtId="0" fontId="0" fillId="0" borderId="20" xfId="0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73" fillId="7" borderId="1" xfId="0" applyNumberFormat="1" applyFont="1" applyFill="1" applyBorder="1" applyAlignment="1">
      <alignment vertical="center"/>
    </xf>
    <xf numFmtId="3" fontId="74" fillId="7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27" fillId="0" borderId="1" xfId="0" applyNumberFormat="1" applyFont="1" applyBorder="1"/>
    <xf numFmtId="3" fontId="27" fillId="0" borderId="1" xfId="1" applyNumberFormat="1" applyFont="1" applyBorder="1"/>
    <xf numFmtId="0" fontId="3" fillId="0" borderId="1" xfId="0" applyFont="1" applyBorder="1" applyAlignment="1">
      <alignment horizontal="center"/>
    </xf>
    <xf numFmtId="9" fontId="16" fillId="2" borderId="1" xfId="3" applyFont="1" applyFill="1" applyBorder="1" applyAlignment="1">
      <alignment horizontal="center"/>
    </xf>
    <xf numFmtId="9" fontId="3" fillId="0" borderId="1" xfId="3" applyNumberFormat="1" applyFont="1" applyBorder="1" applyAlignment="1">
      <alignment horizontal="center"/>
    </xf>
    <xf numFmtId="9" fontId="16" fillId="0" borderId="1" xfId="3" applyFont="1" applyFill="1" applyBorder="1" applyAlignment="1">
      <alignment horizontal="center"/>
    </xf>
    <xf numFmtId="9" fontId="3" fillId="0" borderId="1" xfId="3" applyFont="1" applyBorder="1" applyAlignment="1">
      <alignment horizontal="center"/>
    </xf>
    <xf numFmtId="9" fontId="16" fillId="0" borderId="1" xfId="3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9" fontId="16" fillId="2" borderId="1" xfId="3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8" fillId="15" borderId="0" xfId="0" applyNumberFormat="1" applyFont="1" applyFill="1" applyAlignment="1">
      <alignment horizontal="center"/>
    </xf>
    <xf numFmtId="9" fontId="3" fillId="0" borderId="1" xfId="3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9" fontId="14" fillId="0" borderId="1" xfId="3" applyFont="1" applyBorder="1" applyAlignment="1">
      <alignment horizontal="center"/>
    </xf>
    <xf numFmtId="9" fontId="16" fillId="5" borderId="1" xfId="3" applyFont="1" applyFill="1" applyBorder="1" applyAlignment="1">
      <alignment horizontal="center"/>
    </xf>
    <xf numFmtId="9" fontId="16" fillId="0" borderId="0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9" fontId="8" fillId="0" borderId="0" xfId="3" applyFont="1" applyAlignment="1">
      <alignment horizontal="center"/>
    </xf>
    <xf numFmtId="9" fontId="8" fillId="15" borderId="0" xfId="3" applyFont="1" applyFill="1" applyAlignment="1">
      <alignment horizontal="center"/>
    </xf>
    <xf numFmtId="9" fontId="3" fillId="0" borderId="0" xfId="3" applyFont="1" applyAlignment="1">
      <alignment horizontal="center"/>
    </xf>
    <xf numFmtId="9" fontId="8" fillId="0" borderId="1" xfId="3" applyFont="1" applyBorder="1" applyAlignment="1">
      <alignment horizontal="center"/>
    </xf>
    <xf numFmtId="9" fontId="16" fillId="0" borderId="10" xfId="3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3" fontId="9" fillId="38" borderId="1" xfId="1" applyNumberFormat="1" applyFont="1" applyFill="1" applyBorder="1"/>
    <xf numFmtId="3" fontId="8" fillId="38" borderId="1" xfId="1" applyNumberFormat="1" applyFont="1" applyFill="1" applyBorder="1" applyAlignment="1">
      <alignment horizontal="center"/>
    </xf>
    <xf numFmtId="3" fontId="8" fillId="38" borderId="2" xfId="1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9" fontId="4" fillId="5" borderId="1" xfId="3" applyFont="1" applyFill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16" fillId="2" borderId="1" xfId="1" applyNumberFormat="1" applyFont="1" applyFill="1" applyBorder="1" applyAlignment="1">
      <alignment horizontal="center"/>
    </xf>
    <xf numFmtId="9" fontId="16" fillId="2" borderId="1" xfId="3" applyNumberFormat="1" applyFont="1" applyFill="1" applyBorder="1" applyAlignment="1">
      <alignment horizontal="center"/>
    </xf>
    <xf numFmtId="9" fontId="16" fillId="0" borderId="1" xfId="1" applyNumberFormat="1" applyFont="1" applyBorder="1" applyAlignment="1">
      <alignment horizontal="center"/>
    </xf>
    <xf numFmtId="9" fontId="16" fillId="4" borderId="1" xfId="3" applyNumberFormat="1" applyFont="1" applyFill="1" applyBorder="1" applyAlignment="1">
      <alignment horizontal="center"/>
    </xf>
    <xf numFmtId="9" fontId="3" fillId="4" borderId="1" xfId="3" applyNumberFormat="1" applyFont="1" applyFill="1" applyBorder="1" applyAlignment="1">
      <alignment horizontal="center"/>
    </xf>
    <xf numFmtId="9" fontId="16" fillId="6" borderId="1" xfId="1" applyNumberFormat="1" applyFont="1" applyFill="1" applyBorder="1" applyAlignment="1">
      <alignment horizontal="center"/>
    </xf>
    <xf numFmtId="9" fontId="16" fillId="6" borderId="1" xfId="3" applyNumberFormat="1" applyFont="1" applyFill="1" applyBorder="1" applyAlignment="1">
      <alignment horizontal="center"/>
    </xf>
    <xf numFmtId="9" fontId="36" fillId="2" borderId="1" xfId="0" applyNumberFormat="1" applyFont="1" applyFill="1" applyBorder="1" applyAlignment="1">
      <alignment horizontal="center"/>
    </xf>
    <xf numFmtId="9" fontId="3" fillId="0" borderId="1" xfId="3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9" fontId="14" fillId="0" borderId="1" xfId="3" applyFont="1" applyFill="1" applyBorder="1" applyAlignment="1">
      <alignment horizontal="center"/>
    </xf>
    <xf numFmtId="9" fontId="14" fillId="2" borderId="1" xfId="3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9" fontId="33" fillId="8" borderId="1" xfId="3" applyFont="1" applyFill="1" applyBorder="1" applyAlignment="1">
      <alignment horizontal="center" vertical="center"/>
    </xf>
    <xf numFmtId="9" fontId="29" fillId="0" borderId="1" xfId="3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9" fontId="4" fillId="2" borderId="1" xfId="3" applyFont="1" applyFill="1" applyBorder="1" applyAlignment="1">
      <alignment horizontal="center"/>
    </xf>
    <xf numFmtId="9" fontId="4" fillId="8" borderId="1" xfId="3" applyFont="1" applyFill="1" applyBorder="1" applyAlignment="1">
      <alignment horizontal="center" vertical="center"/>
    </xf>
    <xf numFmtId="9" fontId="15" fillId="8" borderId="1" xfId="3" applyFont="1" applyFill="1" applyBorder="1" applyAlignment="1">
      <alignment horizontal="center" vertical="center"/>
    </xf>
    <xf numFmtId="9" fontId="15" fillId="0" borderId="1" xfId="3" applyFont="1" applyFill="1" applyBorder="1" applyAlignment="1">
      <alignment horizontal="center"/>
    </xf>
    <xf numFmtId="9" fontId="9" fillId="0" borderId="1" xfId="3" applyFont="1" applyBorder="1" applyAlignment="1">
      <alignment horizontal="center"/>
    </xf>
    <xf numFmtId="9" fontId="5" fillId="2" borderId="1" xfId="3" applyFont="1" applyFill="1" applyBorder="1" applyAlignment="1">
      <alignment horizontal="center"/>
    </xf>
    <xf numFmtId="9" fontId="9" fillId="5" borderId="1" xfId="3" applyFont="1" applyFill="1" applyBorder="1" applyAlignment="1">
      <alignment horizontal="center"/>
    </xf>
    <xf numFmtId="9" fontId="19" fillId="0" borderId="0" xfId="3" applyFont="1" applyBorder="1" applyAlignment="1">
      <alignment horizontal="center"/>
    </xf>
    <xf numFmtId="9" fontId="19" fillId="0" borderId="0" xfId="3" applyFont="1" applyAlignment="1">
      <alignment horizontal="center"/>
    </xf>
    <xf numFmtId="9" fontId="8" fillId="0" borderId="0" xfId="3" applyFont="1" applyBorder="1" applyAlignment="1">
      <alignment horizontal="center"/>
    </xf>
    <xf numFmtId="9" fontId="41" fillId="0" borderId="0" xfId="3" applyFont="1" applyBorder="1" applyAlignment="1">
      <alignment horizontal="center"/>
    </xf>
    <xf numFmtId="9" fontId="19" fillId="10" borderId="0" xfId="3" applyFont="1" applyFill="1" applyBorder="1" applyAlignment="1">
      <alignment horizontal="center"/>
    </xf>
    <xf numFmtId="9" fontId="19" fillId="10" borderId="0" xfId="3" applyFont="1" applyFill="1" applyAlignment="1">
      <alignment horizontal="center"/>
    </xf>
    <xf numFmtId="9" fontId="8" fillId="10" borderId="0" xfId="3" applyFont="1" applyFill="1" applyAlignment="1">
      <alignment horizontal="center"/>
    </xf>
    <xf numFmtId="9" fontId="8" fillId="10" borderId="0" xfId="3" applyFont="1" applyFill="1" applyBorder="1" applyAlignment="1">
      <alignment horizontal="center"/>
    </xf>
    <xf numFmtId="9" fontId="0" fillId="0" borderId="0" xfId="3" applyFont="1" applyAlignment="1">
      <alignment horizontal="center"/>
    </xf>
    <xf numFmtId="9" fontId="43" fillId="0" borderId="0" xfId="3" applyFont="1" applyBorder="1" applyAlignment="1">
      <alignment horizontal="center"/>
    </xf>
    <xf numFmtId="9" fontId="43" fillId="0" borderId="0" xfId="3" applyFont="1" applyAlignment="1">
      <alignment horizontal="center"/>
    </xf>
    <xf numFmtId="9" fontId="8" fillId="11" borderId="8" xfId="3" applyFont="1" applyFill="1" applyBorder="1" applyAlignment="1">
      <alignment horizontal="center"/>
    </xf>
    <xf numFmtId="9" fontId="14" fillId="5" borderId="1" xfId="3" applyFont="1" applyFill="1" applyBorder="1"/>
    <xf numFmtId="9" fontId="19" fillId="0" borderId="1" xfId="3" applyFont="1" applyFill="1" applyBorder="1" applyAlignment="1">
      <alignment horizontal="center"/>
    </xf>
    <xf numFmtId="9" fontId="75" fillId="7" borderId="1" xfId="3" applyFont="1" applyFill="1" applyBorder="1" applyAlignment="1">
      <alignment horizontal="center" vertical="center"/>
    </xf>
    <xf numFmtId="9" fontId="14" fillId="5" borderId="1" xfId="3" applyFont="1" applyFill="1" applyBorder="1" applyAlignment="1">
      <alignment horizontal="center"/>
    </xf>
    <xf numFmtId="3" fontId="73" fillId="7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4" fillId="5" borderId="1" xfId="1" applyNumberFormat="1" applyFont="1" applyFill="1" applyBorder="1" applyAlignment="1">
      <alignment horizontal="center"/>
    </xf>
    <xf numFmtId="3" fontId="8" fillId="4" borderId="1" xfId="1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9" fontId="8" fillId="0" borderId="1" xfId="3" applyFont="1" applyFill="1" applyBorder="1" applyAlignment="1">
      <alignment horizontal="center"/>
    </xf>
    <xf numFmtId="167" fontId="8" fillId="0" borderId="1" xfId="1" applyNumberFormat="1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7" fontId="8" fillId="9" borderId="1" xfId="1" applyNumberFormat="1" applyFont="1" applyFill="1" applyBorder="1" applyAlignment="1">
      <alignment horizontal="center"/>
    </xf>
    <xf numFmtId="9" fontId="8" fillId="4" borderId="1" xfId="3" applyFont="1" applyFill="1" applyBorder="1" applyAlignment="1">
      <alignment horizontal="center"/>
    </xf>
    <xf numFmtId="167" fontId="8" fillId="4" borderId="1" xfId="1" applyNumberFormat="1" applyFont="1" applyFill="1" applyBorder="1" applyAlignment="1">
      <alignment horizontal="center"/>
    </xf>
    <xf numFmtId="167" fontId="4" fillId="2" borderId="1" xfId="1" applyNumberFormat="1" applyFont="1" applyFill="1" applyBorder="1" applyAlignment="1">
      <alignment horizontal="center"/>
    </xf>
    <xf numFmtId="9" fontId="28" fillId="9" borderId="1" xfId="3" applyFont="1" applyFill="1" applyBorder="1" applyAlignment="1">
      <alignment horizontal="center"/>
    </xf>
    <xf numFmtId="167" fontId="8" fillId="0" borderId="8" xfId="1" applyNumberFormat="1" applyFont="1" applyFill="1" applyBorder="1" applyAlignment="1">
      <alignment horizontal="center"/>
    </xf>
    <xf numFmtId="167" fontId="4" fillId="0" borderId="8" xfId="1" applyNumberFormat="1" applyFont="1" applyFill="1" applyBorder="1" applyAlignment="1">
      <alignment horizontal="center"/>
    </xf>
    <xf numFmtId="9" fontId="28" fillId="0" borderId="1" xfId="3" applyFont="1" applyFill="1" applyBorder="1" applyAlignment="1">
      <alignment horizontal="center"/>
    </xf>
    <xf numFmtId="167" fontId="28" fillId="0" borderId="8" xfId="1" applyNumberFormat="1" applyFont="1" applyFill="1" applyBorder="1" applyAlignment="1">
      <alignment horizontal="center"/>
    </xf>
    <xf numFmtId="3" fontId="47" fillId="12" borderId="0" xfId="0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9" fontId="4" fillId="8" borderId="0" xfId="1" applyNumberFormat="1" applyFont="1" applyFill="1" applyBorder="1" applyAlignment="1">
      <alignment horizontal="center" vertical="center"/>
    </xf>
    <xf numFmtId="9" fontId="33" fillId="8" borderId="0" xfId="3" applyFont="1" applyFill="1" applyBorder="1" applyAlignment="1">
      <alignment horizontal="center" vertical="center"/>
    </xf>
    <xf numFmtId="9" fontId="33" fillId="8" borderId="3" xfId="3" applyFont="1" applyFill="1" applyBorder="1" applyAlignment="1">
      <alignment horizontal="center" vertical="center"/>
    </xf>
    <xf numFmtId="9" fontId="8" fillId="0" borderId="3" xfId="3" applyFont="1" applyBorder="1" applyAlignment="1">
      <alignment horizontal="center"/>
    </xf>
    <xf numFmtId="9" fontId="47" fillId="12" borderId="0" xfId="3" applyFont="1" applyFill="1" applyBorder="1" applyAlignment="1">
      <alignment horizontal="center"/>
    </xf>
    <xf numFmtId="9" fontId="47" fillId="12" borderId="3" xfId="3" applyFont="1" applyFill="1" applyBorder="1" applyAlignment="1">
      <alignment horizontal="center"/>
    </xf>
    <xf numFmtId="9" fontId="4" fillId="11" borderId="0" xfId="3" applyFont="1" applyFill="1" applyBorder="1" applyAlignment="1">
      <alignment horizontal="center"/>
    </xf>
    <xf numFmtId="9" fontId="4" fillId="11" borderId="3" xfId="3" applyFont="1" applyFill="1" applyBorder="1" applyAlignment="1">
      <alignment horizontal="center"/>
    </xf>
    <xf numFmtId="9" fontId="8" fillId="0" borderId="5" xfId="3" applyFont="1" applyBorder="1" applyAlignment="1">
      <alignment horizontal="center"/>
    </xf>
    <xf numFmtId="9" fontId="8" fillId="0" borderId="23" xfId="3" applyFont="1" applyBorder="1" applyAlignment="1">
      <alignment horizontal="center"/>
    </xf>
    <xf numFmtId="9" fontId="14" fillId="0" borderId="0" xfId="3" applyFont="1" applyFill="1" applyBorder="1" applyAlignment="1">
      <alignment horizontal="center"/>
    </xf>
    <xf numFmtId="9" fontId="14" fillId="0" borderId="3" xfId="3" applyFont="1" applyFill="1" applyBorder="1" applyAlignment="1">
      <alignment horizontal="center"/>
    </xf>
    <xf numFmtId="9" fontId="3" fillId="2" borderId="1" xfId="3" applyFont="1" applyFill="1" applyBorder="1" applyAlignment="1">
      <alignment horizontal="center"/>
    </xf>
    <xf numFmtId="0" fontId="5" fillId="5" borderId="1" xfId="0" applyFont="1" applyFill="1" applyBorder="1"/>
    <xf numFmtId="167" fontId="5" fillId="5" borderId="1" xfId="1" applyNumberFormat="1" applyFont="1" applyFill="1" applyBorder="1"/>
    <xf numFmtId="167" fontId="5" fillId="5" borderId="1" xfId="1" applyNumberFormat="1" applyFont="1" applyFill="1" applyBorder="1" applyAlignment="1">
      <alignment horizontal="center"/>
    </xf>
    <xf numFmtId="3" fontId="5" fillId="39" borderId="1" xfId="0" applyNumberFormat="1" applyFont="1" applyFill="1" applyBorder="1"/>
    <xf numFmtId="3" fontId="4" fillId="39" borderId="1" xfId="0" applyNumberFormat="1" applyFont="1" applyFill="1" applyBorder="1" applyAlignment="1">
      <alignment horizontal="center"/>
    </xf>
    <xf numFmtId="3" fontId="4" fillId="39" borderId="2" xfId="0" applyNumberFormat="1" applyFont="1" applyFill="1" applyBorder="1" applyAlignment="1">
      <alignment horizontal="center"/>
    </xf>
    <xf numFmtId="0" fontId="0" fillId="39" borderId="8" xfId="0" applyFill="1" applyBorder="1" applyAlignment="1">
      <alignment horizontal="center"/>
    </xf>
    <xf numFmtId="0" fontId="0" fillId="39" borderId="9" xfId="0" applyFill="1" applyBorder="1" applyAlignment="1">
      <alignment horizontal="center"/>
    </xf>
    <xf numFmtId="3" fontId="76" fillId="2" borderId="1" xfId="0" applyNumberFormat="1" applyFont="1" applyFill="1" applyBorder="1" applyAlignment="1">
      <alignment horizontal="center"/>
    </xf>
    <xf numFmtId="9" fontId="19" fillId="0" borderId="1" xfId="3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49" fontId="8" fillId="0" borderId="0" xfId="0" applyNumberFormat="1" applyFont="1"/>
    <xf numFmtId="3" fontId="70" fillId="0" borderId="0" xfId="0" applyNumberFormat="1" applyFont="1" applyFill="1" applyBorder="1"/>
    <xf numFmtId="0" fontId="19" fillId="4" borderId="1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/>
    <xf numFmtId="0" fontId="38" fillId="0" borderId="0" xfId="0" applyFont="1" applyAlignment="1"/>
    <xf numFmtId="3" fontId="70" fillId="0" borderId="1" xfId="0" applyNumberFormat="1" applyFont="1" applyFill="1" applyBorder="1"/>
    <xf numFmtId="0" fontId="77" fillId="0" borderId="0" xfId="0" applyFont="1" applyBorder="1" applyAlignment="1"/>
    <xf numFmtId="0" fontId="2" fillId="4" borderId="1" xfId="0" applyFont="1" applyFill="1" applyBorder="1" applyAlignment="1">
      <alignment wrapText="1"/>
    </xf>
    <xf numFmtId="3" fontId="2" fillId="0" borderId="2" xfId="0" applyNumberFormat="1" applyFont="1" applyBorder="1"/>
    <xf numFmtId="3" fontId="2" fillId="0" borderId="1" xfId="1" applyNumberFormat="1" applyFont="1" applyBorder="1" applyAlignment="1">
      <alignment horizontal="right"/>
    </xf>
    <xf numFmtId="3" fontId="2" fillId="0" borderId="10" xfId="1" applyNumberFormat="1" applyFont="1" applyBorder="1" applyAlignment="1">
      <alignment horizontal="right"/>
    </xf>
    <xf numFmtId="3" fontId="2" fillId="4" borderId="1" xfId="1" applyNumberFormat="1" applyFont="1" applyFill="1" applyBorder="1" applyAlignment="1"/>
    <xf numFmtId="0" fontId="8" fillId="4" borderId="1" xfId="0" applyFont="1" applyFill="1" applyBorder="1"/>
    <xf numFmtId="3" fontId="8" fillId="4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3" fontId="8" fillId="0" borderId="1" xfId="0" applyNumberFormat="1" applyFont="1" applyFill="1" applyBorder="1"/>
    <xf numFmtId="0" fontId="38" fillId="0" borderId="0" xfId="0" applyFont="1" applyAlignment="1"/>
    <xf numFmtId="3" fontId="4" fillId="4" borderId="1" xfId="0" applyNumberFormat="1" applyFont="1" applyFill="1" applyBorder="1"/>
    <xf numFmtId="167" fontId="2" fillId="0" borderId="0" xfId="0" applyNumberFormat="1" applyFont="1"/>
    <xf numFmtId="166" fontId="8" fillId="0" borderId="2" xfId="1" applyNumberFormat="1" applyFont="1" applyBorder="1"/>
    <xf numFmtId="167" fontId="9" fillId="0" borderId="2" xfId="1" applyNumberFormat="1" applyFont="1" applyBorder="1"/>
    <xf numFmtId="3" fontId="32" fillId="0" borderId="19" xfId="0" applyNumberFormat="1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/>
    <xf numFmtId="0" fontId="20" fillId="0" borderId="21" xfId="0" applyFont="1" applyBorder="1" applyAlignment="1"/>
    <xf numFmtId="3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0" borderId="29" xfId="0" applyNumberFormat="1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5" xfId="0" applyFont="1" applyBorder="1" applyAlignment="1"/>
    <xf numFmtId="0" fontId="20" fillId="0" borderId="30" xfId="0" applyFont="1" applyBorder="1" applyAlignment="1"/>
    <xf numFmtId="3" fontId="4" fillId="0" borderId="4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25" fillId="9" borderId="10" xfId="0" applyFont="1" applyFill="1" applyBorder="1" applyAlignment="1">
      <alignment horizontal="center" vertical="center" textRotation="90" wrapText="1"/>
    </xf>
    <xf numFmtId="0" fontId="0" fillId="9" borderId="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6" xfId="0" applyFill="1" applyBorder="1" applyAlignment="1"/>
    <xf numFmtId="0" fontId="0" fillId="9" borderId="22" xfId="0" applyFill="1" applyBorder="1" applyAlignment="1"/>
    <xf numFmtId="0" fontId="35" fillId="0" borderId="7" xfId="0" applyFont="1" applyBorder="1" applyAlignment="1"/>
    <xf numFmtId="0" fontId="38" fillId="0" borderId="0" xfId="0" applyFont="1" applyAlignment="1"/>
    <xf numFmtId="3" fontId="32" fillId="0" borderId="2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3" fontId="32" fillId="0" borderId="4" xfId="0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20" fillId="0" borderId="5" xfId="0" applyFont="1" applyFill="1" applyBorder="1" applyAlignment="1"/>
    <xf numFmtId="0" fontId="20" fillId="0" borderId="23" xfId="0" applyFont="1" applyFill="1" applyBorder="1" applyAlignment="1"/>
    <xf numFmtId="3" fontId="4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32" fillId="0" borderId="2" xfId="0" applyNumberFormat="1" applyFont="1" applyFill="1" applyBorder="1" applyAlignment="1">
      <alignment horizontal="center"/>
    </xf>
    <xf numFmtId="0" fontId="20" fillId="0" borderId="8" xfId="0" applyFont="1" applyBorder="1" applyAlignment="1"/>
    <xf numFmtId="0" fontId="20" fillId="0" borderId="9" xfId="0" applyFont="1" applyBorder="1" applyAlignment="1"/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9" fontId="4" fillId="0" borderId="2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9" fontId="0" fillId="0" borderId="9" xfId="3" applyFont="1" applyBorder="1" applyAlignment="1">
      <alignment horizontal="center"/>
    </xf>
    <xf numFmtId="3" fontId="32" fillId="0" borderId="8" xfId="0" applyNumberFormat="1" applyFont="1" applyFill="1" applyBorder="1" applyAlignment="1">
      <alignment horizontal="center"/>
    </xf>
    <xf numFmtId="3" fontId="32" fillId="0" borderId="9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</cellXfs>
  <cellStyles count="57">
    <cellStyle name="1. jelölőszín 2" xfId="4"/>
    <cellStyle name="2. jelölőszín 2" xfId="5"/>
    <cellStyle name="20% - 1. jelölőszín 2" xfId="6"/>
    <cellStyle name="20% - 2. jelölőszín 2" xfId="7"/>
    <cellStyle name="20% - 3. jelölőszín 2" xfId="8"/>
    <cellStyle name="20% - 4. jelölőszín 2" xfId="9"/>
    <cellStyle name="20% - 5. jelölőszín 2" xfId="10"/>
    <cellStyle name="20% - 6. jelölőszín 2" xfId="11"/>
    <cellStyle name="3. jelölőszín 2" xfId="12"/>
    <cellStyle name="4. jelölőszín 2" xfId="13"/>
    <cellStyle name="40% - 1. jelölőszín 2" xfId="14"/>
    <cellStyle name="40% - 2. jelölőszín 2" xfId="15"/>
    <cellStyle name="40% - 3. jelölőszín 2" xfId="16"/>
    <cellStyle name="40% - 4. jelölőszín 2" xfId="17"/>
    <cellStyle name="40% - 5. jelölőszín 2" xfId="18"/>
    <cellStyle name="40% - 6. jelölőszín 2" xfId="19"/>
    <cellStyle name="5. jelölőszín 2" xfId="20"/>
    <cellStyle name="6. jelölőszín 2" xfId="21"/>
    <cellStyle name="60% - 1. jelölőszín 2" xfId="22"/>
    <cellStyle name="60% - 2. jelölőszín 2" xfId="23"/>
    <cellStyle name="60% - 3. jelölőszín 2" xfId="24"/>
    <cellStyle name="60% - 4. jelölőszín 2" xfId="25"/>
    <cellStyle name="60% - 5. jelölőszín 2" xfId="26"/>
    <cellStyle name="60% - 6. jelölőszín 2" xfId="27"/>
    <cellStyle name="Bevitel 2" xfId="28"/>
    <cellStyle name="Cím 2" xfId="29"/>
    <cellStyle name="Címsor 1 2" xfId="30"/>
    <cellStyle name="Címsor 2 2" xfId="31"/>
    <cellStyle name="Címsor 3 2" xfId="32"/>
    <cellStyle name="Címsor 4 2" xfId="33"/>
    <cellStyle name="Ellenőrzőcella 2" xfId="34"/>
    <cellStyle name="Excel Built-in Normal 1" xfId="55"/>
    <cellStyle name="Ezres" xfId="1" builtinId="3"/>
    <cellStyle name="Ezres 2" xfId="35"/>
    <cellStyle name="Ezres 3" xfId="54"/>
    <cellStyle name="Figyelmeztetés 2" xfId="36"/>
    <cellStyle name="Hivatkozott cella 2" xfId="37"/>
    <cellStyle name="Jegyzet 2" xfId="38"/>
    <cellStyle name="Jelölőszín (1)" xfId="39"/>
    <cellStyle name="Jelölőszín (2)" xfId="40"/>
    <cellStyle name="Jelölőszín (3)" xfId="41"/>
    <cellStyle name="Jelölőszín (4)" xfId="42"/>
    <cellStyle name="Jelölőszín (5)" xfId="43"/>
    <cellStyle name="Jelölőszín (6)" xfId="44"/>
    <cellStyle name="Jó 2" xfId="45"/>
    <cellStyle name="Kimenet 2" xfId="46"/>
    <cellStyle name="Magyarázó szöveg 2" xfId="47"/>
    <cellStyle name="Normál" xfId="0" builtinId="0"/>
    <cellStyle name="Normál 2" xfId="2"/>
    <cellStyle name="Normál 2 2" xfId="48"/>
    <cellStyle name="Normál 3" xfId="53"/>
    <cellStyle name="Normal_KTRSZJ" xfId="56"/>
    <cellStyle name="Összesen 2" xfId="49"/>
    <cellStyle name="Rossz 2" xfId="50"/>
    <cellStyle name="Semleges 2" xfId="51"/>
    <cellStyle name="Számítás 2" xfId="52"/>
    <cellStyle name="Százalék" xfId="3" builtinId="5"/>
  </cellStyles>
  <dxfs count="0"/>
  <tableStyles count="0" defaultTableStyle="TableStyleMedium2" defaultPivotStyle="PivotStyleLight16"/>
  <colors>
    <mruColors>
      <color rgb="FFFF5050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tabSelected="1" view="pageBreakPreview" zoomScale="70" zoomScaleNormal="75" zoomScaleSheetLayoutView="70" workbookViewId="0">
      <selection activeCell="P13" sqref="P13:Q13"/>
    </sheetView>
  </sheetViews>
  <sheetFormatPr defaultRowHeight="13.2" x14ac:dyDescent="0.25"/>
  <cols>
    <col min="1" max="1" width="6.44140625" style="22" bestFit="1" customWidth="1"/>
    <col min="2" max="2" width="41.44140625" style="22" customWidth="1"/>
    <col min="3" max="3" width="15.5546875" style="22" customWidth="1"/>
    <col min="4" max="6" width="15.5546875" style="23" customWidth="1"/>
    <col min="7" max="7" width="0.6640625" style="23" customWidth="1"/>
    <col min="8" max="8" width="15.5546875" style="22" customWidth="1"/>
    <col min="9" max="10" width="15.5546875" style="23" customWidth="1"/>
    <col min="11" max="11" width="0.6640625" style="23" customWidth="1"/>
    <col min="12" max="12" width="14.21875" style="22" customWidth="1"/>
    <col min="13" max="14" width="15.21875" style="22" bestFit="1" customWidth="1"/>
    <col min="15" max="15" width="0.6640625" style="23" customWidth="1"/>
    <col min="16" max="18" width="14.5546875" style="22" customWidth="1"/>
    <col min="19" max="19" width="15.5546875" style="22" customWidth="1"/>
    <col min="20" max="20" width="10.5546875" style="22" customWidth="1"/>
    <col min="21" max="21" width="0.6640625" style="23" customWidth="1"/>
    <col min="22" max="22" width="4.6640625" customWidth="1"/>
  </cols>
  <sheetData>
    <row r="1" spans="1:27" ht="24.6" x14ac:dyDescent="0.4">
      <c r="A1" s="228" t="s">
        <v>439</v>
      </c>
      <c r="B1" s="227"/>
      <c r="C1" s="227"/>
      <c r="D1" s="227"/>
      <c r="E1" s="227"/>
      <c r="F1" s="342"/>
      <c r="G1" s="226"/>
      <c r="H1" s="225"/>
      <c r="I1" s="225"/>
      <c r="J1" s="224" t="str">
        <f>+'1. Sülysáp összesen'!J1</f>
        <v>2021. ÉVI KÖLTSÉGVETÉS MÓDOSÍTÁSA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ht="21" hidden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25"/>
    </row>
    <row r="3" spans="1:27" ht="21" hidden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225"/>
    </row>
    <row r="4" spans="1:27" x14ac:dyDescent="0.25">
      <c r="A4" s="46"/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6"/>
      <c r="U4"/>
    </row>
    <row r="5" spans="1:27" ht="14.1" hidden="1" customHeight="1" x14ac:dyDescent="0.25">
      <c r="A5" s="46"/>
      <c r="B5" s="46"/>
      <c r="C5" s="343"/>
      <c r="D5" s="343"/>
      <c r="E5" s="343"/>
      <c r="F5" s="343"/>
      <c r="G5" s="343"/>
      <c r="H5" s="344"/>
      <c r="I5" s="344"/>
      <c r="J5" s="344"/>
      <c r="K5" s="343"/>
      <c r="L5" s="345"/>
      <c r="M5" s="36"/>
      <c r="N5" s="36"/>
      <c r="O5" s="343"/>
      <c r="P5" s="344"/>
      <c r="Q5" s="344"/>
      <c r="R5" s="344"/>
      <c r="S5" s="344"/>
      <c r="T5" s="36"/>
      <c r="U5" s="267"/>
    </row>
    <row r="6" spans="1:27" ht="14.1" hidden="1" customHeight="1" x14ac:dyDescent="0.25">
      <c r="A6" s="46"/>
      <c r="B6" s="46"/>
      <c r="C6" s="343"/>
      <c r="D6" s="343"/>
      <c r="E6" s="343"/>
      <c r="F6" s="343"/>
      <c r="G6" s="343"/>
      <c r="H6" s="344"/>
      <c r="I6" s="344"/>
      <c r="J6" s="344"/>
      <c r="K6" s="343"/>
      <c r="L6" s="345"/>
      <c r="M6" s="36"/>
      <c r="N6" s="36"/>
      <c r="O6" s="343"/>
      <c r="P6" s="344"/>
      <c r="Q6" s="344"/>
      <c r="R6" s="344"/>
      <c r="S6" s="344"/>
      <c r="T6" s="36"/>
      <c r="U6" s="267"/>
    </row>
    <row r="7" spans="1:27" ht="15.6" x14ac:dyDescent="0.3">
      <c r="A7" s="46"/>
      <c r="B7" s="46"/>
      <c r="C7" s="733" t="s">
        <v>401</v>
      </c>
      <c r="D7" s="734"/>
      <c r="E7" s="734"/>
      <c r="F7" s="735"/>
      <c r="G7" s="346"/>
      <c r="H7" s="733" t="s">
        <v>400</v>
      </c>
      <c r="I7" s="736"/>
      <c r="J7" s="736"/>
      <c r="K7" s="736"/>
      <c r="L7" s="736"/>
      <c r="M7" s="736"/>
      <c r="N7" s="737"/>
      <c r="O7" s="346"/>
      <c r="P7" s="733" t="s">
        <v>397</v>
      </c>
      <c r="Q7" s="734"/>
      <c r="R7" s="734"/>
      <c r="S7" s="734"/>
      <c r="T7" s="735"/>
      <c r="U7"/>
    </row>
    <row r="8" spans="1:27" ht="13.8" x14ac:dyDescent="0.25">
      <c r="A8" s="46"/>
      <c r="B8" s="46"/>
      <c r="C8" s="517"/>
      <c r="D8" s="464"/>
      <c r="E8" s="464"/>
      <c r="F8" s="489"/>
      <c r="G8" s="343"/>
      <c r="H8" s="738" t="s">
        <v>413</v>
      </c>
      <c r="I8" s="739"/>
      <c r="J8" s="739"/>
      <c r="K8" s="463"/>
      <c r="L8" s="740" t="s">
        <v>412</v>
      </c>
      <c r="M8" s="739"/>
      <c r="N8" s="741"/>
      <c r="O8" s="343"/>
      <c r="P8" s="488">
        <f>+'1. Sülysáp összesen'!P8</f>
        <v>1</v>
      </c>
      <c r="Q8" s="347">
        <f>+' 2. Önk. Bevételek'!Q8</f>
        <v>1</v>
      </c>
      <c r="R8" s="347">
        <f>+'1. Sülysáp összesen'!R8</f>
        <v>0</v>
      </c>
      <c r="S8" s="464"/>
      <c r="T8" s="489"/>
      <c r="U8"/>
    </row>
    <row r="9" spans="1:27" ht="20.100000000000001" customHeight="1" x14ac:dyDescent="0.25">
      <c r="A9" s="348"/>
      <c r="B9" s="349" t="s">
        <v>371</v>
      </c>
      <c r="C9" s="490">
        <f>+C23</f>
        <v>1522303964</v>
      </c>
      <c r="D9" s="350">
        <f t="shared" ref="D9:J9" si="0">+D23</f>
        <v>1543459351</v>
      </c>
      <c r="E9" s="350">
        <f t="shared" si="0"/>
        <v>1564659351</v>
      </c>
      <c r="F9" s="518">
        <f t="shared" si="0"/>
        <v>1527780478</v>
      </c>
      <c r="G9" s="350"/>
      <c r="H9" s="490">
        <f t="shared" si="0"/>
        <v>699241699</v>
      </c>
      <c r="I9" s="350">
        <f t="shared" si="0"/>
        <v>982441166</v>
      </c>
      <c r="J9" s="350">
        <f t="shared" si="0"/>
        <v>1457576860</v>
      </c>
      <c r="K9" s="351"/>
      <c r="L9" s="352">
        <f>H9/C9</f>
        <v>0.45933119504115016</v>
      </c>
      <c r="M9" s="353">
        <f>I9/D9</f>
        <v>0.63651897626165599</v>
      </c>
      <c r="N9" s="491">
        <f>+J9/E9</f>
        <v>0.93156178632009468</v>
      </c>
      <c r="O9" s="351"/>
      <c r="P9" s="490">
        <f>IF(D9&gt;0,+D9-C9,0)</f>
        <v>21155387</v>
      </c>
      <c r="Q9" s="350">
        <f>IF(E9&gt;0,+E9-D9,0)</f>
        <v>21200000</v>
      </c>
      <c r="R9" s="350">
        <f>IF(F9&gt;0,+F9-E9,0)</f>
        <v>-36878873</v>
      </c>
      <c r="S9" s="350">
        <f>SUM(P9:R9)</f>
        <v>5476514</v>
      </c>
      <c r="T9" s="491">
        <f>+S9/C9</f>
        <v>3.5975167440344389E-3</v>
      </c>
      <c r="U9" s="248"/>
      <c r="V9" s="232">
        <f>+S9-E9+C9</f>
        <v>-36878873</v>
      </c>
    </row>
    <row r="10" spans="1:27" ht="13.8" x14ac:dyDescent="0.25">
      <c r="A10" s="354"/>
      <c r="B10" s="355"/>
      <c r="C10" s="492"/>
      <c r="D10" s="343"/>
      <c r="E10" s="343"/>
      <c r="F10" s="519"/>
      <c r="G10" s="343"/>
      <c r="H10" s="492"/>
      <c r="I10" s="343"/>
      <c r="J10" s="343"/>
      <c r="K10" s="343"/>
      <c r="L10" s="356"/>
      <c r="M10" s="357"/>
      <c r="N10" s="493"/>
      <c r="O10" s="343"/>
      <c r="P10" s="492"/>
      <c r="Q10" s="343"/>
      <c r="R10" s="343"/>
      <c r="S10" s="343"/>
      <c r="T10" s="493"/>
      <c r="U10" s="240"/>
      <c r="V10" s="241"/>
    </row>
    <row r="11" spans="1:27" s="1" customFormat="1" ht="64.5" customHeight="1" x14ac:dyDescent="0.25">
      <c r="A11" s="27" t="s">
        <v>481</v>
      </c>
      <c r="B11" s="27" t="s">
        <v>364</v>
      </c>
      <c r="C11" s="520" t="s">
        <v>485</v>
      </c>
      <c r="D11" s="358" t="s">
        <v>486</v>
      </c>
      <c r="E11" s="358" t="s">
        <v>487</v>
      </c>
      <c r="F11" s="521" t="s">
        <v>488</v>
      </c>
      <c r="G11" s="358"/>
      <c r="H11" s="494" t="s">
        <v>498</v>
      </c>
      <c r="I11" s="359" t="s">
        <v>499</v>
      </c>
      <c r="J11" s="359" t="s">
        <v>500</v>
      </c>
      <c r="K11" s="358"/>
      <c r="L11" s="360" t="s">
        <v>501</v>
      </c>
      <c r="M11" s="360" t="s">
        <v>502</v>
      </c>
      <c r="N11" s="495" t="s">
        <v>503</v>
      </c>
      <c r="O11" s="358"/>
      <c r="P11" s="494" t="s">
        <v>495</v>
      </c>
      <c r="Q11" s="359" t="s">
        <v>496</v>
      </c>
      <c r="R11" s="359" t="s">
        <v>497</v>
      </c>
      <c r="S11" s="359" t="s">
        <v>398</v>
      </c>
      <c r="T11" s="495" t="s">
        <v>399</v>
      </c>
      <c r="U11" s="341"/>
      <c r="V11" s="132" t="s">
        <v>403</v>
      </c>
    </row>
    <row r="12" spans="1:27" x14ac:dyDescent="0.25">
      <c r="A12" s="361"/>
      <c r="B12" s="47"/>
      <c r="C12" s="522"/>
      <c r="D12" s="362"/>
      <c r="E12" s="362"/>
      <c r="F12" s="523"/>
      <c r="G12" s="362"/>
      <c r="H12" s="496"/>
      <c r="I12" s="342"/>
      <c r="J12" s="342"/>
      <c r="K12" s="362"/>
      <c r="L12" s="356"/>
      <c r="M12" s="363"/>
      <c r="N12" s="509"/>
      <c r="O12" s="362"/>
      <c r="P12" s="496"/>
      <c r="Q12" s="342"/>
      <c r="R12" s="342"/>
      <c r="S12" s="342"/>
      <c r="T12" s="497"/>
      <c r="U12" s="366"/>
      <c r="V12" s="195"/>
    </row>
    <row r="13" spans="1:27" x14ac:dyDescent="0.25">
      <c r="A13" s="34" t="s">
        <v>0</v>
      </c>
      <c r="B13" s="514" t="s">
        <v>3</v>
      </c>
      <c r="C13" s="160">
        <f>+C37</f>
        <v>509884000</v>
      </c>
      <c r="D13" s="160">
        <f t="shared" ref="D13:E13" si="1">+D37</f>
        <v>510446635</v>
      </c>
      <c r="E13" s="160">
        <f t="shared" si="1"/>
        <v>510815245</v>
      </c>
      <c r="F13" s="160">
        <f t="shared" ref="F13:J13" si="2">+F37</f>
        <v>508730334</v>
      </c>
      <c r="G13" s="506"/>
      <c r="H13" s="160">
        <f t="shared" si="2"/>
        <v>248517433</v>
      </c>
      <c r="I13" s="160">
        <f t="shared" si="2"/>
        <v>373972503</v>
      </c>
      <c r="J13" s="160">
        <f t="shared" si="2"/>
        <v>503830010</v>
      </c>
      <c r="K13" s="160"/>
      <c r="L13" s="35">
        <f t="shared" ref="L13:N19" si="3">H13/D13</f>
        <v>0.48686271190719083</v>
      </c>
      <c r="M13" s="35">
        <f t="shared" si="3"/>
        <v>0.73210912685270391</v>
      </c>
      <c r="N13" s="35">
        <f t="shared" si="3"/>
        <v>0.99036754116572889</v>
      </c>
      <c r="O13" s="506"/>
      <c r="P13" s="175">
        <f t="shared" ref="P13:R21" si="4">+(D13-C13)*P$8</f>
        <v>562635</v>
      </c>
      <c r="Q13" s="175">
        <f t="shared" si="4"/>
        <v>368610</v>
      </c>
      <c r="R13" s="175">
        <f t="shared" si="4"/>
        <v>0</v>
      </c>
      <c r="S13" s="175">
        <f t="shared" ref="S13:S21" si="5">SUM(P13:R13)</f>
        <v>931245</v>
      </c>
      <c r="T13" s="176">
        <f t="shared" ref="T13:T24" si="6">IF(C13=0,0,+S13/C13)</f>
        <v>1.8263860015219147E-3</v>
      </c>
      <c r="U13" s="485"/>
      <c r="V13" s="241">
        <f t="shared" ref="V13:V24" si="7">+S13-E13+C13</f>
        <v>0</v>
      </c>
    </row>
    <row r="14" spans="1:27" ht="15" customHeight="1" x14ac:dyDescent="0.25">
      <c r="A14" s="34" t="s">
        <v>24</v>
      </c>
      <c r="B14" s="514" t="s">
        <v>444</v>
      </c>
      <c r="C14" s="160">
        <f>+C49</f>
        <v>77500000</v>
      </c>
      <c r="D14" s="160">
        <f t="shared" ref="D14:E14" si="8">+D49</f>
        <v>78500000</v>
      </c>
      <c r="E14" s="160">
        <f t="shared" si="8"/>
        <v>78500000</v>
      </c>
      <c r="F14" s="160">
        <f t="shared" ref="F14:J14" si="9">+F49</f>
        <v>79798569</v>
      </c>
      <c r="G14" s="506"/>
      <c r="H14" s="160">
        <f t="shared" si="9"/>
        <v>39836924</v>
      </c>
      <c r="I14" s="160">
        <f t="shared" si="9"/>
        <v>59199109</v>
      </c>
      <c r="J14" s="160">
        <f t="shared" si="9"/>
        <v>78526191</v>
      </c>
      <c r="K14" s="160"/>
      <c r="L14" s="35">
        <f t="shared" si="3"/>
        <v>0.5074767388535032</v>
      </c>
      <c r="M14" s="35">
        <f t="shared" si="3"/>
        <v>0.75412877707006365</v>
      </c>
      <c r="N14" s="35">
        <f t="shared" si="3"/>
        <v>0.98405512760510783</v>
      </c>
      <c r="O14" s="506"/>
      <c r="P14" s="175">
        <f t="shared" si="4"/>
        <v>1000000</v>
      </c>
      <c r="Q14" s="175">
        <f t="shared" si="4"/>
        <v>0</v>
      </c>
      <c r="R14" s="175">
        <f t="shared" si="4"/>
        <v>0</v>
      </c>
      <c r="S14" s="175">
        <f t="shared" si="5"/>
        <v>1000000</v>
      </c>
      <c r="T14" s="176">
        <f t="shared" si="6"/>
        <v>1.2903225806451613E-2</v>
      </c>
      <c r="U14" s="485"/>
      <c r="V14" s="241">
        <f t="shared" si="7"/>
        <v>0</v>
      </c>
    </row>
    <row r="15" spans="1:27" x14ac:dyDescent="0.25">
      <c r="A15" s="34" t="s">
        <v>27</v>
      </c>
      <c r="B15" s="514" t="s">
        <v>28</v>
      </c>
      <c r="C15" s="160">
        <f>+C61</f>
        <v>473564654</v>
      </c>
      <c r="D15" s="373">
        <f t="shared" ref="D15:E15" si="10">+D61</f>
        <v>456601770</v>
      </c>
      <c r="E15" s="160">
        <f t="shared" si="10"/>
        <v>471954018</v>
      </c>
      <c r="F15" s="160">
        <f t="shared" ref="F15:J15" si="11">+F61</f>
        <v>421851240</v>
      </c>
      <c r="G15" s="506"/>
      <c r="H15" s="373">
        <f t="shared" si="11"/>
        <v>227689334</v>
      </c>
      <c r="I15" s="373">
        <f t="shared" si="11"/>
        <v>282252705</v>
      </c>
      <c r="J15" s="160">
        <f t="shared" si="11"/>
        <v>392187994</v>
      </c>
      <c r="K15" s="160"/>
      <c r="L15" s="35">
        <f t="shared" si="3"/>
        <v>0.49866064689149148</v>
      </c>
      <c r="M15" s="35">
        <f t="shared" si="3"/>
        <v>0.59805128091948989</v>
      </c>
      <c r="N15" s="35">
        <f t="shared" si="3"/>
        <v>0.92968316034818343</v>
      </c>
      <c r="O15" s="506"/>
      <c r="P15" s="175">
        <f t="shared" si="4"/>
        <v>-16962884</v>
      </c>
      <c r="Q15" s="175">
        <f t="shared" si="4"/>
        <v>15352248</v>
      </c>
      <c r="R15" s="175">
        <f t="shared" si="4"/>
        <v>0</v>
      </c>
      <c r="S15" s="175">
        <f t="shared" si="5"/>
        <v>-1610636</v>
      </c>
      <c r="T15" s="176">
        <f t="shared" si="6"/>
        <v>-3.401089980841349E-3</v>
      </c>
      <c r="U15" s="485"/>
      <c r="V15" s="241">
        <f t="shared" si="7"/>
        <v>0</v>
      </c>
    </row>
    <row r="16" spans="1:27" x14ac:dyDescent="0.25">
      <c r="A16" s="34" t="s">
        <v>107</v>
      </c>
      <c r="B16" s="514" t="s">
        <v>108</v>
      </c>
      <c r="C16" s="160">
        <f>+C73</f>
        <v>15000000</v>
      </c>
      <c r="D16" s="160">
        <f t="shared" ref="D16:E16" si="12">+D73</f>
        <v>15012540</v>
      </c>
      <c r="E16" s="160">
        <f t="shared" si="12"/>
        <v>15012540</v>
      </c>
      <c r="F16" s="160">
        <f t="shared" ref="F16:J16" si="13">+F73</f>
        <v>15000000</v>
      </c>
      <c r="G16" s="506"/>
      <c r="H16" s="160">
        <f t="shared" si="13"/>
        <v>5890794</v>
      </c>
      <c r="I16" s="160">
        <f t="shared" si="13"/>
        <v>8972294</v>
      </c>
      <c r="J16" s="160">
        <f t="shared" si="13"/>
        <v>11964794</v>
      </c>
      <c r="K16" s="160"/>
      <c r="L16" s="35">
        <f t="shared" si="3"/>
        <v>0.39239156065529218</v>
      </c>
      <c r="M16" s="35">
        <f t="shared" si="3"/>
        <v>0.59765329517856403</v>
      </c>
      <c r="N16" s="35">
        <f t="shared" si="3"/>
        <v>0.79765293333333331</v>
      </c>
      <c r="O16" s="506"/>
      <c r="P16" s="175">
        <f t="shared" si="4"/>
        <v>12540</v>
      </c>
      <c r="Q16" s="175">
        <f t="shared" si="4"/>
        <v>0</v>
      </c>
      <c r="R16" s="175">
        <f t="shared" si="4"/>
        <v>0</v>
      </c>
      <c r="S16" s="175">
        <f t="shared" si="5"/>
        <v>12540</v>
      </c>
      <c r="T16" s="176">
        <f t="shared" si="6"/>
        <v>8.3600000000000005E-4</v>
      </c>
      <c r="U16" s="485"/>
      <c r="V16" s="241">
        <f t="shared" si="7"/>
        <v>0</v>
      </c>
    </row>
    <row r="17" spans="1:22" x14ac:dyDescent="0.25">
      <c r="A17" s="34" t="s">
        <v>369</v>
      </c>
      <c r="B17" s="514" t="s">
        <v>137</v>
      </c>
      <c r="C17" s="160">
        <f>+C85</f>
        <v>152600000</v>
      </c>
      <c r="D17" s="160">
        <f t="shared" ref="D17:E17" si="14">+D85</f>
        <v>164026133</v>
      </c>
      <c r="E17" s="160">
        <f t="shared" si="14"/>
        <v>167046133</v>
      </c>
      <c r="F17" s="160">
        <f t="shared" ref="F17:J17" si="15">+F85</f>
        <v>164848644</v>
      </c>
      <c r="G17" s="506"/>
      <c r="H17" s="160">
        <f t="shared" si="15"/>
        <v>89465409</v>
      </c>
      <c r="I17" s="160">
        <f t="shared" si="15"/>
        <v>122182084</v>
      </c>
      <c r="J17" s="160">
        <f t="shared" si="15"/>
        <v>144767924</v>
      </c>
      <c r="K17" s="160"/>
      <c r="L17" s="35">
        <f t="shared" si="3"/>
        <v>0.54543387302802537</v>
      </c>
      <c r="M17" s="35">
        <f t="shared" si="3"/>
        <v>0.73142719203203588</v>
      </c>
      <c r="N17" s="35">
        <f t="shared" si="3"/>
        <v>0.87818692642688645</v>
      </c>
      <c r="O17" s="506"/>
      <c r="P17" s="175">
        <f t="shared" si="4"/>
        <v>11426133</v>
      </c>
      <c r="Q17" s="175">
        <f t="shared" si="4"/>
        <v>3020000</v>
      </c>
      <c r="R17" s="175">
        <f t="shared" si="4"/>
        <v>0</v>
      </c>
      <c r="S17" s="175">
        <f t="shared" si="5"/>
        <v>14446133</v>
      </c>
      <c r="T17" s="176">
        <f t="shared" si="6"/>
        <v>9.4666664482306678E-2</v>
      </c>
      <c r="U17" s="485"/>
      <c r="V17" s="241">
        <f t="shared" si="7"/>
        <v>0</v>
      </c>
    </row>
    <row r="18" spans="1:22" x14ac:dyDescent="0.25">
      <c r="A18" s="34" t="s">
        <v>154</v>
      </c>
      <c r="B18" s="514" t="s">
        <v>155</v>
      </c>
      <c r="C18" s="160">
        <f>+C97</f>
        <v>248540354</v>
      </c>
      <c r="D18" s="160">
        <f t="shared" ref="D18:E18" si="16">+D97</f>
        <v>200462098</v>
      </c>
      <c r="E18" s="160">
        <f t="shared" si="16"/>
        <v>182921240</v>
      </c>
      <c r="F18" s="160">
        <f t="shared" ref="F18:J18" si="17">+F97</f>
        <v>169528400</v>
      </c>
      <c r="G18" s="506"/>
      <c r="H18" s="160">
        <f t="shared" si="17"/>
        <v>27913804</v>
      </c>
      <c r="I18" s="160">
        <f t="shared" si="17"/>
        <v>32250686</v>
      </c>
      <c r="J18" s="160">
        <f t="shared" si="17"/>
        <v>161969781</v>
      </c>
      <c r="K18" s="160"/>
      <c r="L18" s="35">
        <f t="shared" si="3"/>
        <v>0.13924729052770862</v>
      </c>
      <c r="M18" s="35">
        <f t="shared" si="3"/>
        <v>0.17630913720025077</v>
      </c>
      <c r="N18" s="35">
        <f t="shared" si="3"/>
        <v>0.95541384806321539</v>
      </c>
      <c r="O18" s="506"/>
      <c r="P18" s="175">
        <f t="shared" si="4"/>
        <v>-48078256</v>
      </c>
      <c r="Q18" s="175">
        <f t="shared" si="4"/>
        <v>-17540858</v>
      </c>
      <c r="R18" s="175">
        <f t="shared" si="4"/>
        <v>0</v>
      </c>
      <c r="S18" s="175">
        <f t="shared" si="5"/>
        <v>-65619114</v>
      </c>
      <c r="T18" s="176">
        <f t="shared" si="6"/>
        <v>-0.26401794696083841</v>
      </c>
      <c r="U18" s="485"/>
      <c r="V18" s="241">
        <f t="shared" si="7"/>
        <v>0</v>
      </c>
    </row>
    <row r="19" spans="1:22" x14ac:dyDescent="0.25">
      <c r="A19" s="34" t="s">
        <v>169</v>
      </c>
      <c r="B19" s="514" t="s">
        <v>170</v>
      </c>
      <c r="C19" s="160">
        <f>+C109</f>
        <v>20637500</v>
      </c>
      <c r="D19" s="160">
        <f t="shared" ref="D19:E19" si="18">+D109</f>
        <v>93343475</v>
      </c>
      <c r="E19" s="160">
        <f t="shared" si="18"/>
        <v>113343475</v>
      </c>
      <c r="F19" s="160">
        <f t="shared" ref="F19:J19" si="19">+F109</f>
        <v>142956591</v>
      </c>
      <c r="G19" s="506"/>
      <c r="H19" s="160">
        <f t="shared" si="19"/>
        <v>34861301</v>
      </c>
      <c r="I19" s="160">
        <f t="shared" si="19"/>
        <v>78545085</v>
      </c>
      <c r="J19" s="160">
        <f t="shared" si="19"/>
        <v>139263466</v>
      </c>
      <c r="K19" s="160"/>
      <c r="L19" s="35">
        <f t="shared" si="3"/>
        <v>0.37347335740393212</v>
      </c>
      <c r="M19" s="35">
        <f t="shared" si="3"/>
        <v>0.69298285587238262</v>
      </c>
      <c r="N19" s="35">
        <f t="shared" si="3"/>
        <v>0.97416610892742961</v>
      </c>
      <c r="O19" s="506"/>
      <c r="P19" s="175">
        <f t="shared" si="4"/>
        <v>72705975</v>
      </c>
      <c r="Q19" s="175">
        <f t="shared" si="4"/>
        <v>20000000</v>
      </c>
      <c r="R19" s="175">
        <f t="shared" si="4"/>
        <v>0</v>
      </c>
      <c r="S19" s="175">
        <f t="shared" si="5"/>
        <v>92705975</v>
      </c>
      <c r="T19" s="176">
        <f t="shared" si="6"/>
        <v>4.4921126589945484</v>
      </c>
      <c r="U19" s="485"/>
      <c r="V19" s="241">
        <f t="shared" si="7"/>
        <v>0</v>
      </c>
    </row>
    <row r="20" spans="1:22" x14ac:dyDescent="0.25">
      <c r="A20" s="34" t="s">
        <v>179</v>
      </c>
      <c r="B20" s="514" t="s">
        <v>180</v>
      </c>
      <c r="C20" s="160">
        <f>+C121</f>
        <v>0</v>
      </c>
      <c r="D20" s="160">
        <f t="shared" ref="D20:E20" si="20">+D121</f>
        <v>0</v>
      </c>
      <c r="E20" s="160">
        <f t="shared" si="20"/>
        <v>0</v>
      </c>
      <c r="F20" s="160">
        <f t="shared" ref="F20:J20" si="21">+F121</f>
        <v>0</v>
      </c>
      <c r="G20" s="506"/>
      <c r="H20" s="160">
        <f t="shared" si="21"/>
        <v>0</v>
      </c>
      <c r="I20" s="160">
        <f t="shared" si="21"/>
        <v>0</v>
      </c>
      <c r="J20" s="160">
        <f t="shared" si="21"/>
        <v>0</v>
      </c>
      <c r="K20" s="160"/>
      <c r="L20" s="35">
        <v>0</v>
      </c>
      <c r="M20" s="35">
        <v>0</v>
      </c>
      <c r="N20" s="35">
        <v>0</v>
      </c>
      <c r="O20" s="506"/>
      <c r="P20" s="175">
        <f t="shared" si="4"/>
        <v>0</v>
      </c>
      <c r="Q20" s="175">
        <f t="shared" si="4"/>
        <v>0</v>
      </c>
      <c r="R20" s="175">
        <f t="shared" si="4"/>
        <v>0</v>
      </c>
      <c r="S20" s="175">
        <f t="shared" si="5"/>
        <v>0</v>
      </c>
      <c r="T20" s="176">
        <f t="shared" si="6"/>
        <v>0</v>
      </c>
      <c r="U20" s="485"/>
      <c r="V20" s="241">
        <f t="shared" si="7"/>
        <v>0</v>
      </c>
    </row>
    <row r="21" spans="1:22" x14ac:dyDescent="0.25">
      <c r="A21" s="34" t="s">
        <v>197</v>
      </c>
      <c r="B21" s="514" t="s">
        <v>198</v>
      </c>
      <c r="C21" s="160">
        <f>+C133</f>
        <v>613063055</v>
      </c>
      <c r="D21" s="160">
        <f t="shared" ref="D21:E21" si="22">+D133</f>
        <v>613552299</v>
      </c>
      <c r="E21" s="160">
        <f t="shared" si="22"/>
        <v>613552299</v>
      </c>
      <c r="F21" s="160">
        <f t="shared" ref="F21:J21" si="23">+F133</f>
        <v>613552299</v>
      </c>
      <c r="G21" s="506"/>
      <c r="H21" s="160">
        <f t="shared" si="23"/>
        <v>317649005</v>
      </c>
      <c r="I21" s="160">
        <f t="shared" si="23"/>
        <v>441460373</v>
      </c>
      <c r="J21" s="160">
        <f t="shared" si="23"/>
        <v>584287458</v>
      </c>
      <c r="K21" s="160"/>
      <c r="L21" s="35">
        <f>+H21/D21</f>
        <v>0.51772115517735184</v>
      </c>
      <c r="M21" s="35">
        <f>+I21/E21</f>
        <v>0.71951547361083235</v>
      </c>
      <c r="N21" s="35">
        <f>+J21/F21</f>
        <v>0.95230261373366643</v>
      </c>
      <c r="O21" s="506"/>
      <c r="P21" s="175">
        <f t="shared" si="4"/>
        <v>489244</v>
      </c>
      <c r="Q21" s="175">
        <f t="shared" si="4"/>
        <v>0</v>
      </c>
      <c r="R21" s="175">
        <f t="shared" si="4"/>
        <v>0</v>
      </c>
      <c r="S21" s="175">
        <f t="shared" si="5"/>
        <v>489244</v>
      </c>
      <c r="T21" s="176">
        <f t="shared" si="6"/>
        <v>7.9803210454428702E-4</v>
      </c>
      <c r="U21" s="485"/>
      <c r="V21" s="241">
        <f t="shared" si="7"/>
        <v>0</v>
      </c>
    </row>
    <row r="22" spans="1:22" x14ac:dyDescent="0.25">
      <c r="A22" s="34"/>
      <c r="B22" s="514" t="s">
        <v>437</v>
      </c>
      <c r="C22" s="160">
        <f>-C145</f>
        <v>-588485599</v>
      </c>
      <c r="D22" s="160">
        <f t="shared" ref="D22:J22" si="24">-D145</f>
        <v>-588485599</v>
      </c>
      <c r="E22" s="160">
        <f t="shared" si="24"/>
        <v>-588485599</v>
      </c>
      <c r="F22" s="160">
        <f t="shared" si="24"/>
        <v>-588485599</v>
      </c>
      <c r="G22" s="506"/>
      <c r="H22" s="160">
        <f t="shared" si="24"/>
        <v>-292582305</v>
      </c>
      <c r="I22" s="160">
        <f t="shared" si="24"/>
        <v>-416393673</v>
      </c>
      <c r="J22" s="160">
        <f t="shared" si="24"/>
        <v>-559220758</v>
      </c>
      <c r="K22" s="160"/>
      <c r="L22" s="35"/>
      <c r="M22" s="35"/>
      <c r="N22" s="35"/>
      <c r="O22" s="506"/>
      <c r="P22" s="160">
        <f t="shared" ref="P22:S22" si="25">-P145</f>
        <v>0</v>
      </c>
      <c r="Q22" s="160">
        <f t="shared" si="25"/>
        <v>0</v>
      </c>
      <c r="R22" s="160">
        <f t="shared" si="25"/>
        <v>0</v>
      </c>
      <c r="S22" s="160">
        <f t="shared" si="25"/>
        <v>0</v>
      </c>
      <c r="T22" s="176">
        <f t="shared" si="6"/>
        <v>0</v>
      </c>
      <c r="U22" s="485"/>
      <c r="V22" s="241">
        <f t="shared" si="7"/>
        <v>0</v>
      </c>
    </row>
    <row r="23" spans="1:22" x14ac:dyDescent="0.25">
      <c r="A23" s="12"/>
      <c r="B23" s="515" t="s">
        <v>371</v>
      </c>
      <c r="C23" s="164">
        <f>SUM(C13:C22)</f>
        <v>1522303964</v>
      </c>
      <c r="D23" s="164">
        <f t="shared" ref="D23:F23" si="26">SUM(D13:D22)</f>
        <v>1543459351</v>
      </c>
      <c r="E23" s="164">
        <f t="shared" si="26"/>
        <v>1564659351</v>
      </c>
      <c r="F23" s="164">
        <f t="shared" si="26"/>
        <v>1527780478</v>
      </c>
      <c r="G23" s="507"/>
      <c r="H23" s="164">
        <f t="shared" ref="H23" si="27">SUM(H13:H22)</f>
        <v>699241699</v>
      </c>
      <c r="I23" s="164">
        <f t="shared" ref="I23" si="28">SUM(I13:I22)</f>
        <v>982441166</v>
      </c>
      <c r="J23" s="164">
        <f t="shared" ref="J23" si="29">SUM(J13:J22)</f>
        <v>1457576860</v>
      </c>
      <c r="K23" s="164"/>
      <c r="L23" s="33">
        <f>H23/D23</f>
        <v>0.45303538350197858</v>
      </c>
      <c r="M23" s="33">
        <f>I23/E23</f>
        <v>0.62789460553960541</v>
      </c>
      <c r="N23" s="33">
        <f>J23/F23</f>
        <v>0.95404862216075526</v>
      </c>
      <c r="O23" s="507"/>
      <c r="P23" s="164">
        <f>SUM(P13:P22)</f>
        <v>21155387</v>
      </c>
      <c r="Q23" s="164">
        <f>SUM(Q13:Q22)</f>
        <v>21200000</v>
      </c>
      <c r="R23" s="164">
        <f t="shared" ref="R23:S23" si="30">SUM(R13:R22)</f>
        <v>0</v>
      </c>
      <c r="S23" s="164">
        <f t="shared" si="30"/>
        <v>42355387</v>
      </c>
      <c r="T23" s="176">
        <f t="shared" si="6"/>
        <v>2.782321271023111E-2</v>
      </c>
      <c r="U23" s="486"/>
      <c r="V23" s="241">
        <f t="shared" si="7"/>
        <v>0</v>
      </c>
    </row>
    <row r="24" spans="1:22" x14ac:dyDescent="0.25">
      <c r="A24" s="34"/>
      <c r="B24" s="516" t="s">
        <v>403</v>
      </c>
      <c r="C24" s="178"/>
      <c r="D24" s="178"/>
      <c r="E24" s="178"/>
      <c r="F24" s="178"/>
      <c r="G24" s="508"/>
      <c r="H24" s="178"/>
      <c r="I24" s="178"/>
      <c r="J24" s="178"/>
      <c r="K24" s="178"/>
      <c r="L24" s="367"/>
      <c r="M24" s="367"/>
      <c r="N24" s="367"/>
      <c r="O24" s="508"/>
      <c r="P24" s="178"/>
      <c r="Q24" s="178"/>
      <c r="R24" s="178"/>
      <c r="S24" s="178"/>
      <c r="T24" s="176">
        <f t="shared" si="6"/>
        <v>0</v>
      </c>
      <c r="U24" s="487"/>
      <c r="V24" s="241">
        <f t="shared" si="7"/>
        <v>0</v>
      </c>
    </row>
    <row r="25" spans="1:22" x14ac:dyDescent="0.25">
      <c r="C25" s="498"/>
      <c r="D25" s="74"/>
      <c r="E25" s="74"/>
      <c r="F25" s="524"/>
      <c r="G25" s="74"/>
      <c r="H25" s="498"/>
      <c r="K25" s="74"/>
      <c r="L25" s="87"/>
      <c r="M25" s="87"/>
      <c r="N25" s="499"/>
      <c r="O25" s="74"/>
      <c r="P25" s="498"/>
      <c r="Q25" s="73"/>
      <c r="R25" s="73"/>
      <c r="S25" s="73"/>
      <c r="T25" s="499"/>
      <c r="U25" s="74"/>
    </row>
    <row r="26" spans="1:22" x14ac:dyDescent="0.25">
      <c r="C26" s="498"/>
      <c r="D26" s="74"/>
      <c r="E26" s="74"/>
      <c r="F26" s="524"/>
      <c r="G26" s="74"/>
      <c r="H26" s="498"/>
      <c r="K26" s="74"/>
      <c r="L26" s="87"/>
      <c r="M26" s="87"/>
      <c r="N26" s="499"/>
      <c r="O26" s="74"/>
      <c r="P26" s="498"/>
      <c r="Q26" s="73"/>
      <c r="R26" s="73"/>
      <c r="S26" s="73"/>
      <c r="T26" s="499"/>
      <c r="U26" s="74"/>
    </row>
    <row r="27" spans="1:22" x14ac:dyDescent="0.25">
      <c r="C27" s="498"/>
      <c r="D27" s="74"/>
      <c r="E27" s="74"/>
      <c r="F27" s="524"/>
      <c r="G27" s="74"/>
      <c r="H27" s="498"/>
      <c r="K27" s="74"/>
      <c r="L27" s="87"/>
      <c r="M27" s="87"/>
      <c r="N27" s="499"/>
      <c r="O27" s="74"/>
      <c r="P27" s="498"/>
      <c r="Q27" s="73"/>
      <c r="R27" s="73"/>
      <c r="S27" s="73"/>
      <c r="T27" s="499"/>
      <c r="U27" s="74"/>
    </row>
    <row r="28" spans="1:22" x14ac:dyDescent="0.25">
      <c r="A28" s="320" t="s">
        <v>0</v>
      </c>
      <c r="B28" s="320" t="str">
        <f>+'3. Önk. Kiadások'!B13</f>
        <v>Személyi juttatások</v>
      </c>
      <c r="C28" s="498"/>
      <c r="D28" s="74"/>
      <c r="E28" s="74"/>
      <c r="F28" s="524"/>
      <c r="G28" s="74"/>
      <c r="H28" s="498"/>
      <c r="K28" s="74"/>
      <c r="L28" s="87"/>
      <c r="M28" s="87"/>
      <c r="N28" s="499"/>
      <c r="O28" s="74"/>
      <c r="P28" s="498"/>
      <c r="Q28" s="73"/>
      <c r="R28" s="73"/>
      <c r="S28" s="73"/>
      <c r="T28" s="499"/>
      <c r="U28" s="74"/>
    </row>
    <row r="29" spans="1:22" x14ac:dyDescent="0.25">
      <c r="B29" s="22" t="str">
        <f>+'3. Önk. Kiadások'!A1</f>
        <v>Sülysáp Város Önkormányzata</v>
      </c>
      <c r="C29" s="498">
        <f>+'3. Önk. Kiadások'!C13</f>
        <v>81675000</v>
      </c>
      <c r="D29" s="73">
        <f>+'3. Önk. Kiadások'!D13</f>
        <v>81675000</v>
      </c>
      <c r="E29" s="73">
        <f>+'3. Önk. Kiadások'!E13</f>
        <v>81975000</v>
      </c>
      <c r="F29" s="459">
        <f>+'3. Önk. Kiadások'!F13</f>
        <v>80421076</v>
      </c>
      <c r="G29" s="73">
        <f>+'3. Önk. Kiadások'!G13</f>
        <v>0</v>
      </c>
      <c r="H29" s="498">
        <f>+'3. Önk. Kiadások'!H13</f>
        <v>38263401</v>
      </c>
      <c r="I29" s="73">
        <f>+'3. Önk. Kiadások'!I13</f>
        <v>60388498</v>
      </c>
      <c r="J29" s="73">
        <f>+'3. Önk. Kiadások'!J13</f>
        <v>80421076</v>
      </c>
      <c r="K29" s="73"/>
      <c r="L29" s="73"/>
      <c r="M29" s="73"/>
      <c r="N29" s="459"/>
      <c r="O29" s="73"/>
      <c r="P29" s="498">
        <f>+'3. Önk. Kiadások'!P13</f>
        <v>0</v>
      </c>
      <c r="Q29" s="73">
        <f>+'3. Önk. Kiadások'!Q13</f>
        <v>300000</v>
      </c>
      <c r="R29" s="73">
        <f>+'3. Önk. Kiadások'!R13</f>
        <v>-1553924</v>
      </c>
      <c r="S29" s="73">
        <f>+'3. Önk. Kiadások'!S13</f>
        <v>300000</v>
      </c>
      <c r="T29" s="499"/>
      <c r="U29" s="74"/>
    </row>
    <row r="30" spans="1:22" x14ac:dyDescent="0.25">
      <c r="B30" s="56" t="s">
        <v>452</v>
      </c>
      <c r="C30" s="498">
        <f>+'4. Dr Gáspár HSZK'!C13</f>
        <v>28556000</v>
      </c>
      <c r="D30" s="73">
        <f>+'4. Dr Gáspár HSZK'!D13</f>
        <v>28556000</v>
      </c>
      <c r="E30" s="73">
        <f>+'4. Dr Gáspár HSZK'!E13</f>
        <v>28556000</v>
      </c>
      <c r="F30" s="459">
        <f>+'4. Dr Gáspár HSZK'!F13</f>
        <v>28781178</v>
      </c>
      <c r="G30" s="73"/>
      <c r="H30" s="498">
        <f>+'4. Dr Gáspár HSZK'!H13</f>
        <v>13630407</v>
      </c>
      <c r="I30" s="73">
        <f>+'4. Dr Gáspár HSZK'!I13</f>
        <v>20450561</v>
      </c>
      <c r="J30" s="73">
        <f>+'4. Dr Gáspár HSZK'!J13</f>
        <v>27147663</v>
      </c>
      <c r="K30" s="73"/>
      <c r="L30" s="73"/>
      <c r="M30" s="73"/>
      <c r="N30" s="459"/>
      <c r="O30" s="73"/>
      <c r="P30" s="498">
        <f>+'4. Dr Gáspár HSZK'!P13</f>
        <v>0</v>
      </c>
      <c r="Q30" s="73">
        <f>+'4. Dr Gáspár HSZK'!Q13</f>
        <v>0</v>
      </c>
      <c r="R30" s="73">
        <f>+'4. Dr Gáspár HSZK'!R13</f>
        <v>0</v>
      </c>
      <c r="S30" s="73">
        <f>+'4. Dr Gáspár HSZK'!S13</f>
        <v>0</v>
      </c>
      <c r="T30" s="499"/>
      <c r="U30" s="74"/>
    </row>
    <row r="31" spans="1:22" x14ac:dyDescent="0.25">
      <c r="B31" s="56" t="s">
        <v>462</v>
      </c>
      <c r="C31" s="498">
        <f>+'5. Csicsergő'!C13</f>
        <v>168109000</v>
      </c>
      <c r="D31" s="73">
        <f>+'5. Csicsergő'!D13</f>
        <v>168109000</v>
      </c>
      <c r="E31" s="73">
        <f>+'5. Csicsergő'!E13</f>
        <v>168109000</v>
      </c>
      <c r="F31" s="459">
        <f>+'5. Csicsergő'!F13</f>
        <v>167045578</v>
      </c>
      <c r="G31" s="73"/>
      <c r="H31" s="498">
        <f>+'5. Csicsergő'!H13</f>
        <v>82528474</v>
      </c>
      <c r="I31" s="73">
        <f>+'5. Csicsergő'!I13</f>
        <v>123008879</v>
      </c>
      <c r="J31" s="73">
        <f>+'5. Csicsergő'!J13</f>
        <v>166554870</v>
      </c>
      <c r="K31" s="73"/>
      <c r="L31" s="73"/>
      <c r="M31" s="73"/>
      <c r="N31" s="459"/>
      <c r="O31" s="73"/>
      <c r="P31" s="498">
        <f>+'5. Csicsergő'!P13</f>
        <v>0</v>
      </c>
      <c r="Q31" s="73">
        <f>+'5. Csicsergő'!Q13</f>
        <v>0</v>
      </c>
      <c r="R31" s="73">
        <f>+'5. Csicsergő'!R13</f>
        <v>0</v>
      </c>
      <c r="S31" s="73">
        <f>+'5. Csicsergő'!S13</f>
        <v>0</v>
      </c>
      <c r="T31" s="499"/>
      <c r="U31" s="74"/>
    </row>
    <row r="32" spans="1:22" x14ac:dyDescent="0.25">
      <c r="B32" s="56" t="s">
        <v>450</v>
      </c>
      <c r="C32" s="498">
        <f>+'6. Gólyahír'!C13</f>
        <v>56821000</v>
      </c>
      <c r="D32" s="73">
        <f>+'6. Gólyahír'!D13</f>
        <v>56821000</v>
      </c>
      <c r="E32" s="73">
        <f>+'6. Gólyahír'!E13</f>
        <v>56821000</v>
      </c>
      <c r="F32" s="459">
        <f>+'6. Gólyahír'!F13</f>
        <v>56843947</v>
      </c>
      <c r="G32" s="73"/>
      <c r="H32" s="498">
        <f>+'6. Gólyahír'!H13</f>
        <v>27168410</v>
      </c>
      <c r="I32" s="73">
        <f>+'6. Gólyahír'!I13</f>
        <v>41413909</v>
      </c>
      <c r="J32" s="73">
        <f>+'6. Gólyahír'!J13</f>
        <v>56093306</v>
      </c>
      <c r="K32" s="73"/>
      <c r="L32" s="73"/>
      <c r="M32" s="73"/>
      <c r="N32" s="459"/>
      <c r="O32" s="73"/>
      <c r="P32" s="498">
        <f>+'6. Gólyahír'!P13</f>
        <v>0</v>
      </c>
      <c r="Q32" s="73">
        <f>+'6. Gólyahír'!Q13</f>
        <v>0</v>
      </c>
      <c r="R32" s="73">
        <f>+'6. Gólyahír'!R13</f>
        <v>0</v>
      </c>
      <c r="S32" s="73">
        <f>+'6. Gólyahír'!S13</f>
        <v>0</v>
      </c>
      <c r="T32" s="499"/>
      <c r="U32" s="74"/>
    </row>
    <row r="33" spans="1:21" x14ac:dyDescent="0.25">
      <c r="B33" s="318" t="s">
        <v>512</v>
      </c>
      <c r="C33" s="498">
        <f>+'7. Polg.Hiv.'!C13</f>
        <v>122543000</v>
      </c>
      <c r="D33" s="73">
        <f>+'7. Polg.Hiv.'!D13</f>
        <v>123105635</v>
      </c>
      <c r="E33" s="73">
        <f>+'7. Polg.Hiv.'!E13</f>
        <v>123105635</v>
      </c>
      <c r="F33" s="459">
        <f>+'7. Polg.Hiv.'!F13</f>
        <v>123389945</v>
      </c>
      <c r="G33" s="73"/>
      <c r="H33" s="498">
        <f>+'7. Polg.Hiv.'!H13</f>
        <v>62184602</v>
      </c>
      <c r="I33" s="73">
        <f>+'7. Polg.Hiv.'!I13</f>
        <v>91683480</v>
      </c>
      <c r="J33" s="73">
        <f>+'7. Polg.Hiv.'!J13</f>
        <v>123111716</v>
      </c>
      <c r="K33" s="73"/>
      <c r="L33" s="73"/>
      <c r="M33" s="73"/>
      <c r="N33" s="459"/>
      <c r="O33" s="73"/>
      <c r="P33" s="498">
        <f>+'7. Polg.Hiv.'!P13</f>
        <v>562635</v>
      </c>
      <c r="Q33" s="73">
        <f>+'7. Polg.Hiv.'!Q13</f>
        <v>0</v>
      </c>
      <c r="R33" s="73">
        <f>+'7. Polg.Hiv.'!R13</f>
        <v>0</v>
      </c>
      <c r="S33" s="73">
        <f>+'7. Polg.Hiv.'!S13</f>
        <v>562635</v>
      </c>
      <c r="T33" s="499"/>
      <c r="U33" s="74"/>
    </row>
    <row r="34" spans="1:21" x14ac:dyDescent="0.25">
      <c r="B34" s="73" t="s">
        <v>418</v>
      </c>
      <c r="C34" s="498">
        <f>+'8. WAMKK'!C13</f>
        <v>17395000</v>
      </c>
      <c r="D34" s="73">
        <f>+'8. WAMKK'!D13</f>
        <v>17395000</v>
      </c>
      <c r="E34" s="73">
        <f>+'8. WAMKK'!E13</f>
        <v>17463610</v>
      </c>
      <c r="F34" s="459">
        <f>+'8. WAMKK'!F13</f>
        <v>17463610</v>
      </c>
      <c r="G34" s="73"/>
      <c r="H34" s="498">
        <f>+'8. WAMKK'!H13</f>
        <v>8277795</v>
      </c>
      <c r="I34" s="73">
        <f>+'8. WAMKK'!I13</f>
        <v>12661664</v>
      </c>
      <c r="J34" s="73">
        <f>+'8. WAMKK'!J13</f>
        <v>16890474</v>
      </c>
      <c r="K34" s="73"/>
      <c r="L34" s="73"/>
      <c r="M34" s="73"/>
      <c r="N34" s="459"/>
      <c r="O34" s="73"/>
      <c r="P34" s="498">
        <f>+'8. WAMKK'!P13</f>
        <v>0</v>
      </c>
      <c r="Q34" s="73">
        <f>+'8. WAMKK'!Q13</f>
        <v>68610</v>
      </c>
      <c r="R34" s="73">
        <f>+'8. WAMKK'!R13</f>
        <v>0</v>
      </c>
      <c r="S34" s="73">
        <f>+'8. WAMKK'!S13</f>
        <v>68610</v>
      </c>
      <c r="T34" s="499"/>
      <c r="U34" s="74"/>
    </row>
    <row r="35" spans="1:21" x14ac:dyDescent="0.25">
      <c r="B35" s="73" t="s">
        <v>419</v>
      </c>
      <c r="C35" s="498">
        <f>+'9. Közp. Konyha'!C13</f>
        <v>34785000</v>
      </c>
      <c r="D35" s="73">
        <f>+'9. Közp. Konyha'!D13</f>
        <v>34785000</v>
      </c>
      <c r="E35" s="73">
        <f>+'9. Közp. Konyha'!E13</f>
        <v>34785000</v>
      </c>
      <c r="F35" s="459">
        <f>+'9. Közp. Konyha'!F13</f>
        <v>34785000</v>
      </c>
      <c r="G35" s="73"/>
      <c r="H35" s="498">
        <f>+'9. Közp. Konyha'!H13</f>
        <v>16464344</v>
      </c>
      <c r="I35" s="73">
        <f>+'9. Közp. Konyha'!I13</f>
        <v>24365512</v>
      </c>
      <c r="J35" s="73">
        <f>+'9. Közp. Konyha'!J13</f>
        <v>33610905</v>
      </c>
      <c r="K35" s="73"/>
      <c r="L35" s="73"/>
      <c r="M35" s="73"/>
      <c r="N35" s="459"/>
      <c r="O35" s="73"/>
      <c r="P35" s="498">
        <f>+'9. Közp. Konyha'!P13</f>
        <v>0</v>
      </c>
      <c r="Q35" s="73">
        <f>+'9. Közp. Konyha'!Q13</f>
        <v>0</v>
      </c>
      <c r="R35" s="73">
        <f>+'9. Közp. Konyha'!R13</f>
        <v>0</v>
      </c>
      <c r="S35" s="73">
        <f>+'9. Közp. Konyha'!S13</f>
        <v>0</v>
      </c>
      <c r="T35" s="499"/>
      <c r="U35" s="74"/>
    </row>
    <row r="36" spans="1:21" ht="8.1" customHeight="1" x14ac:dyDescent="0.25">
      <c r="B36" s="383" t="s">
        <v>442</v>
      </c>
      <c r="C36" s="500"/>
      <c r="D36" s="382"/>
      <c r="E36" s="382"/>
      <c r="F36" s="511"/>
      <c r="G36" s="382"/>
      <c r="H36" s="500"/>
      <c r="I36" s="382"/>
      <c r="J36" s="382"/>
      <c r="K36" s="382"/>
      <c r="L36" s="382"/>
      <c r="M36" s="382"/>
      <c r="N36" s="511"/>
      <c r="O36" s="382"/>
      <c r="P36" s="500"/>
      <c r="Q36" s="382"/>
      <c r="R36" s="382"/>
      <c r="S36" s="382"/>
      <c r="T36" s="499"/>
      <c r="U36" s="74"/>
    </row>
    <row r="37" spans="1:21" x14ac:dyDescent="0.25">
      <c r="A37" s="384" t="str">
        <f>+A28</f>
        <v>K1</v>
      </c>
      <c r="B37" s="364" t="s">
        <v>436</v>
      </c>
      <c r="C37" s="501">
        <f>SUM(C29:C36)</f>
        <v>509884000</v>
      </c>
      <c r="D37" s="365">
        <f t="shared" ref="D37:F37" si="31">SUM(D29:D36)</f>
        <v>510446635</v>
      </c>
      <c r="E37" s="365">
        <f t="shared" si="31"/>
        <v>510815245</v>
      </c>
      <c r="F37" s="512">
        <f t="shared" si="31"/>
        <v>508730334</v>
      </c>
      <c r="G37" s="365"/>
      <c r="H37" s="501">
        <f>SUM(H29:H36)</f>
        <v>248517433</v>
      </c>
      <c r="I37" s="365">
        <f t="shared" ref="I37:J37" si="32">SUM(I29:I36)</f>
        <v>373972503</v>
      </c>
      <c r="J37" s="365">
        <f t="shared" si="32"/>
        <v>503830010</v>
      </c>
      <c r="K37" s="365"/>
      <c r="L37" s="365"/>
      <c r="M37" s="365"/>
      <c r="N37" s="512"/>
      <c r="O37" s="365"/>
      <c r="P37" s="501">
        <f>SUM(P29:P36)</f>
        <v>562635</v>
      </c>
      <c r="Q37" s="365">
        <f t="shared" ref="Q37:S37" si="33">SUM(Q29:Q36)</f>
        <v>368610</v>
      </c>
      <c r="R37" s="365">
        <f t="shared" si="33"/>
        <v>-1553924</v>
      </c>
      <c r="S37" s="365">
        <f t="shared" si="33"/>
        <v>931245</v>
      </c>
      <c r="T37" s="499"/>
      <c r="U37" s="74"/>
    </row>
    <row r="38" spans="1:21" x14ac:dyDescent="0.25">
      <c r="C38" s="498"/>
      <c r="D38" s="74"/>
      <c r="E38" s="74"/>
      <c r="F38" s="524"/>
      <c r="G38" s="74"/>
      <c r="H38" s="498"/>
      <c r="K38" s="74"/>
      <c r="L38" s="87"/>
      <c r="M38" s="87"/>
      <c r="N38" s="499"/>
      <c r="O38" s="74"/>
      <c r="P38" s="498"/>
      <c r="Q38" s="73"/>
      <c r="R38" s="73"/>
      <c r="S38" s="73"/>
      <c r="T38" s="499"/>
      <c r="U38" s="74"/>
    </row>
    <row r="39" spans="1:21" x14ac:dyDescent="0.25">
      <c r="C39" s="498"/>
      <c r="D39" s="74"/>
      <c r="E39" s="74"/>
      <c r="F39" s="524"/>
      <c r="G39" s="74"/>
      <c r="H39" s="498"/>
      <c r="K39" s="74"/>
      <c r="L39" s="87"/>
      <c r="M39" s="87"/>
      <c r="N39" s="499"/>
      <c r="O39" s="74"/>
      <c r="P39" s="498"/>
      <c r="Q39" s="73"/>
      <c r="R39" s="73"/>
      <c r="S39" s="73"/>
      <c r="T39" s="499"/>
      <c r="U39" s="74"/>
    </row>
    <row r="40" spans="1:21" x14ac:dyDescent="0.25">
      <c r="A40" s="320" t="s">
        <v>24</v>
      </c>
      <c r="B40" s="320" t="str">
        <f>+'3. Önk. Kiadások'!B29</f>
        <v>Munkaadót terhelő járulékok és szociális hozzájárulás</v>
      </c>
      <c r="C40" s="498"/>
      <c r="D40" s="74"/>
      <c r="E40" s="74"/>
      <c r="F40" s="524"/>
      <c r="G40" s="74"/>
      <c r="H40" s="498"/>
      <c r="K40" s="74"/>
      <c r="L40" s="87"/>
      <c r="M40" s="87"/>
      <c r="N40" s="499"/>
      <c r="O40" s="74"/>
      <c r="P40" s="498"/>
      <c r="Q40" s="73"/>
      <c r="R40" s="73"/>
      <c r="S40" s="73"/>
      <c r="T40" s="499"/>
      <c r="U40" s="74"/>
    </row>
    <row r="41" spans="1:21" x14ac:dyDescent="0.25">
      <c r="B41" s="56" t="str">
        <f t="shared" ref="B41:B47" si="34">+B29</f>
        <v>Sülysáp Város Önkormányzata</v>
      </c>
      <c r="C41" s="498">
        <f>+'3. Önk. Kiadások'!C29</f>
        <v>11000000</v>
      </c>
      <c r="D41" s="73">
        <f>+'3. Önk. Kiadások'!D29</f>
        <v>12000000</v>
      </c>
      <c r="E41" s="73">
        <f>+'3. Önk. Kiadások'!E29</f>
        <v>12000000</v>
      </c>
      <c r="F41" s="459">
        <f>+'3. Önk. Kiadások'!F29</f>
        <v>12596487</v>
      </c>
      <c r="G41" s="74"/>
      <c r="H41" s="498">
        <f>+'3. Önk. Kiadások'!H29</f>
        <v>6346491</v>
      </c>
      <c r="I41" s="73">
        <f>+'3. Önk. Kiadások'!I29</f>
        <v>9310448</v>
      </c>
      <c r="J41" s="73">
        <f>+'3. Önk. Kiadások'!J29</f>
        <v>12596487</v>
      </c>
      <c r="K41" s="74"/>
      <c r="L41" s="87"/>
      <c r="M41" s="87"/>
      <c r="N41" s="499"/>
      <c r="O41" s="74"/>
      <c r="P41" s="498">
        <f>+'3. Önk. Kiadások'!P29</f>
        <v>1000000</v>
      </c>
      <c r="Q41" s="73">
        <f>+'3. Önk. Kiadások'!Q29</f>
        <v>0</v>
      </c>
      <c r="R41" s="73">
        <f>+'3. Önk. Kiadások'!R29</f>
        <v>596487</v>
      </c>
      <c r="S41" s="73">
        <f>+'3. Önk. Kiadások'!S29</f>
        <v>1000000</v>
      </c>
      <c r="T41" s="499"/>
      <c r="U41" s="74"/>
    </row>
    <row r="42" spans="1:21" x14ac:dyDescent="0.25">
      <c r="B42" s="56" t="str">
        <f t="shared" si="34"/>
        <v>Dr. Gáspár István HSZK</v>
      </c>
      <c r="C42" s="498">
        <f>+'4. Dr Gáspár HSZK'!C29</f>
        <v>4600000</v>
      </c>
      <c r="D42" s="73">
        <f>+'4. Dr Gáspár HSZK'!D29</f>
        <v>4600000</v>
      </c>
      <c r="E42" s="73">
        <f>+'4. Dr Gáspár HSZK'!E29</f>
        <v>4600000</v>
      </c>
      <c r="F42" s="459">
        <f>+'4. Dr Gáspár HSZK'!F29</f>
        <v>4374822</v>
      </c>
      <c r="G42" s="73"/>
      <c r="H42" s="498">
        <f>+'4. Dr Gáspár HSZK'!H29</f>
        <v>2287014</v>
      </c>
      <c r="I42" s="73">
        <f>+'4. Dr Gáspár HSZK'!I29</f>
        <v>3341309</v>
      </c>
      <c r="J42" s="73">
        <f>+'4. Dr Gáspár HSZK'!J29</f>
        <v>4374822</v>
      </c>
      <c r="K42" s="73"/>
      <c r="L42" s="73"/>
      <c r="M42" s="73"/>
      <c r="N42" s="459"/>
      <c r="O42" s="73"/>
      <c r="P42" s="498">
        <f>+'4. Dr Gáspár HSZK'!P29</f>
        <v>0</v>
      </c>
      <c r="Q42" s="73">
        <f>+'4. Dr Gáspár HSZK'!Q29</f>
        <v>0</v>
      </c>
      <c r="R42" s="73">
        <f>+'4. Dr Gáspár HSZK'!R29</f>
        <v>0</v>
      </c>
      <c r="S42" s="73">
        <f>+'4. Dr Gáspár HSZK'!S29</f>
        <v>0</v>
      </c>
      <c r="T42" s="499"/>
      <c r="U42" s="74"/>
    </row>
    <row r="43" spans="1:21" x14ac:dyDescent="0.25">
      <c r="B43" s="56" t="str">
        <f t="shared" si="34"/>
        <v>Sülysápi Csicsergő Óvoda</v>
      </c>
      <c r="C43" s="498">
        <f>+'5. Csicsergő'!C30</f>
        <v>26000000</v>
      </c>
      <c r="D43" s="73">
        <f>+'5. Csicsergő'!D30</f>
        <v>26000000</v>
      </c>
      <c r="E43" s="73">
        <f>+'5. Csicsergő'!E30</f>
        <v>26000000</v>
      </c>
      <c r="F43" s="459">
        <f>+'5. Csicsergő'!F30</f>
        <v>27063422</v>
      </c>
      <c r="G43" s="73"/>
      <c r="H43" s="498">
        <f>+'5. Csicsergő'!H30</f>
        <v>13641320</v>
      </c>
      <c r="I43" s="73">
        <f>+'5. Csicsergő'!I30</f>
        <v>20284766</v>
      </c>
      <c r="J43" s="73">
        <f>+'5. Csicsergő'!J30</f>
        <v>27063422</v>
      </c>
      <c r="K43" s="73"/>
      <c r="L43" s="73"/>
      <c r="M43" s="73"/>
      <c r="N43" s="459"/>
      <c r="O43" s="73"/>
      <c r="P43" s="498">
        <f>+'5. Csicsergő'!P30</f>
        <v>0</v>
      </c>
      <c r="Q43" s="73">
        <f>+'5. Csicsergő'!Q30</f>
        <v>0</v>
      </c>
      <c r="R43" s="73">
        <f>+'5. Csicsergő'!R30</f>
        <v>0</v>
      </c>
      <c r="S43" s="73">
        <f>+'5. Csicsergő'!S30</f>
        <v>0</v>
      </c>
      <c r="T43" s="499"/>
      <c r="U43" s="74"/>
    </row>
    <row r="44" spans="1:21" x14ac:dyDescent="0.25">
      <c r="B44" s="56" t="str">
        <f t="shared" si="34"/>
        <v>Gólyahír Bőlcsőde</v>
      </c>
      <c r="C44" s="498">
        <f>+'6. Gólyahír'!C29</f>
        <v>8800000</v>
      </c>
      <c r="D44" s="73">
        <f>+'6. Gólyahír'!D29</f>
        <v>8800000</v>
      </c>
      <c r="E44" s="73">
        <f>+'6. Gólyahír'!E29</f>
        <v>8800000</v>
      </c>
      <c r="F44" s="459">
        <f>+'6. Gólyahír'!F29</f>
        <v>8828148</v>
      </c>
      <c r="G44" s="73"/>
      <c r="H44" s="498">
        <f>+'6. Gólyahír'!H29</f>
        <v>4415490</v>
      </c>
      <c r="I44" s="73">
        <f>+'6. Gólyahír'!I29</f>
        <v>6672747</v>
      </c>
      <c r="J44" s="73">
        <f>+'6. Gólyahír'!J29</f>
        <v>8828148</v>
      </c>
      <c r="K44" s="73"/>
      <c r="L44" s="73"/>
      <c r="M44" s="73"/>
      <c r="N44" s="459"/>
      <c r="O44" s="73"/>
      <c r="P44" s="498">
        <f>+'6. Gólyahír'!P29</f>
        <v>0</v>
      </c>
      <c r="Q44" s="73">
        <f>+'6. Gólyahír'!Q29</f>
        <v>0</v>
      </c>
      <c r="R44" s="73">
        <f>+'6. Gólyahír'!R29</f>
        <v>0</v>
      </c>
      <c r="S44" s="73">
        <f>+'6. Gólyahír'!S29</f>
        <v>0</v>
      </c>
      <c r="T44" s="499"/>
      <c r="U44" s="74"/>
    </row>
    <row r="45" spans="1:21" x14ac:dyDescent="0.25">
      <c r="B45" s="56" t="str">
        <f t="shared" si="34"/>
        <v>Sülysápi Polgármesteri Hivatal</v>
      </c>
      <c r="C45" s="498">
        <f>+'7. Polg.Hiv.'!C29</f>
        <v>19000000</v>
      </c>
      <c r="D45" s="73">
        <f>+'7. Polg.Hiv.'!D29</f>
        <v>19000000</v>
      </c>
      <c r="E45" s="73">
        <f>+'7. Polg.Hiv.'!E29</f>
        <v>19000000</v>
      </c>
      <c r="F45" s="459">
        <f>+'7. Polg.Hiv.'!F29</f>
        <v>18835690</v>
      </c>
      <c r="G45" s="73"/>
      <c r="H45" s="498">
        <f>+'7. Polg.Hiv.'!H29</f>
        <v>10041548</v>
      </c>
      <c r="I45" s="73">
        <f>+'7. Polg.Hiv.'!I29</f>
        <v>14630193</v>
      </c>
      <c r="J45" s="73">
        <f>+'7. Polg.Hiv.'!J29</f>
        <v>18835690</v>
      </c>
      <c r="K45" s="73"/>
      <c r="L45" s="73"/>
      <c r="M45" s="73"/>
      <c r="N45" s="459"/>
      <c r="O45" s="73"/>
      <c r="P45" s="498">
        <f>+'7. Polg.Hiv.'!P29</f>
        <v>0</v>
      </c>
      <c r="Q45" s="73">
        <f>+'7. Polg.Hiv.'!Q29</f>
        <v>0</v>
      </c>
      <c r="R45" s="73">
        <f>+'7. Polg.Hiv.'!R29</f>
        <v>0</v>
      </c>
      <c r="S45" s="73">
        <f>+'7. Polg.Hiv.'!S29</f>
        <v>0</v>
      </c>
      <c r="T45" s="499"/>
      <c r="U45" s="74"/>
    </row>
    <row r="46" spans="1:21" x14ac:dyDescent="0.25">
      <c r="B46" s="56" t="str">
        <f t="shared" si="34"/>
        <v>Wass Albert Művelődési Központ és Könyvtár</v>
      </c>
      <c r="C46" s="498">
        <f>+'8. WAMKK'!C29</f>
        <v>2700000</v>
      </c>
      <c r="D46" s="73">
        <f>+'8. WAMKK'!D29</f>
        <v>2700000</v>
      </c>
      <c r="E46" s="73">
        <f>+'8. WAMKK'!E29</f>
        <v>2700000</v>
      </c>
      <c r="F46" s="459">
        <f>+'8. WAMKK'!F29</f>
        <v>2700000</v>
      </c>
      <c r="G46" s="73"/>
      <c r="H46" s="498">
        <f>+'8. WAMKK'!H29</f>
        <v>1337882</v>
      </c>
      <c r="I46" s="73">
        <f>+'8. WAMKK'!I29</f>
        <v>2009235</v>
      </c>
      <c r="J46" s="73">
        <f>+'8. WAMKK'!J29</f>
        <v>2619895</v>
      </c>
      <c r="K46" s="73"/>
      <c r="L46" s="73"/>
      <c r="M46" s="73"/>
      <c r="N46" s="459"/>
      <c r="O46" s="73"/>
      <c r="P46" s="498">
        <f>+'8. WAMKK'!P29</f>
        <v>0</v>
      </c>
      <c r="Q46" s="73">
        <f>+'8. WAMKK'!Q29</f>
        <v>0</v>
      </c>
      <c r="R46" s="73">
        <f>+'8. WAMKK'!R29</f>
        <v>0</v>
      </c>
      <c r="S46" s="73">
        <f>+'8. WAMKK'!S29</f>
        <v>0</v>
      </c>
      <c r="T46" s="499"/>
      <c r="U46" s="74"/>
    </row>
    <row r="47" spans="1:21" x14ac:dyDescent="0.25">
      <c r="B47" s="56" t="str">
        <f t="shared" si="34"/>
        <v>Központi Konyha</v>
      </c>
      <c r="C47" s="498">
        <f>+'9. Közp. Konyha'!C29</f>
        <v>5400000</v>
      </c>
      <c r="D47" s="73">
        <f>+'9. Közp. Konyha'!D29</f>
        <v>5400000</v>
      </c>
      <c r="E47" s="73">
        <f>+'9. Közp. Konyha'!E29</f>
        <v>5400000</v>
      </c>
      <c r="F47" s="459">
        <f>+'9. Közp. Konyha'!F29</f>
        <v>5400000</v>
      </c>
      <c r="G47" s="73"/>
      <c r="H47" s="498">
        <f>+'9. Közp. Konyha'!H29</f>
        <v>1767179</v>
      </c>
      <c r="I47" s="73">
        <f>+'9. Közp. Konyha'!I29</f>
        <v>2950411</v>
      </c>
      <c r="J47" s="73">
        <f>+'9. Közp. Konyha'!J29</f>
        <v>4207727</v>
      </c>
      <c r="K47" s="73"/>
      <c r="L47" s="73"/>
      <c r="M47" s="73"/>
      <c r="N47" s="459"/>
      <c r="O47" s="73"/>
      <c r="P47" s="498">
        <f>+'9. Közp. Konyha'!P29</f>
        <v>0</v>
      </c>
      <c r="Q47" s="73">
        <f>+'9. Közp. Konyha'!Q29</f>
        <v>0</v>
      </c>
      <c r="R47" s="73">
        <f>+'9. Közp. Konyha'!R29</f>
        <v>0</v>
      </c>
      <c r="S47" s="73">
        <f>+'9. Közp. Konyha'!S29</f>
        <v>0</v>
      </c>
      <c r="T47" s="499"/>
      <c r="U47" s="74"/>
    </row>
    <row r="48" spans="1:21" ht="8.1" customHeight="1" x14ac:dyDescent="0.25">
      <c r="B48" s="383" t="s">
        <v>442</v>
      </c>
      <c r="C48" s="500"/>
      <c r="D48" s="382"/>
      <c r="E48" s="382"/>
      <c r="F48" s="511"/>
      <c r="G48" s="382"/>
      <c r="H48" s="500"/>
      <c r="I48" s="382"/>
      <c r="J48" s="382"/>
      <c r="K48" s="382"/>
      <c r="L48" s="382"/>
      <c r="M48" s="382"/>
      <c r="N48" s="511"/>
      <c r="O48" s="382"/>
      <c r="P48" s="500"/>
      <c r="Q48" s="382"/>
      <c r="R48" s="382"/>
      <c r="S48" s="382"/>
      <c r="T48" s="499"/>
      <c r="U48" s="74"/>
    </row>
    <row r="49" spans="1:21" x14ac:dyDescent="0.25">
      <c r="A49" s="384" t="str">
        <f>+A40</f>
        <v>K2</v>
      </c>
      <c r="B49" s="364" t="s">
        <v>436</v>
      </c>
      <c r="C49" s="501">
        <f>SUM(C41:C48)</f>
        <v>77500000</v>
      </c>
      <c r="D49" s="365">
        <f t="shared" ref="D49:F49" si="35">SUM(D41:D48)</f>
        <v>78500000</v>
      </c>
      <c r="E49" s="365">
        <f t="shared" si="35"/>
        <v>78500000</v>
      </c>
      <c r="F49" s="512">
        <f t="shared" si="35"/>
        <v>79798569</v>
      </c>
      <c r="G49" s="365"/>
      <c r="H49" s="501">
        <f>SUM(H41:H48)</f>
        <v>39836924</v>
      </c>
      <c r="I49" s="365">
        <f t="shared" ref="I49:J49" si="36">SUM(I41:I48)</f>
        <v>59199109</v>
      </c>
      <c r="J49" s="365">
        <f t="shared" si="36"/>
        <v>78526191</v>
      </c>
      <c r="K49" s="365"/>
      <c r="L49" s="365"/>
      <c r="M49" s="365"/>
      <c r="N49" s="512"/>
      <c r="O49" s="365"/>
      <c r="P49" s="501">
        <f>SUM(P41:P48)</f>
        <v>1000000</v>
      </c>
      <c r="Q49" s="365">
        <f t="shared" ref="Q49:S49" si="37">SUM(Q41:Q48)</f>
        <v>0</v>
      </c>
      <c r="R49" s="365">
        <f t="shared" si="37"/>
        <v>596487</v>
      </c>
      <c r="S49" s="365">
        <f t="shared" si="37"/>
        <v>1000000</v>
      </c>
      <c r="T49" s="499"/>
      <c r="U49" s="74"/>
    </row>
    <row r="50" spans="1:21" x14ac:dyDescent="0.25">
      <c r="C50" s="498"/>
      <c r="D50" s="74"/>
      <c r="E50" s="74"/>
      <c r="F50" s="524"/>
      <c r="G50" s="74"/>
      <c r="H50" s="498"/>
      <c r="K50" s="74"/>
      <c r="L50" s="87"/>
      <c r="M50" s="87"/>
      <c r="N50" s="499"/>
      <c r="O50" s="74"/>
      <c r="P50" s="498"/>
      <c r="Q50" s="73"/>
      <c r="R50" s="73"/>
      <c r="S50" s="73"/>
      <c r="T50" s="499"/>
      <c r="U50" s="74"/>
    </row>
    <row r="51" spans="1:21" x14ac:dyDescent="0.25">
      <c r="C51" s="498"/>
      <c r="D51" s="74"/>
      <c r="E51" s="74"/>
      <c r="F51" s="524"/>
      <c r="G51" s="74"/>
      <c r="H51" s="498"/>
      <c r="K51" s="74"/>
      <c r="L51" s="87"/>
      <c r="M51" s="87"/>
      <c r="N51" s="499"/>
      <c r="O51" s="74"/>
      <c r="P51" s="498"/>
      <c r="Q51" s="73"/>
      <c r="R51" s="73"/>
      <c r="S51" s="73"/>
      <c r="T51" s="499"/>
      <c r="U51" s="74"/>
    </row>
    <row r="52" spans="1:21" x14ac:dyDescent="0.25">
      <c r="A52" s="320" t="s">
        <v>27</v>
      </c>
      <c r="B52" s="320" t="str">
        <f>+'3. Önk. Kiadások'!B32</f>
        <v>Dologi kiadások</v>
      </c>
      <c r="C52" s="498"/>
      <c r="D52" s="74"/>
      <c r="E52" s="74"/>
      <c r="F52" s="524"/>
      <c r="G52" s="74"/>
      <c r="H52" s="498"/>
      <c r="K52" s="74"/>
      <c r="L52" s="87"/>
      <c r="M52" s="87"/>
      <c r="N52" s="499"/>
      <c r="O52" s="74"/>
      <c r="P52" s="498"/>
      <c r="Q52" s="73"/>
      <c r="R52" s="73"/>
      <c r="S52" s="73"/>
      <c r="T52" s="499"/>
      <c r="U52" s="74"/>
    </row>
    <row r="53" spans="1:21" x14ac:dyDescent="0.25">
      <c r="B53" s="56" t="str">
        <f t="shared" ref="B53:B59" si="38">+B41</f>
        <v>Sülysáp Város Önkormányzata</v>
      </c>
      <c r="C53" s="498">
        <f>+'3. Önk. Kiadások'!C32</f>
        <v>341413654</v>
      </c>
      <c r="D53" s="73">
        <f>+'3. Önk. Kiadások'!D32</f>
        <v>325013405</v>
      </c>
      <c r="E53" s="73">
        <f>+'3. Önk. Kiadások'!E32</f>
        <v>340318206</v>
      </c>
      <c r="F53" s="459">
        <f>+'3. Önk. Kiadások'!F32</f>
        <v>286646085</v>
      </c>
      <c r="G53" s="74"/>
      <c r="H53" s="498">
        <f>+'3. Önk. Kiadások'!H32</f>
        <v>173982237</v>
      </c>
      <c r="I53" s="73">
        <f>+'3. Önk. Kiadások'!I32</f>
        <v>203143318</v>
      </c>
      <c r="J53" s="73">
        <f>+'3. Önk. Kiadások'!J32</f>
        <v>274439172</v>
      </c>
      <c r="K53" s="74"/>
      <c r="L53" s="87"/>
      <c r="M53" s="87"/>
      <c r="N53" s="499"/>
      <c r="O53" s="74"/>
      <c r="P53" s="498">
        <f>+'3. Önk. Kiadások'!P32</f>
        <v>-16400249</v>
      </c>
      <c r="Q53" s="73">
        <f>+'3. Önk. Kiadások'!Q32</f>
        <v>15304801</v>
      </c>
      <c r="R53" s="73">
        <f>+'3. Önk. Kiadások'!R32</f>
        <v>-53672121</v>
      </c>
      <c r="S53" s="73">
        <f>+'3. Önk. Kiadások'!S32</f>
        <v>-1095448</v>
      </c>
      <c r="T53" s="499"/>
      <c r="U53" s="74"/>
    </row>
    <row r="54" spans="1:21" x14ac:dyDescent="0.25">
      <c r="A54" s="56"/>
      <c r="B54" s="56" t="str">
        <f t="shared" si="38"/>
        <v>Dr. Gáspár István HSZK</v>
      </c>
      <c r="C54" s="498">
        <f>+'4. Dr Gáspár HSZK'!C32</f>
        <v>11570000</v>
      </c>
      <c r="D54" s="73">
        <f>+'4. Dr Gáspár HSZK'!D32</f>
        <v>11570000</v>
      </c>
      <c r="E54" s="73">
        <f>+'4. Dr Gáspár HSZK'!E32</f>
        <v>11570000</v>
      </c>
      <c r="F54" s="459">
        <f>+'4. Dr Gáspár HSZK'!F32</f>
        <v>11541054</v>
      </c>
      <c r="G54" s="73"/>
      <c r="H54" s="527">
        <f>+'4. Dr Gáspár HSZK'!H32</f>
        <v>5248399</v>
      </c>
      <c r="I54" s="318">
        <f>+'4. Dr Gáspár HSZK'!I32</f>
        <v>7719977</v>
      </c>
      <c r="J54" s="73">
        <f>+'4. Dr Gáspár HSZK'!J32</f>
        <v>10670176</v>
      </c>
      <c r="K54" s="73"/>
      <c r="L54" s="73"/>
      <c r="M54" s="73"/>
      <c r="N54" s="459"/>
      <c r="O54" s="73"/>
      <c r="P54" s="498">
        <f>+'4. Dr Gáspár HSZK'!P32</f>
        <v>0</v>
      </c>
      <c r="Q54" s="73">
        <f>+'4. Dr Gáspár HSZK'!Q32</f>
        <v>0</v>
      </c>
      <c r="R54" s="73">
        <f>+'4. Dr Gáspár HSZK'!R32</f>
        <v>0</v>
      </c>
      <c r="S54" s="73">
        <f>+'4. Dr Gáspár HSZK'!S32</f>
        <v>0</v>
      </c>
      <c r="T54" s="499"/>
      <c r="U54" s="74"/>
    </row>
    <row r="55" spans="1:21" x14ac:dyDescent="0.25">
      <c r="B55" s="56" t="str">
        <f t="shared" si="38"/>
        <v>Sülysápi Csicsergő Óvoda</v>
      </c>
      <c r="C55" s="498">
        <f>+'5. Csicsergő'!C33</f>
        <v>13425000</v>
      </c>
      <c r="D55" s="73">
        <f>+'5. Csicsergő'!D33</f>
        <v>13425000</v>
      </c>
      <c r="E55" s="73">
        <f>+'5. Csicsergő'!E33</f>
        <v>12769557</v>
      </c>
      <c r="F55" s="459">
        <f>+'5. Csicsergő'!F33</f>
        <v>12702667</v>
      </c>
      <c r="G55" s="73"/>
      <c r="H55" s="498">
        <f>+'5. Csicsergő'!H33</f>
        <v>5334888</v>
      </c>
      <c r="I55" s="73">
        <f>+'5. Csicsergő'!I33</f>
        <v>7770882</v>
      </c>
      <c r="J55" s="73">
        <f>+'5. Csicsergő'!J33</f>
        <v>10660790</v>
      </c>
      <c r="K55" s="73"/>
      <c r="L55" s="73"/>
      <c r="M55" s="73"/>
      <c r="N55" s="459"/>
      <c r="O55" s="73"/>
      <c r="P55" s="498">
        <f>+'5. Csicsergő'!P33</f>
        <v>0</v>
      </c>
      <c r="Q55" s="73">
        <f>+'5. Csicsergő'!Q33</f>
        <v>-655443</v>
      </c>
      <c r="R55" s="73">
        <f>+'5. Csicsergő'!R33</f>
        <v>0</v>
      </c>
      <c r="S55" s="73">
        <f>+'5. Csicsergő'!S33</f>
        <v>-655443</v>
      </c>
      <c r="T55" s="499"/>
      <c r="U55" s="74"/>
    </row>
    <row r="56" spans="1:21" x14ac:dyDescent="0.25">
      <c r="B56" s="56" t="str">
        <f t="shared" si="38"/>
        <v>Gólyahír Bőlcsőde</v>
      </c>
      <c r="C56" s="498">
        <f>+'6. Gólyahír'!C32</f>
        <v>12202000</v>
      </c>
      <c r="D56" s="73">
        <f>+'6. Gólyahír'!D32</f>
        <v>12202000</v>
      </c>
      <c r="E56" s="73">
        <f>+'6. Gólyahír'!E32</f>
        <v>12202000</v>
      </c>
      <c r="F56" s="459">
        <f>+'6. Gólyahír'!F32</f>
        <v>11724665</v>
      </c>
      <c r="G56" s="73"/>
      <c r="H56" s="498">
        <f>+'6. Gólyahír'!H32</f>
        <v>5037335</v>
      </c>
      <c r="I56" s="73">
        <f>+'6. Gólyahír'!I32</f>
        <v>7077854</v>
      </c>
      <c r="J56" s="73">
        <f>+'6. Gólyahír'!J32</f>
        <v>10708948</v>
      </c>
      <c r="K56" s="73"/>
      <c r="L56" s="73"/>
      <c r="M56" s="73"/>
      <c r="N56" s="459"/>
      <c r="O56" s="73"/>
      <c r="P56" s="498">
        <f>+'6. Gólyahír'!P32</f>
        <v>0</v>
      </c>
      <c r="Q56" s="73">
        <f>+'6. Gólyahír'!Q32</f>
        <v>0</v>
      </c>
      <c r="R56" s="73">
        <f>+'6. Gólyahír'!R32</f>
        <v>0</v>
      </c>
      <c r="S56" s="73">
        <f>+'6. Gólyahír'!S32</f>
        <v>0</v>
      </c>
      <c r="T56" s="499"/>
      <c r="U56" s="74"/>
    </row>
    <row r="57" spans="1:21" x14ac:dyDescent="0.25">
      <c r="B57" s="56" t="str">
        <f t="shared" si="38"/>
        <v>Sülysápi Polgármesteri Hivatal</v>
      </c>
      <c r="C57" s="498">
        <f>+'7. Polg.Hiv.'!C32</f>
        <v>10790000</v>
      </c>
      <c r="D57" s="73">
        <f>+'7. Polg.Hiv.'!D32</f>
        <v>10227365</v>
      </c>
      <c r="E57" s="73">
        <f>+'7. Polg.Hiv.'!E32</f>
        <v>10227365</v>
      </c>
      <c r="F57" s="459">
        <f>+'7. Polg.Hiv.'!F32</f>
        <v>10107365</v>
      </c>
      <c r="G57" s="73"/>
      <c r="H57" s="498">
        <f>+'7. Polg.Hiv.'!H32</f>
        <v>4228180</v>
      </c>
      <c r="I57" s="73">
        <f>+'7. Polg.Hiv.'!I32</f>
        <v>6569990</v>
      </c>
      <c r="J57" s="73">
        <f>+'7. Polg.Hiv.'!J32</f>
        <v>9160416</v>
      </c>
      <c r="K57" s="73"/>
      <c r="L57" s="73"/>
      <c r="M57" s="73"/>
      <c r="N57" s="459"/>
      <c r="O57" s="73"/>
      <c r="P57" s="498">
        <f>+'7. Polg.Hiv.'!P32</f>
        <v>-562635</v>
      </c>
      <c r="Q57" s="73">
        <f>+'7. Polg.Hiv.'!Q32</f>
        <v>0</v>
      </c>
      <c r="R57" s="73">
        <f>+'7. Polg.Hiv.'!R32</f>
        <v>0</v>
      </c>
      <c r="S57" s="73">
        <f>+'7. Polg.Hiv.'!S32</f>
        <v>-562635</v>
      </c>
      <c r="T57" s="499"/>
      <c r="U57" s="74"/>
    </row>
    <row r="58" spans="1:21" x14ac:dyDescent="0.25">
      <c r="B58" s="56" t="str">
        <f t="shared" si="38"/>
        <v>Wass Albert Művelődési Központ és Könyvtár</v>
      </c>
      <c r="C58" s="498">
        <f>+'8. WAMKK'!C32</f>
        <v>10128000</v>
      </c>
      <c r="D58" s="73">
        <f>+'8. WAMKK'!D32</f>
        <v>10128000</v>
      </c>
      <c r="E58" s="73">
        <f>+'8. WAMKK'!E32</f>
        <v>10830890</v>
      </c>
      <c r="F58" s="459">
        <f>+'8. WAMKK'!F32</f>
        <v>15093404</v>
      </c>
      <c r="G58" s="73"/>
      <c r="H58" s="498">
        <f>+'8. WAMKK'!H32</f>
        <v>2483295</v>
      </c>
      <c r="I58" s="73">
        <f>+'8. WAMKK'!I32</f>
        <v>7341303</v>
      </c>
      <c r="J58" s="73">
        <f>+'8. WAMKK'!J32</f>
        <v>13943046</v>
      </c>
      <c r="K58" s="73"/>
      <c r="L58" s="73"/>
      <c r="M58" s="73"/>
      <c r="N58" s="459"/>
      <c r="O58" s="73"/>
      <c r="P58" s="498">
        <f>+'8. WAMKK'!P32</f>
        <v>0</v>
      </c>
      <c r="Q58" s="73">
        <f>+'8. WAMKK'!Q32</f>
        <v>702890</v>
      </c>
      <c r="R58" s="73">
        <f>+'8. WAMKK'!R32</f>
        <v>0</v>
      </c>
      <c r="S58" s="73">
        <f>+'8. WAMKK'!S32</f>
        <v>702890</v>
      </c>
      <c r="T58" s="499"/>
      <c r="U58" s="74"/>
    </row>
    <row r="59" spans="1:21" x14ac:dyDescent="0.25">
      <c r="B59" s="56" t="str">
        <f t="shared" si="38"/>
        <v>Központi Konyha</v>
      </c>
      <c r="C59" s="498">
        <f>+'9. Közp. Konyha'!C32</f>
        <v>74036000</v>
      </c>
      <c r="D59" s="73">
        <f>+'9. Közp. Konyha'!D32</f>
        <v>74036000</v>
      </c>
      <c r="E59" s="73">
        <f>+'9. Közp. Konyha'!E32</f>
        <v>74036000</v>
      </c>
      <c r="F59" s="459">
        <f>+'9. Közp. Konyha'!F32</f>
        <v>74036000</v>
      </c>
      <c r="G59" s="73"/>
      <c r="H59" s="498">
        <f>+'9. Közp. Konyha'!H32</f>
        <v>31375000</v>
      </c>
      <c r="I59" s="73">
        <f>+'9. Közp. Konyha'!I32</f>
        <v>42629381</v>
      </c>
      <c r="J59" s="73">
        <f>+'9. Közp. Konyha'!J32</f>
        <v>62605446</v>
      </c>
      <c r="K59" s="73"/>
      <c r="L59" s="73"/>
      <c r="M59" s="73"/>
      <c r="N59" s="459"/>
      <c r="O59" s="73"/>
      <c r="P59" s="498">
        <f>+'9. Közp. Konyha'!P32</f>
        <v>0</v>
      </c>
      <c r="Q59" s="73">
        <f>+'9. Közp. Konyha'!Q32</f>
        <v>0</v>
      </c>
      <c r="R59" s="73">
        <f>+'9. Közp. Konyha'!R32</f>
        <v>0</v>
      </c>
      <c r="S59" s="73">
        <f>+'9. Közp. Konyha'!S32</f>
        <v>0</v>
      </c>
      <c r="T59" s="499"/>
      <c r="U59" s="74"/>
    </row>
    <row r="60" spans="1:21" ht="8.1" customHeight="1" x14ac:dyDescent="0.25">
      <c r="B60" s="383" t="s">
        <v>442</v>
      </c>
      <c r="C60" s="500"/>
      <c r="D60" s="382"/>
      <c r="E60" s="382"/>
      <c r="F60" s="511"/>
      <c r="G60" s="382"/>
      <c r="H60" s="500"/>
      <c r="I60" s="382"/>
      <c r="J60" s="382"/>
      <c r="K60" s="382"/>
      <c r="L60" s="382"/>
      <c r="M60" s="382"/>
      <c r="N60" s="511"/>
      <c r="O60" s="382"/>
      <c r="P60" s="500"/>
      <c r="Q60" s="382"/>
      <c r="R60" s="382"/>
      <c r="S60" s="382"/>
      <c r="T60" s="499"/>
      <c r="U60" s="74"/>
    </row>
    <row r="61" spans="1:21" x14ac:dyDescent="0.25">
      <c r="A61" s="384" t="str">
        <f>+A52</f>
        <v>K3</v>
      </c>
      <c r="B61" s="364" t="s">
        <v>436</v>
      </c>
      <c r="C61" s="501">
        <f>SUM(C53:C60)</f>
        <v>473564654</v>
      </c>
      <c r="D61" s="365">
        <f t="shared" ref="D61:F61" si="39">SUM(D53:D60)</f>
        <v>456601770</v>
      </c>
      <c r="E61" s="365">
        <f t="shared" si="39"/>
        <v>471954018</v>
      </c>
      <c r="F61" s="512">
        <f t="shared" si="39"/>
        <v>421851240</v>
      </c>
      <c r="G61" s="365"/>
      <c r="H61" s="501">
        <f>SUM(H53:H60)</f>
        <v>227689334</v>
      </c>
      <c r="I61" s="365">
        <f t="shared" ref="I61:J61" si="40">SUM(I53:I60)</f>
        <v>282252705</v>
      </c>
      <c r="J61" s="365">
        <f t="shared" si="40"/>
        <v>392187994</v>
      </c>
      <c r="K61" s="365"/>
      <c r="L61" s="365"/>
      <c r="M61" s="365"/>
      <c r="N61" s="512"/>
      <c r="O61" s="365"/>
      <c r="P61" s="501">
        <f>SUM(P53:P60)</f>
        <v>-16962884</v>
      </c>
      <c r="Q61" s="365">
        <f t="shared" ref="Q61:S61" si="41">SUM(Q53:Q60)</f>
        <v>15352248</v>
      </c>
      <c r="R61" s="365">
        <f t="shared" si="41"/>
        <v>-53672121</v>
      </c>
      <c r="S61" s="365">
        <f t="shared" si="41"/>
        <v>-1610636</v>
      </c>
      <c r="T61" s="499"/>
      <c r="U61" s="74"/>
    </row>
    <row r="62" spans="1:21" x14ac:dyDescent="0.25">
      <c r="C62" s="498"/>
      <c r="D62" s="74"/>
      <c r="E62" s="74"/>
      <c r="F62" s="524"/>
      <c r="G62" s="74"/>
      <c r="H62" s="498"/>
      <c r="K62" s="74"/>
      <c r="L62" s="87"/>
      <c r="M62" s="87"/>
      <c r="N62" s="499"/>
      <c r="O62" s="74"/>
      <c r="P62" s="498"/>
      <c r="Q62" s="73"/>
      <c r="R62" s="73"/>
      <c r="S62" s="73"/>
      <c r="T62" s="499"/>
      <c r="U62" s="74"/>
    </row>
    <row r="63" spans="1:21" x14ac:dyDescent="0.25">
      <c r="C63" s="498"/>
      <c r="D63" s="74"/>
      <c r="E63" s="74"/>
      <c r="F63" s="524"/>
      <c r="G63" s="74"/>
      <c r="H63" s="498"/>
      <c r="K63" s="74"/>
      <c r="L63" s="87"/>
      <c r="M63" s="87"/>
      <c r="N63" s="499"/>
      <c r="O63" s="74"/>
      <c r="P63" s="498"/>
      <c r="Q63" s="73"/>
      <c r="R63" s="73"/>
      <c r="S63" s="73"/>
      <c r="T63" s="499"/>
      <c r="U63" s="74"/>
    </row>
    <row r="64" spans="1:21" x14ac:dyDescent="0.25">
      <c r="A64" s="320" t="s">
        <v>107</v>
      </c>
      <c r="B64" s="320" t="str">
        <f>+'3. Önk. Kiadások'!B81</f>
        <v>Elláttotak pénzpeli juttatásai</v>
      </c>
      <c r="C64" s="498"/>
      <c r="D64" s="74"/>
      <c r="E64" s="74"/>
      <c r="F64" s="524"/>
      <c r="G64" s="74"/>
      <c r="H64" s="498"/>
      <c r="K64" s="74"/>
      <c r="L64" s="87"/>
      <c r="M64" s="87"/>
      <c r="N64" s="499"/>
      <c r="O64" s="74"/>
      <c r="P64" s="498"/>
      <c r="Q64" s="73"/>
      <c r="R64" s="73"/>
      <c r="S64" s="73"/>
      <c r="T64" s="499"/>
      <c r="U64" s="74"/>
    </row>
    <row r="65" spans="1:21" x14ac:dyDescent="0.25">
      <c r="B65" s="56" t="str">
        <f t="shared" ref="B65:B71" si="42">+B53</f>
        <v>Sülysáp Város Önkormányzata</v>
      </c>
      <c r="C65" s="498">
        <f>+'3. Önk. Kiadások'!C81</f>
        <v>15000000</v>
      </c>
      <c r="D65" s="73">
        <f>+'3. Önk. Kiadások'!D81</f>
        <v>15012540</v>
      </c>
      <c r="E65" s="73">
        <f>+'3. Önk. Kiadások'!E81</f>
        <v>15012540</v>
      </c>
      <c r="F65" s="459">
        <f>+'3. Önk. Kiadások'!F81</f>
        <v>15000000</v>
      </c>
      <c r="G65" s="74"/>
      <c r="H65" s="498">
        <f>+'3. Önk. Kiadások'!H81</f>
        <v>5890794</v>
      </c>
      <c r="I65" s="73">
        <f>+'3. Önk. Kiadások'!I81</f>
        <v>8972294</v>
      </c>
      <c r="J65" s="73">
        <f>+'3. Önk. Kiadások'!J81</f>
        <v>11964794</v>
      </c>
      <c r="K65" s="74"/>
      <c r="L65" s="87"/>
      <c r="M65" s="87"/>
      <c r="N65" s="499"/>
      <c r="O65" s="74"/>
      <c r="P65" s="498">
        <f>+'3. Önk. Kiadások'!P81</f>
        <v>12540</v>
      </c>
      <c r="Q65" s="73">
        <f>+'3. Önk. Kiadások'!Q81</f>
        <v>0</v>
      </c>
      <c r="R65" s="73">
        <f>+'3. Önk. Kiadások'!R81</f>
        <v>-12540</v>
      </c>
      <c r="S65" s="73">
        <f>+'3. Önk. Kiadások'!S81</f>
        <v>12540</v>
      </c>
      <c r="T65" s="499"/>
      <c r="U65" s="74"/>
    </row>
    <row r="66" spans="1:21" x14ac:dyDescent="0.25">
      <c r="A66" s="56"/>
      <c r="B66" s="56" t="str">
        <f t="shared" si="42"/>
        <v>Dr. Gáspár István HSZK</v>
      </c>
      <c r="C66" s="498"/>
      <c r="D66" s="73"/>
      <c r="E66" s="73"/>
      <c r="F66" s="459"/>
      <c r="G66" s="73"/>
      <c r="H66" s="498"/>
      <c r="I66" s="73"/>
      <c r="J66" s="73"/>
      <c r="K66" s="73"/>
      <c r="L66" s="73"/>
      <c r="M66" s="73"/>
      <c r="N66" s="459"/>
      <c r="O66" s="73"/>
      <c r="P66" s="498"/>
      <c r="Q66" s="73"/>
      <c r="R66" s="73"/>
      <c r="S66" s="73"/>
      <c r="T66" s="499"/>
      <c r="U66" s="74"/>
    </row>
    <row r="67" spans="1:21" x14ac:dyDescent="0.25">
      <c r="B67" s="56" t="str">
        <f t="shared" si="42"/>
        <v>Sülysápi Csicsergő Óvoda</v>
      </c>
      <c r="C67" s="498"/>
      <c r="D67" s="73"/>
      <c r="E67" s="73"/>
      <c r="F67" s="459"/>
      <c r="G67" s="73"/>
      <c r="H67" s="498"/>
      <c r="I67" s="73"/>
      <c r="J67" s="73"/>
      <c r="K67" s="73"/>
      <c r="L67" s="73"/>
      <c r="M67" s="73"/>
      <c r="N67" s="459"/>
      <c r="O67" s="73"/>
      <c r="P67" s="498"/>
      <c r="Q67" s="73"/>
      <c r="R67" s="73"/>
      <c r="S67" s="73"/>
      <c r="T67" s="499"/>
      <c r="U67" s="74"/>
    </row>
    <row r="68" spans="1:21" x14ac:dyDescent="0.25">
      <c r="B68" s="56" t="str">
        <f t="shared" si="42"/>
        <v>Gólyahír Bőlcsőde</v>
      </c>
      <c r="C68" s="498"/>
      <c r="D68" s="73"/>
      <c r="E68" s="73"/>
      <c r="F68" s="459"/>
      <c r="G68" s="73"/>
      <c r="H68" s="498"/>
      <c r="I68" s="73"/>
      <c r="J68" s="73"/>
      <c r="K68" s="73"/>
      <c r="L68" s="73"/>
      <c r="M68" s="73"/>
      <c r="N68" s="459"/>
      <c r="O68" s="73"/>
      <c r="P68" s="498"/>
      <c r="Q68" s="73"/>
      <c r="R68" s="73"/>
      <c r="S68" s="73"/>
      <c r="T68" s="499"/>
      <c r="U68" s="74"/>
    </row>
    <row r="69" spans="1:21" x14ac:dyDescent="0.25">
      <c r="B69" s="56" t="str">
        <f t="shared" si="42"/>
        <v>Sülysápi Polgármesteri Hivatal</v>
      </c>
      <c r="C69" s="498"/>
      <c r="D69" s="73"/>
      <c r="E69" s="73"/>
      <c r="F69" s="459"/>
      <c r="G69" s="73"/>
      <c r="H69" s="498"/>
      <c r="I69" s="73"/>
      <c r="J69" s="73"/>
      <c r="K69" s="73"/>
      <c r="L69" s="73"/>
      <c r="M69" s="73"/>
      <c r="N69" s="459"/>
      <c r="O69" s="73"/>
      <c r="P69" s="498"/>
      <c r="Q69" s="73"/>
      <c r="R69" s="73"/>
      <c r="S69" s="73"/>
      <c r="T69" s="499"/>
      <c r="U69" s="74"/>
    </row>
    <row r="70" spans="1:21" x14ac:dyDescent="0.25">
      <c r="B70" s="56" t="str">
        <f t="shared" si="42"/>
        <v>Wass Albert Művelődési Központ és Könyvtár</v>
      </c>
      <c r="C70" s="498"/>
      <c r="D70" s="73"/>
      <c r="E70" s="73"/>
      <c r="F70" s="459"/>
      <c r="G70" s="73"/>
      <c r="H70" s="498"/>
      <c r="I70" s="73"/>
      <c r="J70" s="73"/>
      <c r="K70" s="73"/>
      <c r="L70" s="73"/>
      <c r="M70" s="73"/>
      <c r="N70" s="459"/>
      <c r="O70" s="73"/>
      <c r="P70" s="498"/>
      <c r="Q70" s="73"/>
      <c r="R70" s="73"/>
      <c r="S70" s="73"/>
      <c r="T70" s="499"/>
      <c r="U70" s="74"/>
    </row>
    <row r="71" spans="1:21" x14ac:dyDescent="0.25">
      <c r="B71" s="56" t="str">
        <f t="shared" si="42"/>
        <v>Központi Konyha</v>
      </c>
      <c r="C71" s="498"/>
      <c r="D71" s="73"/>
      <c r="E71" s="73"/>
      <c r="F71" s="459"/>
      <c r="G71" s="73"/>
      <c r="H71" s="498"/>
      <c r="I71" s="73"/>
      <c r="J71" s="73"/>
      <c r="K71" s="73"/>
      <c r="L71" s="73"/>
      <c r="M71" s="73"/>
      <c r="N71" s="459"/>
      <c r="O71" s="73"/>
      <c r="P71" s="498"/>
      <c r="Q71" s="73"/>
      <c r="R71" s="73"/>
      <c r="S71" s="73"/>
      <c r="T71" s="499"/>
      <c r="U71" s="74"/>
    </row>
    <row r="72" spans="1:21" ht="8.1" customHeight="1" x14ac:dyDescent="0.25">
      <c r="B72" s="383" t="s">
        <v>442</v>
      </c>
      <c r="C72" s="500"/>
      <c r="D72" s="382"/>
      <c r="E72" s="382"/>
      <c r="F72" s="511"/>
      <c r="G72" s="382"/>
      <c r="H72" s="500"/>
      <c r="I72" s="382"/>
      <c r="J72" s="382"/>
      <c r="K72" s="382"/>
      <c r="L72" s="382"/>
      <c r="M72" s="382"/>
      <c r="N72" s="511"/>
      <c r="O72" s="382"/>
      <c r="P72" s="500"/>
      <c r="Q72" s="382"/>
      <c r="R72" s="382"/>
      <c r="S72" s="382"/>
      <c r="T72" s="499"/>
      <c r="U72" s="74"/>
    </row>
    <row r="73" spans="1:21" x14ac:dyDescent="0.25">
      <c r="A73" s="384" t="str">
        <f>+A64</f>
        <v>K4</v>
      </c>
      <c r="B73" s="364" t="s">
        <v>436</v>
      </c>
      <c r="C73" s="501">
        <f>SUM(C65:C72)</f>
        <v>15000000</v>
      </c>
      <c r="D73" s="365">
        <f t="shared" ref="D73:F73" si="43">SUM(D65:D72)</f>
        <v>15012540</v>
      </c>
      <c r="E73" s="365">
        <f t="shared" si="43"/>
        <v>15012540</v>
      </c>
      <c r="F73" s="512">
        <f t="shared" si="43"/>
        <v>15000000</v>
      </c>
      <c r="G73" s="365"/>
      <c r="H73" s="501">
        <f>SUM(H65:H72)</f>
        <v>5890794</v>
      </c>
      <c r="I73" s="365">
        <f t="shared" ref="I73:J73" si="44">SUM(I65:I72)</f>
        <v>8972294</v>
      </c>
      <c r="J73" s="365">
        <f t="shared" si="44"/>
        <v>11964794</v>
      </c>
      <c r="K73" s="365"/>
      <c r="L73" s="365"/>
      <c r="M73" s="365"/>
      <c r="N73" s="512"/>
      <c r="O73" s="365"/>
      <c r="P73" s="501">
        <f>SUM(P65:P72)</f>
        <v>12540</v>
      </c>
      <c r="Q73" s="365">
        <f t="shared" ref="Q73:S73" si="45">SUM(Q65:Q72)</f>
        <v>0</v>
      </c>
      <c r="R73" s="365">
        <f t="shared" si="45"/>
        <v>-12540</v>
      </c>
      <c r="S73" s="365">
        <f t="shared" si="45"/>
        <v>12540</v>
      </c>
      <c r="T73" s="499"/>
      <c r="U73" s="74"/>
    </row>
    <row r="74" spans="1:21" x14ac:dyDescent="0.25">
      <c r="C74" s="502"/>
      <c r="F74" s="457"/>
      <c r="H74" s="502"/>
      <c r="N74" s="499"/>
      <c r="P74" s="502"/>
      <c r="T74" s="499"/>
    </row>
    <row r="75" spans="1:21" x14ac:dyDescent="0.25">
      <c r="C75" s="502"/>
      <c r="F75" s="457"/>
      <c r="H75" s="502"/>
      <c r="N75" s="499"/>
      <c r="P75" s="502"/>
      <c r="T75" s="499"/>
    </row>
    <row r="76" spans="1:21" x14ac:dyDescent="0.25">
      <c r="A76" s="320" t="s">
        <v>369</v>
      </c>
      <c r="B76" s="320" t="str">
        <f>+'3. Önk. Kiadások'!B106</f>
        <v>Egyéb működési célú kiadások</v>
      </c>
      <c r="C76" s="498"/>
      <c r="D76" s="74"/>
      <c r="E76" s="74"/>
      <c r="F76" s="524"/>
      <c r="G76" s="74"/>
      <c r="H76" s="498"/>
      <c r="K76" s="74"/>
      <c r="L76" s="87"/>
      <c r="M76" s="87"/>
      <c r="N76" s="499"/>
      <c r="O76" s="74"/>
      <c r="P76" s="498"/>
      <c r="Q76" s="73"/>
      <c r="R76" s="73"/>
      <c r="S76" s="73"/>
      <c r="T76" s="499"/>
      <c r="U76" s="74"/>
    </row>
    <row r="77" spans="1:21" x14ac:dyDescent="0.25">
      <c r="B77" s="56" t="str">
        <f t="shared" ref="B77:B83" si="46">+B65</f>
        <v>Sülysáp Város Önkormányzata</v>
      </c>
      <c r="C77" s="498">
        <f>+'3. Önk. Kiadások'!C106</f>
        <v>152600000</v>
      </c>
      <c r="D77" s="73">
        <f>+'3. Önk. Kiadások'!D106</f>
        <v>164026133</v>
      </c>
      <c r="E77" s="73">
        <f>+'3. Önk. Kiadások'!E106</f>
        <v>167046133</v>
      </c>
      <c r="F77" s="459">
        <f>+'3. Önk. Kiadások'!F106</f>
        <v>164848644</v>
      </c>
      <c r="G77" s="74"/>
      <c r="H77" s="498">
        <f>+'3. Önk. Kiadások'!H106</f>
        <v>89465409</v>
      </c>
      <c r="I77" s="73">
        <f>+'3. Önk. Kiadások'!I106</f>
        <v>122182084</v>
      </c>
      <c r="J77" s="73">
        <f>+'3. Önk. Kiadások'!J106</f>
        <v>144767924</v>
      </c>
      <c r="K77" s="74"/>
      <c r="L77" s="87"/>
      <c r="M77" s="87"/>
      <c r="N77" s="499"/>
      <c r="O77" s="74"/>
      <c r="P77" s="498">
        <f>+'3. Önk. Kiadások'!P106</f>
        <v>11426133</v>
      </c>
      <c r="Q77" s="73">
        <f>+'3. Önk. Kiadások'!Q106</f>
        <v>3020000</v>
      </c>
      <c r="R77" s="73">
        <f>+'3. Önk. Kiadások'!R106</f>
        <v>-2197489</v>
      </c>
      <c r="S77" s="73">
        <f>+'3. Önk. Kiadások'!S106</f>
        <v>14446133</v>
      </c>
      <c r="T77" s="499"/>
      <c r="U77" s="74"/>
    </row>
    <row r="78" spans="1:21" x14ac:dyDescent="0.25">
      <c r="A78" s="56"/>
      <c r="B78" s="56" t="str">
        <f t="shared" si="46"/>
        <v>Dr. Gáspár István HSZK</v>
      </c>
      <c r="C78" s="498"/>
      <c r="D78" s="73"/>
      <c r="E78" s="73"/>
      <c r="F78" s="459"/>
      <c r="G78" s="73"/>
      <c r="H78" s="498"/>
      <c r="I78" s="73"/>
      <c r="J78" s="73"/>
      <c r="K78" s="73"/>
      <c r="L78" s="73"/>
      <c r="M78" s="73"/>
      <c r="N78" s="459"/>
      <c r="O78" s="73"/>
      <c r="P78" s="498"/>
      <c r="Q78" s="73"/>
      <c r="R78" s="73"/>
      <c r="S78" s="73"/>
      <c r="T78" s="499"/>
      <c r="U78" s="74"/>
    </row>
    <row r="79" spans="1:21" x14ac:dyDescent="0.25">
      <c r="B79" s="56" t="str">
        <f t="shared" si="46"/>
        <v>Sülysápi Csicsergő Óvoda</v>
      </c>
      <c r="C79" s="498"/>
      <c r="D79" s="73"/>
      <c r="E79" s="73"/>
      <c r="F79" s="459"/>
      <c r="G79" s="73"/>
      <c r="H79" s="498"/>
      <c r="I79" s="73"/>
      <c r="J79" s="73"/>
      <c r="K79" s="73"/>
      <c r="L79" s="73"/>
      <c r="M79" s="73"/>
      <c r="N79" s="459"/>
      <c r="O79" s="73"/>
      <c r="P79" s="498"/>
      <c r="Q79" s="73"/>
      <c r="R79" s="73"/>
      <c r="S79" s="73"/>
      <c r="T79" s="499"/>
      <c r="U79" s="74"/>
    </row>
    <row r="80" spans="1:21" x14ac:dyDescent="0.25">
      <c r="B80" s="56" t="str">
        <f t="shared" si="46"/>
        <v>Gólyahír Bőlcsőde</v>
      </c>
      <c r="C80" s="498"/>
      <c r="D80" s="73"/>
      <c r="E80" s="73"/>
      <c r="F80" s="459"/>
      <c r="G80" s="73"/>
      <c r="H80" s="498"/>
      <c r="I80" s="73"/>
      <c r="J80" s="73"/>
      <c r="K80" s="73"/>
      <c r="L80" s="73"/>
      <c r="M80" s="73"/>
      <c r="N80" s="459"/>
      <c r="O80" s="73"/>
      <c r="P80" s="498"/>
      <c r="Q80" s="73"/>
      <c r="R80" s="73"/>
      <c r="S80" s="73"/>
      <c r="T80" s="499"/>
      <c r="U80" s="74"/>
    </row>
    <row r="81" spans="1:21" x14ac:dyDescent="0.25">
      <c r="B81" s="56" t="str">
        <f t="shared" si="46"/>
        <v>Sülysápi Polgármesteri Hivatal</v>
      </c>
      <c r="C81" s="498"/>
      <c r="D81" s="73"/>
      <c r="E81" s="73"/>
      <c r="F81" s="459"/>
      <c r="G81" s="73"/>
      <c r="H81" s="498"/>
      <c r="I81" s="73"/>
      <c r="J81" s="73"/>
      <c r="K81" s="73"/>
      <c r="L81" s="73"/>
      <c r="M81" s="73"/>
      <c r="N81" s="459"/>
      <c r="O81" s="73"/>
      <c r="P81" s="498"/>
      <c r="Q81" s="73"/>
      <c r="R81" s="73"/>
      <c r="S81" s="73"/>
      <c r="T81" s="499"/>
      <c r="U81" s="74"/>
    </row>
    <row r="82" spans="1:21" x14ac:dyDescent="0.25">
      <c r="B82" s="56" t="str">
        <f t="shared" si="46"/>
        <v>Wass Albert Művelődési Központ és Könyvtár</v>
      </c>
      <c r="C82" s="498"/>
      <c r="D82" s="73"/>
      <c r="E82" s="73"/>
      <c r="F82" s="459"/>
      <c r="G82" s="73"/>
      <c r="H82" s="498"/>
      <c r="I82" s="73"/>
      <c r="J82" s="73"/>
      <c r="K82" s="73"/>
      <c r="L82" s="73"/>
      <c r="M82" s="73"/>
      <c r="N82" s="459"/>
      <c r="O82" s="73"/>
      <c r="P82" s="498"/>
      <c r="Q82" s="73"/>
      <c r="R82" s="73"/>
      <c r="S82" s="73"/>
      <c r="T82" s="499"/>
      <c r="U82" s="74"/>
    </row>
    <row r="83" spans="1:21" x14ac:dyDescent="0.25">
      <c r="B83" s="56" t="str">
        <f t="shared" si="46"/>
        <v>Központi Konyha</v>
      </c>
      <c r="C83" s="498"/>
      <c r="D83" s="73"/>
      <c r="E83" s="73"/>
      <c r="F83" s="459"/>
      <c r="G83" s="73"/>
      <c r="H83" s="498"/>
      <c r="I83" s="73"/>
      <c r="J83" s="73"/>
      <c r="K83" s="73"/>
      <c r="L83" s="73"/>
      <c r="M83" s="73"/>
      <c r="N83" s="459"/>
      <c r="O83" s="73"/>
      <c r="P83" s="498"/>
      <c r="Q83" s="73"/>
      <c r="R83" s="73"/>
      <c r="S83" s="73"/>
      <c r="T83" s="499"/>
      <c r="U83" s="74"/>
    </row>
    <row r="84" spans="1:21" ht="8.1" customHeight="1" x14ac:dyDescent="0.25">
      <c r="B84" s="383" t="s">
        <v>442</v>
      </c>
      <c r="C84" s="500"/>
      <c r="D84" s="382"/>
      <c r="E84" s="382"/>
      <c r="F84" s="511"/>
      <c r="G84" s="382"/>
      <c r="H84" s="500"/>
      <c r="I84" s="382"/>
      <c r="J84" s="382"/>
      <c r="K84" s="382"/>
      <c r="L84" s="382"/>
      <c r="M84" s="382"/>
      <c r="N84" s="511"/>
      <c r="O84" s="382"/>
      <c r="P84" s="500"/>
      <c r="Q84" s="382"/>
      <c r="R84" s="382"/>
      <c r="S84" s="382"/>
      <c r="T84" s="499"/>
      <c r="U84" s="74"/>
    </row>
    <row r="85" spans="1:21" x14ac:dyDescent="0.25">
      <c r="A85" s="384" t="str">
        <f>+A76</f>
        <v>K5</v>
      </c>
      <c r="B85" s="364" t="s">
        <v>436</v>
      </c>
      <c r="C85" s="501">
        <f>SUM(C77:C84)</f>
        <v>152600000</v>
      </c>
      <c r="D85" s="365">
        <f t="shared" ref="D85:F85" si="47">SUM(D77:D84)</f>
        <v>164026133</v>
      </c>
      <c r="E85" s="365">
        <f t="shared" si="47"/>
        <v>167046133</v>
      </c>
      <c r="F85" s="512">
        <f t="shared" si="47"/>
        <v>164848644</v>
      </c>
      <c r="G85" s="365"/>
      <c r="H85" s="501">
        <f>SUM(H77:H84)</f>
        <v>89465409</v>
      </c>
      <c r="I85" s="365">
        <f t="shared" ref="I85:J85" si="48">SUM(I77:I84)</f>
        <v>122182084</v>
      </c>
      <c r="J85" s="365">
        <f t="shared" si="48"/>
        <v>144767924</v>
      </c>
      <c r="K85" s="365"/>
      <c r="L85" s="365"/>
      <c r="M85" s="365"/>
      <c r="N85" s="512"/>
      <c r="O85" s="365"/>
      <c r="P85" s="501">
        <f>SUM(P77:P84)</f>
        <v>11426133</v>
      </c>
      <c r="Q85" s="365">
        <f t="shared" ref="Q85:S85" si="49">SUM(Q77:Q84)</f>
        <v>3020000</v>
      </c>
      <c r="R85" s="365">
        <f t="shared" si="49"/>
        <v>-2197489</v>
      </c>
      <c r="S85" s="365">
        <f t="shared" si="49"/>
        <v>14446133</v>
      </c>
      <c r="T85" s="499"/>
      <c r="U85" s="74"/>
    </row>
    <row r="86" spans="1:21" x14ac:dyDescent="0.25">
      <c r="C86" s="502"/>
      <c r="F86" s="457"/>
      <c r="H86" s="502"/>
      <c r="N86" s="499"/>
      <c r="P86" s="502"/>
      <c r="T86" s="499"/>
    </row>
    <row r="87" spans="1:21" x14ac:dyDescent="0.25">
      <c r="C87" s="502"/>
      <c r="F87" s="457"/>
      <c r="H87" s="502"/>
      <c r="N87" s="499"/>
      <c r="P87" s="502"/>
      <c r="T87" s="499"/>
    </row>
    <row r="88" spans="1:21" x14ac:dyDescent="0.25">
      <c r="A88" s="320" t="s">
        <v>154</v>
      </c>
      <c r="B88" s="320" t="str">
        <f>+'3. Önk. Kiadások'!B120</f>
        <v>Beruházások</v>
      </c>
      <c r="C88" s="498"/>
      <c r="D88" s="74"/>
      <c r="E88" s="74"/>
      <c r="F88" s="524"/>
      <c r="G88" s="74"/>
      <c r="H88" s="498"/>
      <c r="K88" s="74"/>
      <c r="L88" s="87"/>
      <c r="M88" s="87"/>
      <c r="N88" s="499"/>
      <c r="O88" s="74"/>
      <c r="P88" s="498"/>
      <c r="Q88" s="73"/>
      <c r="R88" s="73"/>
      <c r="S88" s="73"/>
      <c r="T88" s="499"/>
      <c r="U88" s="74"/>
    </row>
    <row r="89" spans="1:21" x14ac:dyDescent="0.25">
      <c r="B89" s="56" t="str">
        <f t="shared" ref="B89:B95" si="50">+B77</f>
        <v>Sülysáp Város Önkormányzata</v>
      </c>
      <c r="C89" s="498">
        <f>+'3. Önk. Kiadások'!C120</f>
        <v>244165354</v>
      </c>
      <c r="D89" s="73">
        <f>+'3. Önk. Kiadások'!D120</f>
        <v>196087098</v>
      </c>
      <c r="E89" s="73">
        <f>+'3. Önk. Kiadások'!E120</f>
        <v>177462297</v>
      </c>
      <c r="F89" s="459">
        <f>+'3. Önk. Kiadások'!F120</f>
        <v>163533381</v>
      </c>
      <c r="G89" s="74"/>
      <c r="H89" s="498">
        <f>+'3. Önk. Kiadások'!H120</f>
        <v>26035281</v>
      </c>
      <c r="I89" s="73">
        <f>+'3. Önk. Kiadások'!I120</f>
        <v>29670109</v>
      </c>
      <c r="J89" s="73">
        <f>+'3. Önk. Kiadások'!J120</f>
        <v>157888187</v>
      </c>
      <c r="K89" s="74"/>
      <c r="L89" s="87"/>
      <c r="M89" s="87"/>
      <c r="N89" s="499"/>
      <c r="O89" s="74"/>
      <c r="P89" s="498">
        <f>+'3. Önk. Kiadások'!P120</f>
        <v>-48078256</v>
      </c>
      <c r="Q89" s="73">
        <f>+'3. Önk. Kiadások'!Q120</f>
        <v>-18624801</v>
      </c>
      <c r="R89" s="73">
        <f>+'3. Önk. Kiadások'!R120</f>
        <v>-13928916</v>
      </c>
      <c r="S89" s="73">
        <f>+'3. Önk. Kiadások'!S120</f>
        <v>-66703057</v>
      </c>
      <c r="T89" s="499"/>
      <c r="U89" s="74"/>
    </row>
    <row r="90" spans="1:21" x14ac:dyDescent="0.25">
      <c r="A90" s="56"/>
      <c r="B90" s="56" t="str">
        <f t="shared" si="50"/>
        <v>Dr. Gáspár István HSZK</v>
      </c>
      <c r="C90" s="498">
        <f>+'4. Dr Gáspár HSZK'!C83</f>
        <v>120000</v>
      </c>
      <c r="D90" s="73">
        <f>+'4. Dr Gáspár HSZK'!D83</f>
        <v>120000</v>
      </c>
      <c r="E90" s="73">
        <f>+'4. Dr Gáspár HSZK'!E83</f>
        <v>120000</v>
      </c>
      <c r="F90" s="459">
        <f>+'4. Dr Gáspár HSZK'!F83</f>
        <v>148946</v>
      </c>
      <c r="G90" s="73"/>
      <c r="H90" s="498">
        <f>+'4. Dr Gáspár HSZK'!H83</f>
        <v>0</v>
      </c>
      <c r="I90" s="73">
        <f>+'4. Dr Gáspár HSZK'!I83</f>
        <v>0</v>
      </c>
      <c r="J90" s="73">
        <f>+'4. Dr Gáspár HSZK'!J83</f>
        <v>0</v>
      </c>
      <c r="K90" s="73"/>
      <c r="L90" s="73"/>
      <c r="M90" s="73"/>
      <c r="N90" s="459"/>
      <c r="O90" s="73"/>
      <c r="P90" s="498">
        <f>+'4. Dr Gáspár HSZK'!P83</f>
        <v>0</v>
      </c>
      <c r="Q90" s="73">
        <f>+'4. Dr Gáspár HSZK'!Q83</f>
        <v>0</v>
      </c>
      <c r="R90" s="73">
        <f>+'4. Dr Gáspár HSZK'!R83</f>
        <v>0</v>
      </c>
      <c r="S90" s="73">
        <f>+'4. Dr Gáspár HSZK'!S83</f>
        <v>0</v>
      </c>
      <c r="T90" s="499"/>
      <c r="U90" s="74"/>
    </row>
    <row r="91" spans="1:21" x14ac:dyDescent="0.25">
      <c r="B91" s="56" t="str">
        <f t="shared" si="50"/>
        <v>Sülysápi Csicsergő Óvoda</v>
      </c>
      <c r="C91" s="498">
        <f>+'5. Csicsergő'!C84</f>
        <v>1105000</v>
      </c>
      <c r="D91" s="73">
        <f>+'5. Csicsergő'!D84</f>
        <v>1105000</v>
      </c>
      <c r="E91" s="73">
        <f>+'5. Csicsergő'!E84</f>
        <v>1760443</v>
      </c>
      <c r="F91" s="459">
        <f>+'5. Csicsergő'!F84</f>
        <v>1827333</v>
      </c>
      <c r="G91" s="73"/>
      <c r="H91" s="498">
        <f>+'5. Csicsergő'!H84</f>
        <v>907513</v>
      </c>
      <c r="I91" s="73">
        <f>+'5. Csicsergő'!I84</f>
        <v>1609567</v>
      </c>
      <c r="J91" s="73">
        <f>+'5. Csicsergő'!J84</f>
        <v>1827333</v>
      </c>
      <c r="K91" s="73"/>
      <c r="L91" s="73"/>
      <c r="M91" s="73"/>
      <c r="N91" s="459"/>
      <c r="O91" s="73"/>
      <c r="P91" s="498">
        <f>+'5. Csicsergő'!P84</f>
        <v>0</v>
      </c>
      <c r="Q91" s="73">
        <f>+'5. Csicsergő'!Q84</f>
        <v>655443</v>
      </c>
      <c r="R91" s="73">
        <f>+'5. Csicsergő'!R84</f>
        <v>0</v>
      </c>
      <c r="S91" s="73">
        <f>+'5. Csicsergő'!S84</f>
        <v>655443</v>
      </c>
      <c r="T91" s="499"/>
      <c r="U91" s="74"/>
    </row>
    <row r="92" spans="1:21" x14ac:dyDescent="0.25">
      <c r="B92" s="56" t="str">
        <f t="shared" si="50"/>
        <v>Gólyahír Bőlcsőde</v>
      </c>
      <c r="C92" s="498">
        <f>+'6. Gólyahír'!C83</f>
        <v>300000</v>
      </c>
      <c r="D92" s="73">
        <f>+'6. Gólyahír'!D83</f>
        <v>300000</v>
      </c>
      <c r="E92" s="73">
        <f>+'6. Gólyahír'!E83</f>
        <v>300000</v>
      </c>
      <c r="F92" s="459">
        <f>+'6. Gólyahír'!F83</f>
        <v>726240</v>
      </c>
      <c r="G92" s="73"/>
      <c r="H92" s="498">
        <f>+'6. Gólyahír'!H83</f>
        <v>0</v>
      </c>
      <c r="I92" s="73">
        <f>+'6. Gólyahír'!I83</f>
        <v>0</v>
      </c>
      <c r="J92" s="73">
        <f>+'6. Gólyahír'!J83</f>
        <v>726240</v>
      </c>
      <c r="K92" s="73"/>
      <c r="L92" s="73"/>
      <c r="M92" s="73"/>
      <c r="N92" s="459"/>
      <c r="O92" s="73"/>
      <c r="P92" s="498">
        <f>+'6. Gólyahír'!P83</f>
        <v>0</v>
      </c>
      <c r="Q92" s="73">
        <f>+'6. Gólyahír'!Q83</f>
        <v>0</v>
      </c>
      <c r="R92" s="73">
        <f>+'6. Gólyahír'!R83</f>
        <v>0</v>
      </c>
      <c r="S92" s="73">
        <f>+'6. Gólyahír'!S83</f>
        <v>0</v>
      </c>
      <c r="T92" s="499"/>
      <c r="U92" s="74"/>
    </row>
    <row r="93" spans="1:21" x14ac:dyDescent="0.25">
      <c r="B93" s="326" t="str">
        <f t="shared" si="50"/>
        <v>Sülysápi Polgármesteri Hivatal</v>
      </c>
      <c r="C93" s="498">
        <f>+'7. Polg.Hiv.'!C83</f>
        <v>2500000</v>
      </c>
      <c r="D93" s="73">
        <f>+'7. Polg.Hiv.'!D83</f>
        <v>2500000</v>
      </c>
      <c r="E93" s="73">
        <f>+'7. Polg.Hiv.'!E83</f>
        <v>2500000</v>
      </c>
      <c r="F93" s="459">
        <f>+'7. Polg.Hiv.'!F83</f>
        <v>2500000</v>
      </c>
      <c r="G93" s="73"/>
      <c r="H93" s="498">
        <f>+'7. Polg.Hiv.'!H83</f>
        <v>811750</v>
      </c>
      <c r="I93" s="73">
        <f>+'7. Polg.Hiv.'!I83</f>
        <v>811750</v>
      </c>
      <c r="J93" s="73">
        <f>+'7. Polg.Hiv.'!J83</f>
        <v>811750</v>
      </c>
      <c r="K93" s="73"/>
      <c r="L93" s="73"/>
      <c r="M93" s="73"/>
      <c r="N93" s="459"/>
      <c r="O93" s="73"/>
      <c r="P93" s="498">
        <f>+'7. Polg.Hiv.'!P83</f>
        <v>0</v>
      </c>
      <c r="Q93" s="73">
        <f>+'7. Polg.Hiv.'!Q83</f>
        <v>0</v>
      </c>
      <c r="R93" s="73">
        <f>+'7. Polg.Hiv.'!R83</f>
        <v>0</v>
      </c>
      <c r="S93" s="73">
        <f>+'7. Polg.Hiv.'!S83</f>
        <v>0</v>
      </c>
      <c r="T93" s="499"/>
      <c r="U93" s="74"/>
    </row>
    <row r="94" spans="1:21" x14ac:dyDescent="0.25">
      <c r="B94" s="56" t="str">
        <f t="shared" si="50"/>
        <v>Wass Albert Művelődési Központ és Könyvtár</v>
      </c>
      <c r="C94" s="498">
        <f>+'8. WAMKK'!C83</f>
        <v>150000</v>
      </c>
      <c r="D94" s="73">
        <f>+'8. WAMKK'!D83</f>
        <v>150000</v>
      </c>
      <c r="E94" s="73">
        <f>+'8. WAMKK'!E83</f>
        <v>578500</v>
      </c>
      <c r="F94" s="459">
        <f>+'8. WAMKK'!F83</f>
        <v>592500</v>
      </c>
      <c r="G94" s="73"/>
      <c r="H94" s="498">
        <f>+'8. WAMKK'!H83</f>
        <v>25870</v>
      </c>
      <c r="I94" s="73">
        <f>+'8. WAMKK'!I83</f>
        <v>25870</v>
      </c>
      <c r="J94" s="73">
        <f>+'8. WAMKK'!J83</f>
        <v>582881</v>
      </c>
      <c r="K94" s="73"/>
      <c r="L94" s="73"/>
      <c r="M94" s="73"/>
      <c r="N94" s="459"/>
      <c r="O94" s="73"/>
      <c r="P94" s="498">
        <f>+'8. WAMKK'!P83</f>
        <v>0</v>
      </c>
      <c r="Q94" s="73">
        <f>+'8. WAMKK'!Q83</f>
        <v>428500</v>
      </c>
      <c r="R94" s="73">
        <f>+'8. WAMKK'!R83</f>
        <v>0</v>
      </c>
      <c r="S94" s="73">
        <f>+'8. WAMKK'!S83</f>
        <v>428500</v>
      </c>
      <c r="T94" s="499"/>
      <c r="U94" s="74"/>
    </row>
    <row r="95" spans="1:21" x14ac:dyDescent="0.25">
      <c r="B95" s="56" t="str">
        <f t="shared" si="50"/>
        <v>Központi Konyha</v>
      </c>
      <c r="C95" s="498">
        <f>+'9. Közp. Konyha'!C83</f>
        <v>200000</v>
      </c>
      <c r="D95" s="73">
        <f>+'9. Közp. Konyha'!D83</f>
        <v>200000</v>
      </c>
      <c r="E95" s="73">
        <f>+'9. Közp. Konyha'!E83</f>
        <v>200000</v>
      </c>
      <c r="F95" s="459">
        <f>+'9. Közp. Konyha'!F83</f>
        <v>200000</v>
      </c>
      <c r="G95" s="73"/>
      <c r="H95" s="498">
        <f>+'9. Közp. Konyha'!H83</f>
        <v>133390</v>
      </c>
      <c r="I95" s="73">
        <f>+'9. Közp. Konyha'!I83</f>
        <v>133390</v>
      </c>
      <c r="J95" s="73">
        <f>+'9. Közp. Konyha'!J83</f>
        <v>133390</v>
      </c>
      <c r="K95" s="73"/>
      <c r="L95" s="73"/>
      <c r="M95" s="73"/>
      <c r="N95" s="459"/>
      <c r="O95" s="73"/>
      <c r="P95" s="498">
        <f>+'9. Közp. Konyha'!P83</f>
        <v>0</v>
      </c>
      <c r="Q95" s="73">
        <f>+'9. Közp. Konyha'!Q83</f>
        <v>0</v>
      </c>
      <c r="R95" s="73">
        <f>+'9. Közp. Konyha'!R83</f>
        <v>0</v>
      </c>
      <c r="S95" s="73">
        <f>+'9. Közp. Konyha'!S83</f>
        <v>0</v>
      </c>
      <c r="T95" s="499"/>
      <c r="U95" s="74"/>
    </row>
    <row r="96" spans="1:21" ht="8.1" customHeight="1" x14ac:dyDescent="0.25">
      <c r="B96" s="383" t="s">
        <v>442</v>
      </c>
      <c r="C96" s="500"/>
      <c r="D96" s="382"/>
      <c r="E96" s="382"/>
      <c r="F96" s="511"/>
      <c r="G96" s="382"/>
      <c r="H96" s="500"/>
      <c r="I96" s="382"/>
      <c r="J96" s="382"/>
      <c r="K96" s="382"/>
      <c r="L96" s="382"/>
      <c r="M96" s="382"/>
      <c r="N96" s="511"/>
      <c r="O96" s="382"/>
      <c r="P96" s="500"/>
      <c r="Q96" s="382"/>
      <c r="R96" s="382"/>
      <c r="S96" s="382"/>
      <c r="T96" s="499"/>
      <c r="U96" s="74"/>
    </row>
    <row r="97" spans="1:21" x14ac:dyDescent="0.25">
      <c r="A97" s="384" t="str">
        <f>+A88</f>
        <v>K6</v>
      </c>
      <c r="B97" s="364" t="s">
        <v>436</v>
      </c>
      <c r="C97" s="501">
        <f>SUM(C89:C96)</f>
        <v>248540354</v>
      </c>
      <c r="D97" s="365">
        <f t="shared" ref="D97:F97" si="51">SUM(D89:D96)</f>
        <v>200462098</v>
      </c>
      <c r="E97" s="365">
        <f t="shared" si="51"/>
        <v>182921240</v>
      </c>
      <c r="F97" s="512">
        <f t="shared" si="51"/>
        <v>169528400</v>
      </c>
      <c r="G97" s="365"/>
      <c r="H97" s="501">
        <f>SUM(H89:H96)</f>
        <v>27913804</v>
      </c>
      <c r="I97" s="365">
        <f t="shared" ref="I97:J97" si="52">SUM(I89:I96)</f>
        <v>32250686</v>
      </c>
      <c r="J97" s="365">
        <f t="shared" si="52"/>
        <v>161969781</v>
      </c>
      <c r="K97" s="365"/>
      <c r="L97" s="365"/>
      <c r="M97" s="365"/>
      <c r="N97" s="512"/>
      <c r="O97" s="365"/>
      <c r="P97" s="501">
        <f>SUM(P89:P96)</f>
        <v>-48078256</v>
      </c>
      <c r="Q97" s="365">
        <f t="shared" ref="Q97:S97" si="53">SUM(Q89:Q96)</f>
        <v>-17540858</v>
      </c>
      <c r="R97" s="365">
        <f t="shared" si="53"/>
        <v>-13928916</v>
      </c>
      <c r="S97" s="365">
        <f t="shared" si="53"/>
        <v>-65619114</v>
      </c>
      <c r="T97" s="499"/>
      <c r="U97" s="74"/>
    </row>
    <row r="98" spans="1:21" x14ac:dyDescent="0.25">
      <c r="C98" s="502"/>
      <c r="F98" s="457"/>
      <c r="H98" s="502"/>
      <c r="N98" s="499"/>
      <c r="P98" s="502"/>
      <c r="T98" s="499"/>
    </row>
    <row r="99" spans="1:21" x14ac:dyDescent="0.25">
      <c r="C99" s="502"/>
      <c r="F99" s="457"/>
      <c r="H99" s="502"/>
      <c r="N99" s="499"/>
      <c r="P99" s="502"/>
      <c r="T99" s="499"/>
    </row>
    <row r="100" spans="1:21" x14ac:dyDescent="0.25">
      <c r="A100" s="320" t="s">
        <v>169</v>
      </c>
      <c r="B100" s="320" t="str">
        <f>+'3. Önk. Kiadások'!B129</f>
        <v>Felújítások</v>
      </c>
      <c r="C100" s="498"/>
      <c r="D100" s="74"/>
      <c r="E100" s="74"/>
      <c r="F100" s="524"/>
      <c r="G100" s="74"/>
      <c r="H100" s="498"/>
      <c r="K100" s="74"/>
      <c r="L100" s="87"/>
      <c r="M100" s="87"/>
      <c r="N100" s="499"/>
      <c r="O100" s="74"/>
      <c r="P100" s="498"/>
      <c r="Q100" s="73"/>
      <c r="R100" s="73"/>
      <c r="S100" s="73"/>
      <c r="T100" s="499"/>
      <c r="U100" s="74"/>
    </row>
    <row r="101" spans="1:21" x14ac:dyDescent="0.25">
      <c r="B101" s="56" t="str">
        <f t="shared" ref="B101:B107" si="54">+B89</f>
        <v>Sülysáp Város Önkormányzata</v>
      </c>
      <c r="C101" s="498">
        <f>+'3. Önk. Kiadások'!C129</f>
        <v>20637500</v>
      </c>
      <c r="D101" s="73">
        <f>+'3. Önk. Kiadások'!D129</f>
        <v>93343475</v>
      </c>
      <c r="E101" s="73">
        <f>+'3. Önk. Kiadások'!E129</f>
        <v>113343475</v>
      </c>
      <c r="F101" s="459">
        <f>+'3. Önk. Kiadások'!F129</f>
        <v>142956591</v>
      </c>
      <c r="G101" s="74"/>
      <c r="H101" s="498">
        <f>+'3. Önk. Kiadások'!H129</f>
        <v>34861301</v>
      </c>
      <c r="I101" s="73">
        <f>+'3. Önk. Kiadások'!I129</f>
        <v>78545085</v>
      </c>
      <c r="J101" s="73">
        <f>+'3. Önk. Kiadások'!J129</f>
        <v>139263466</v>
      </c>
      <c r="K101" s="74"/>
      <c r="L101" s="87"/>
      <c r="M101" s="87"/>
      <c r="N101" s="499"/>
      <c r="O101" s="74"/>
      <c r="P101" s="498">
        <f>+'3. Önk. Kiadások'!P129</f>
        <v>72705975</v>
      </c>
      <c r="Q101" s="73">
        <f>+'3. Önk. Kiadások'!Q129</f>
        <v>20000000</v>
      </c>
      <c r="R101" s="73">
        <f>+'3. Önk. Kiadások'!R129</f>
        <v>29613116</v>
      </c>
      <c r="S101" s="73">
        <f>+'3. Önk. Kiadások'!S129</f>
        <v>92705975</v>
      </c>
      <c r="T101" s="499"/>
      <c r="U101" s="74"/>
    </row>
    <row r="102" spans="1:21" x14ac:dyDescent="0.25">
      <c r="A102" s="56"/>
      <c r="B102" s="56" t="str">
        <f t="shared" si="54"/>
        <v>Dr. Gáspár István HSZK</v>
      </c>
      <c r="C102" s="498">
        <f>+'4. Dr Gáspár HSZK'!C86</f>
        <v>0</v>
      </c>
      <c r="D102" s="73">
        <f>+'4. Dr Gáspár HSZK'!D86</f>
        <v>0</v>
      </c>
      <c r="E102" s="73">
        <f>+'4. Dr Gáspár HSZK'!E86</f>
        <v>0</v>
      </c>
      <c r="F102" s="459">
        <f>+'4. Dr Gáspár HSZK'!F86</f>
        <v>0</v>
      </c>
      <c r="G102" s="73"/>
      <c r="H102" s="498">
        <f>+'4. Dr Gáspár HSZK'!H86</f>
        <v>0</v>
      </c>
      <c r="I102" s="73">
        <f>+'4. Dr Gáspár HSZK'!I86</f>
        <v>0</v>
      </c>
      <c r="J102" s="73">
        <f>+'4. Dr Gáspár HSZK'!J86</f>
        <v>0</v>
      </c>
      <c r="K102" s="73"/>
      <c r="L102" s="73"/>
      <c r="M102" s="73"/>
      <c r="N102" s="459"/>
      <c r="O102" s="73"/>
      <c r="P102" s="498">
        <f>+'4. Dr Gáspár HSZK'!P86</f>
        <v>0</v>
      </c>
      <c r="Q102" s="73">
        <f>+'4. Dr Gáspár HSZK'!Q86</f>
        <v>0</v>
      </c>
      <c r="R102" s="73">
        <f>+'4. Dr Gáspár HSZK'!R86</f>
        <v>0</v>
      </c>
      <c r="S102" s="73">
        <f>+'4. Dr Gáspár HSZK'!S86</f>
        <v>0</v>
      </c>
      <c r="T102" s="499"/>
      <c r="U102" s="74"/>
    </row>
    <row r="103" spans="1:21" x14ac:dyDescent="0.25">
      <c r="B103" s="56" t="str">
        <f t="shared" si="54"/>
        <v>Sülysápi Csicsergő Óvoda</v>
      </c>
      <c r="C103" s="498">
        <f>+'5. Csicsergő'!C87</f>
        <v>0</v>
      </c>
      <c r="D103" s="73">
        <f>+'5. Csicsergő'!D87</f>
        <v>0</v>
      </c>
      <c r="E103" s="73">
        <f>+'5. Csicsergő'!E87</f>
        <v>0</v>
      </c>
      <c r="F103" s="459">
        <f>+'5. Csicsergő'!F87</f>
        <v>0</v>
      </c>
      <c r="G103" s="73"/>
      <c r="H103" s="498">
        <f>+'5. Csicsergő'!H87</f>
        <v>0</v>
      </c>
      <c r="I103" s="73">
        <f>+'5. Csicsergő'!I87</f>
        <v>0</v>
      </c>
      <c r="J103" s="73">
        <f>+'5. Csicsergő'!J87</f>
        <v>0</v>
      </c>
      <c r="K103" s="73"/>
      <c r="L103" s="73"/>
      <c r="M103" s="73"/>
      <c r="N103" s="459"/>
      <c r="O103" s="73"/>
      <c r="P103" s="498">
        <f>+'5. Csicsergő'!P87</f>
        <v>0</v>
      </c>
      <c r="Q103" s="73">
        <f>+'5. Csicsergő'!Q87</f>
        <v>0</v>
      </c>
      <c r="R103" s="73">
        <f>+'5. Csicsergő'!R87</f>
        <v>0</v>
      </c>
      <c r="S103" s="73">
        <f>+'5. Csicsergő'!S87</f>
        <v>0</v>
      </c>
      <c r="T103" s="499"/>
      <c r="U103" s="74"/>
    </row>
    <row r="104" spans="1:21" x14ac:dyDescent="0.25">
      <c r="B104" s="56" t="str">
        <f t="shared" si="54"/>
        <v>Gólyahír Bőlcsőde</v>
      </c>
      <c r="C104" s="498">
        <f>+'6. Gólyahír'!C86</f>
        <v>0</v>
      </c>
      <c r="D104" s="73">
        <f>+'6. Gólyahír'!D86</f>
        <v>0</v>
      </c>
      <c r="E104" s="73">
        <f>+'6. Gólyahír'!E86</f>
        <v>0</v>
      </c>
      <c r="F104" s="459">
        <f>+'6. Gólyahír'!F86</f>
        <v>0</v>
      </c>
      <c r="G104" s="73"/>
      <c r="H104" s="498">
        <f>+'6. Gólyahír'!H86</f>
        <v>0</v>
      </c>
      <c r="I104" s="73">
        <f>+'6. Gólyahír'!I86</f>
        <v>0</v>
      </c>
      <c r="J104" s="73">
        <f>+'6. Gólyahír'!J86</f>
        <v>0</v>
      </c>
      <c r="K104" s="73"/>
      <c r="L104" s="73"/>
      <c r="M104" s="73"/>
      <c r="N104" s="459"/>
      <c r="O104" s="73"/>
      <c r="P104" s="498">
        <f>+'6. Gólyahír'!P86</f>
        <v>0</v>
      </c>
      <c r="Q104" s="73">
        <f>+'6. Gólyahír'!Q86</f>
        <v>0</v>
      </c>
      <c r="R104" s="73">
        <f>+'6. Gólyahír'!R86</f>
        <v>0</v>
      </c>
      <c r="S104" s="73">
        <f>+'6. Gólyahír'!S86</f>
        <v>0</v>
      </c>
      <c r="T104" s="499"/>
      <c r="U104" s="74"/>
    </row>
    <row r="105" spans="1:21" x14ac:dyDescent="0.25">
      <c r="B105" s="56" t="str">
        <f t="shared" si="54"/>
        <v>Sülysápi Polgármesteri Hivatal</v>
      </c>
      <c r="C105" s="498">
        <f>+'7. Polg.Hiv.'!C86</f>
        <v>0</v>
      </c>
      <c r="D105" s="73">
        <f>+'7. Polg.Hiv.'!D86</f>
        <v>0</v>
      </c>
      <c r="E105" s="73">
        <f>+'7. Polg.Hiv.'!E86</f>
        <v>0</v>
      </c>
      <c r="F105" s="459">
        <f>+'7. Polg.Hiv.'!F86</f>
        <v>0</v>
      </c>
      <c r="G105" s="73"/>
      <c r="H105" s="498">
        <f>+'7. Polg.Hiv.'!H86</f>
        <v>0</v>
      </c>
      <c r="I105" s="73">
        <f>+'7. Polg.Hiv.'!I86</f>
        <v>0</v>
      </c>
      <c r="J105" s="73">
        <f>+'7. Polg.Hiv.'!J86</f>
        <v>0</v>
      </c>
      <c r="K105" s="73"/>
      <c r="L105" s="73"/>
      <c r="M105" s="73"/>
      <c r="N105" s="459"/>
      <c r="O105" s="73"/>
      <c r="P105" s="498">
        <f>+'7. Polg.Hiv.'!P86</f>
        <v>0</v>
      </c>
      <c r="Q105" s="73">
        <f>+'7. Polg.Hiv.'!Q86</f>
        <v>0</v>
      </c>
      <c r="R105" s="73">
        <f>+'7. Polg.Hiv.'!R86</f>
        <v>0</v>
      </c>
      <c r="S105" s="73">
        <f>+'7. Polg.Hiv.'!S86</f>
        <v>0</v>
      </c>
      <c r="T105" s="499"/>
      <c r="U105" s="74"/>
    </row>
    <row r="106" spans="1:21" x14ac:dyDescent="0.25">
      <c r="B106" s="56" t="str">
        <f t="shared" si="54"/>
        <v>Wass Albert Művelődési Központ és Könyvtár</v>
      </c>
      <c r="C106" s="498">
        <f>+'8. WAMKK'!C86</f>
        <v>0</v>
      </c>
      <c r="D106" s="73">
        <f>+'8. WAMKK'!D86</f>
        <v>0</v>
      </c>
      <c r="E106" s="73">
        <f>+'8. WAMKK'!E86</f>
        <v>0</v>
      </c>
      <c r="F106" s="459">
        <f>+'8. WAMKK'!F86</f>
        <v>0</v>
      </c>
      <c r="G106" s="73"/>
      <c r="H106" s="498">
        <f>+'8. WAMKK'!H86</f>
        <v>0</v>
      </c>
      <c r="I106" s="73">
        <f>+'8. WAMKK'!I86</f>
        <v>0</v>
      </c>
      <c r="J106" s="73">
        <f>+'8. WAMKK'!J86</f>
        <v>0</v>
      </c>
      <c r="K106" s="73"/>
      <c r="L106" s="73"/>
      <c r="M106" s="73"/>
      <c r="N106" s="459"/>
      <c r="O106" s="73"/>
      <c r="P106" s="498">
        <f>+'8. WAMKK'!P86</f>
        <v>0</v>
      </c>
      <c r="Q106" s="73">
        <f>+'8. WAMKK'!Q86</f>
        <v>0</v>
      </c>
      <c r="R106" s="73">
        <f>+'8. WAMKK'!R86</f>
        <v>0</v>
      </c>
      <c r="S106" s="73">
        <f>+'8. WAMKK'!S86</f>
        <v>0</v>
      </c>
      <c r="T106" s="499"/>
      <c r="U106" s="74"/>
    </row>
    <row r="107" spans="1:21" x14ac:dyDescent="0.25">
      <c r="B107" s="56" t="str">
        <f t="shared" si="54"/>
        <v>Központi Konyha</v>
      </c>
      <c r="C107" s="498">
        <f>+'9. Közp. Konyha'!C86</f>
        <v>0</v>
      </c>
      <c r="D107" s="73">
        <f>+'9. Közp. Konyha'!D86</f>
        <v>0</v>
      </c>
      <c r="E107" s="73">
        <f>+'9. Közp. Konyha'!E86</f>
        <v>0</v>
      </c>
      <c r="F107" s="459">
        <f>+'9. Közp. Konyha'!F86</f>
        <v>0</v>
      </c>
      <c r="G107" s="73"/>
      <c r="H107" s="498">
        <f>+'9. Közp. Konyha'!H86</f>
        <v>0</v>
      </c>
      <c r="I107" s="73">
        <f>+'9. Közp. Konyha'!I86</f>
        <v>0</v>
      </c>
      <c r="J107" s="73">
        <f>+'9. Közp. Konyha'!J86</f>
        <v>0</v>
      </c>
      <c r="K107" s="73"/>
      <c r="L107" s="73"/>
      <c r="M107" s="73"/>
      <c r="N107" s="459"/>
      <c r="O107" s="73"/>
      <c r="P107" s="498">
        <f>+'9. Közp. Konyha'!P86</f>
        <v>0</v>
      </c>
      <c r="Q107" s="73">
        <f>+'9. Közp. Konyha'!Q86</f>
        <v>0</v>
      </c>
      <c r="R107" s="73">
        <f>+'9. Közp. Konyha'!R86</f>
        <v>0</v>
      </c>
      <c r="S107" s="73">
        <f>+'9. Közp. Konyha'!S86</f>
        <v>0</v>
      </c>
      <c r="T107" s="499"/>
      <c r="U107" s="74"/>
    </row>
    <row r="108" spans="1:21" ht="8.1" customHeight="1" x14ac:dyDescent="0.25">
      <c r="B108" s="383" t="s">
        <v>442</v>
      </c>
      <c r="C108" s="500"/>
      <c r="D108" s="382"/>
      <c r="E108" s="382"/>
      <c r="F108" s="511"/>
      <c r="G108" s="382"/>
      <c r="H108" s="500"/>
      <c r="I108" s="382"/>
      <c r="J108" s="382"/>
      <c r="K108" s="382"/>
      <c r="L108" s="382"/>
      <c r="M108" s="382"/>
      <c r="N108" s="511"/>
      <c r="O108" s="382"/>
      <c r="P108" s="500"/>
      <c r="Q108" s="382"/>
      <c r="R108" s="382"/>
      <c r="S108" s="382"/>
      <c r="T108" s="499"/>
      <c r="U108" s="74"/>
    </row>
    <row r="109" spans="1:21" x14ac:dyDescent="0.25">
      <c r="A109" s="384" t="str">
        <f>+A100</f>
        <v>K7</v>
      </c>
      <c r="B109" s="364" t="s">
        <v>436</v>
      </c>
      <c r="C109" s="501">
        <f>SUM(C101:C108)</f>
        <v>20637500</v>
      </c>
      <c r="D109" s="365">
        <f t="shared" ref="D109:F109" si="55">SUM(D101:D108)</f>
        <v>93343475</v>
      </c>
      <c r="E109" s="365">
        <f t="shared" si="55"/>
        <v>113343475</v>
      </c>
      <c r="F109" s="512">
        <f t="shared" si="55"/>
        <v>142956591</v>
      </c>
      <c r="G109" s="365"/>
      <c r="H109" s="501">
        <f>SUM(H101:H108)</f>
        <v>34861301</v>
      </c>
      <c r="I109" s="365">
        <f t="shared" ref="I109:J109" si="56">SUM(I101:I108)</f>
        <v>78545085</v>
      </c>
      <c r="J109" s="365">
        <f t="shared" si="56"/>
        <v>139263466</v>
      </c>
      <c r="K109" s="365"/>
      <c r="L109" s="365"/>
      <c r="M109" s="365"/>
      <c r="N109" s="512"/>
      <c r="O109" s="365"/>
      <c r="P109" s="501">
        <f>SUM(P101:P108)</f>
        <v>72705975</v>
      </c>
      <c r="Q109" s="365">
        <f t="shared" ref="Q109:S109" si="57">SUM(Q101:Q108)</f>
        <v>20000000</v>
      </c>
      <c r="R109" s="365">
        <f t="shared" si="57"/>
        <v>29613116</v>
      </c>
      <c r="S109" s="365">
        <f t="shared" si="57"/>
        <v>92705975</v>
      </c>
      <c r="T109" s="499"/>
      <c r="U109" s="74"/>
    </row>
    <row r="110" spans="1:21" x14ac:dyDescent="0.25">
      <c r="C110" s="502"/>
      <c r="F110" s="457"/>
      <c r="H110" s="502"/>
      <c r="N110" s="499"/>
      <c r="P110" s="502"/>
      <c r="T110" s="499"/>
    </row>
    <row r="111" spans="1:21" x14ac:dyDescent="0.25">
      <c r="C111" s="502"/>
      <c r="F111" s="457"/>
      <c r="H111" s="502"/>
      <c r="N111" s="499"/>
      <c r="P111" s="502"/>
      <c r="T111" s="499"/>
    </row>
    <row r="112" spans="1:21" x14ac:dyDescent="0.25">
      <c r="A112" s="320" t="s">
        <v>179</v>
      </c>
      <c r="B112" s="320" t="str">
        <f>+'3. Önk. Kiadások'!B135</f>
        <v>Egyéb felhalmozási célú kiadások</v>
      </c>
      <c r="C112" s="498"/>
      <c r="D112" s="74"/>
      <c r="E112" s="74"/>
      <c r="F112" s="524"/>
      <c r="G112" s="74"/>
      <c r="H112" s="498"/>
      <c r="K112" s="74"/>
      <c r="L112" s="87"/>
      <c r="M112" s="87"/>
      <c r="N112" s="499"/>
      <c r="O112" s="74"/>
      <c r="P112" s="498"/>
      <c r="Q112" s="73"/>
      <c r="R112" s="73"/>
      <c r="S112" s="73"/>
      <c r="T112" s="499"/>
      <c r="U112" s="74"/>
    </row>
    <row r="113" spans="1:21" x14ac:dyDescent="0.25">
      <c r="B113" s="56" t="str">
        <f t="shared" ref="B113:B119" si="58">+B101</f>
        <v>Sülysáp Város Önkormányzata</v>
      </c>
      <c r="C113" s="498">
        <f>+'3. Önk. Kiadások'!C135</f>
        <v>0</v>
      </c>
      <c r="D113" s="73">
        <f>+'3. Önk. Kiadások'!D135</f>
        <v>0</v>
      </c>
      <c r="E113" s="73">
        <f>+'3. Önk. Kiadások'!E135</f>
        <v>0</v>
      </c>
      <c r="F113" s="459">
        <f>+'3. Önk. Kiadások'!F135</f>
        <v>0</v>
      </c>
      <c r="G113" s="74"/>
      <c r="H113" s="498">
        <f>+'3. Önk. Kiadások'!H135</f>
        <v>0</v>
      </c>
      <c r="I113" s="73">
        <f>+'3. Önk. Kiadások'!I135</f>
        <v>0</v>
      </c>
      <c r="J113" s="73">
        <f>+'3. Önk. Kiadások'!J135</f>
        <v>0</v>
      </c>
      <c r="K113" s="74"/>
      <c r="L113" s="87"/>
      <c r="M113" s="87"/>
      <c r="N113" s="499"/>
      <c r="O113" s="74"/>
      <c r="P113" s="498">
        <f>+'3. Önk. Kiadások'!P135</f>
        <v>0</v>
      </c>
      <c r="Q113" s="73">
        <f>+'3. Önk. Kiadások'!Q135</f>
        <v>0</v>
      </c>
      <c r="R113" s="73">
        <f>+'3. Önk. Kiadások'!R135</f>
        <v>0</v>
      </c>
      <c r="S113" s="73">
        <f>+'3. Önk. Kiadások'!S135</f>
        <v>0</v>
      </c>
      <c r="T113" s="499"/>
      <c r="U113" s="74"/>
    </row>
    <row r="114" spans="1:21" x14ac:dyDescent="0.25">
      <c r="A114" s="56"/>
      <c r="B114" s="56" t="str">
        <f t="shared" si="58"/>
        <v>Dr. Gáspár István HSZK</v>
      </c>
      <c r="C114" s="498"/>
      <c r="D114" s="73"/>
      <c r="E114" s="73"/>
      <c r="F114" s="459"/>
      <c r="G114" s="73"/>
      <c r="H114" s="498"/>
      <c r="I114" s="73"/>
      <c r="J114" s="73"/>
      <c r="K114" s="73"/>
      <c r="L114" s="73"/>
      <c r="M114" s="73"/>
      <c r="N114" s="459"/>
      <c r="O114" s="73"/>
      <c r="P114" s="498"/>
      <c r="Q114" s="73"/>
      <c r="R114" s="73"/>
      <c r="S114" s="73"/>
      <c r="T114" s="499"/>
      <c r="U114" s="74"/>
    </row>
    <row r="115" spans="1:21" x14ac:dyDescent="0.25">
      <c r="B115" s="56" t="str">
        <f t="shared" si="58"/>
        <v>Sülysápi Csicsergő Óvoda</v>
      </c>
      <c r="C115" s="498"/>
      <c r="D115" s="73"/>
      <c r="E115" s="73"/>
      <c r="F115" s="459"/>
      <c r="G115" s="73"/>
      <c r="H115" s="498"/>
      <c r="I115" s="73"/>
      <c r="J115" s="73"/>
      <c r="K115" s="73"/>
      <c r="L115" s="73"/>
      <c r="M115" s="73"/>
      <c r="N115" s="459"/>
      <c r="O115" s="73"/>
      <c r="P115" s="498"/>
      <c r="Q115" s="73"/>
      <c r="R115" s="73"/>
      <c r="S115" s="73"/>
      <c r="T115" s="499"/>
      <c r="U115" s="74"/>
    </row>
    <row r="116" spans="1:21" x14ac:dyDescent="0.25">
      <c r="B116" s="56" t="str">
        <f t="shared" si="58"/>
        <v>Gólyahír Bőlcsőde</v>
      </c>
      <c r="C116" s="498"/>
      <c r="D116" s="73"/>
      <c r="E116" s="73"/>
      <c r="F116" s="459"/>
      <c r="G116" s="73"/>
      <c r="H116" s="498"/>
      <c r="I116" s="73"/>
      <c r="J116" s="73"/>
      <c r="K116" s="73"/>
      <c r="L116" s="73"/>
      <c r="M116" s="73"/>
      <c r="N116" s="459"/>
      <c r="O116" s="73"/>
      <c r="P116" s="498"/>
      <c r="Q116" s="73"/>
      <c r="R116" s="73"/>
      <c r="S116" s="73"/>
      <c r="T116" s="499"/>
      <c r="U116" s="74"/>
    </row>
    <row r="117" spans="1:21" x14ac:dyDescent="0.25">
      <c r="B117" s="56" t="str">
        <f t="shared" si="58"/>
        <v>Sülysápi Polgármesteri Hivatal</v>
      </c>
      <c r="C117" s="498"/>
      <c r="D117" s="73"/>
      <c r="E117" s="73"/>
      <c r="F117" s="459"/>
      <c r="G117" s="73"/>
      <c r="H117" s="498"/>
      <c r="I117" s="73"/>
      <c r="J117" s="73"/>
      <c r="K117" s="73"/>
      <c r="L117" s="73"/>
      <c r="M117" s="73"/>
      <c r="N117" s="459"/>
      <c r="O117" s="73"/>
      <c r="P117" s="498"/>
      <c r="Q117" s="73"/>
      <c r="R117" s="73"/>
      <c r="S117" s="73"/>
      <c r="T117" s="499"/>
      <c r="U117" s="74"/>
    </row>
    <row r="118" spans="1:21" x14ac:dyDescent="0.25">
      <c r="B118" s="56" t="str">
        <f t="shared" si="58"/>
        <v>Wass Albert Művelődési Központ és Könyvtár</v>
      </c>
      <c r="C118" s="498"/>
      <c r="D118" s="73"/>
      <c r="E118" s="73"/>
      <c r="F118" s="459"/>
      <c r="G118" s="73"/>
      <c r="H118" s="498"/>
      <c r="I118" s="73"/>
      <c r="J118" s="73"/>
      <c r="K118" s="73"/>
      <c r="L118" s="73"/>
      <c r="M118" s="73"/>
      <c r="N118" s="459"/>
      <c r="O118" s="73"/>
      <c r="P118" s="498"/>
      <c r="Q118" s="73"/>
      <c r="R118" s="73"/>
      <c r="S118" s="73"/>
      <c r="T118" s="499"/>
      <c r="U118" s="74"/>
    </row>
    <row r="119" spans="1:21" x14ac:dyDescent="0.25">
      <c r="B119" s="56" t="str">
        <f t="shared" si="58"/>
        <v>Központi Konyha</v>
      </c>
      <c r="C119" s="498"/>
      <c r="D119" s="73"/>
      <c r="E119" s="73"/>
      <c r="F119" s="459"/>
      <c r="G119" s="73"/>
      <c r="H119" s="498"/>
      <c r="I119" s="73"/>
      <c r="J119" s="73"/>
      <c r="K119" s="73"/>
      <c r="L119" s="73"/>
      <c r="M119" s="73"/>
      <c r="N119" s="459"/>
      <c r="O119" s="73"/>
      <c r="P119" s="498"/>
      <c r="Q119" s="73"/>
      <c r="R119" s="73"/>
      <c r="S119" s="73"/>
      <c r="T119" s="499"/>
      <c r="U119" s="74"/>
    </row>
    <row r="120" spans="1:21" ht="8.1" customHeight="1" x14ac:dyDescent="0.25">
      <c r="B120" s="383" t="s">
        <v>442</v>
      </c>
      <c r="C120" s="500"/>
      <c r="D120" s="382"/>
      <c r="E120" s="382"/>
      <c r="F120" s="511"/>
      <c r="G120" s="382"/>
      <c r="H120" s="500"/>
      <c r="I120" s="382"/>
      <c r="J120" s="382"/>
      <c r="K120" s="382"/>
      <c r="L120" s="382"/>
      <c r="M120" s="382"/>
      <c r="N120" s="511"/>
      <c r="O120" s="382"/>
      <c r="P120" s="500"/>
      <c r="Q120" s="382"/>
      <c r="R120" s="382"/>
      <c r="S120" s="382"/>
      <c r="T120" s="499"/>
      <c r="U120" s="74"/>
    </row>
    <row r="121" spans="1:21" x14ac:dyDescent="0.25">
      <c r="A121" s="384" t="str">
        <f>+A112</f>
        <v>K8</v>
      </c>
      <c r="B121" s="364" t="s">
        <v>436</v>
      </c>
      <c r="C121" s="501">
        <f>SUM(C113:C120)</f>
        <v>0</v>
      </c>
      <c r="D121" s="365">
        <f t="shared" ref="D121:F121" si="59">SUM(D113:D120)</f>
        <v>0</v>
      </c>
      <c r="E121" s="365">
        <f t="shared" si="59"/>
        <v>0</v>
      </c>
      <c r="F121" s="512">
        <f t="shared" si="59"/>
        <v>0</v>
      </c>
      <c r="G121" s="365"/>
      <c r="H121" s="501">
        <f>SUM(H113:H120)</f>
        <v>0</v>
      </c>
      <c r="I121" s="365">
        <f t="shared" ref="I121:J121" si="60">SUM(I113:I120)</f>
        <v>0</v>
      </c>
      <c r="J121" s="365">
        <f t="shared" si="60"/>
        <v>0</v>
      </c>
      <c r="K121" s="365"/>
      <c r="L121" s="365"/>
      <c r="M121" s="365"/>
      <c r="N121" s="512"/>
      <c r="O121" s="365"/>
      <c r="P121" s="501">
        <f>SUM(P113:P120)</f>
        <v>0</v>
      </c>
      <c r="Q121" s="365">
        <f t="shared" ref="Q121:S121" si="61">SUM(Q113:Q120)</f>
        <v>0</v>
      </c>
      <c r="R121" s="365">
        <f t="shared" si="61"/>
        <v>0</v>
      </c>
      <c r="S121" s="365">
        <f t="shared" si="61"/>
        <v>0</v>
      </c>
      <c r="T121" s="499"/>
      <c r="U121" s="74"/>
    </row>
    <row r="122" spans="1:21" x14ac:dyDescent="0.25">
      <c r="C122" s="502"/>
      <c r="F122" s="457"/>
      <c r="H122" s="502"/>
      <c r="N122" s="499"/>
      <c r="P122" s="502"/>
      <c r="T122" s="499"/>
    </row>
    <row r="123" spans="1:21" x14ac:dyDescent="0.25">
      <c r="C123" s="502"/>
      <c r="F123" s="457"/>
      <c r="H123" s="502"/>
      <c r="N123" s="499"/>
      <c r="P123" s="502"/>
      <c r="T123" s="499"/>
    </row>
    <row r="124" spans="1:21" x14ac:dyDescent="0.25">
      <c r="A124" s="320" t="s">
        <v>197</v>
      </c>
      <c r="B124" s="320" t="str">
        <f>+'3. Önk. Kiadások'!B145</f>
        <v>Finanszírozási kiadások</v>
      </c>
      <c r="C124" s="498"/>
      <c r="D124" s="74"/>
      <c r="E124" s="74"/>
      <c r="F124" s="524"/>
      <c r="G124" s="74"/>
      <c r="H124" s="498"/>
      <c r="K124" s="74"/>
      <c r="L124" s="87"/>
      <c r="M124" s="87"/>
      <c r="N124" s="499"/>
      <c r="O124" s="74"/>
      <c r="P124" s="498"/>
      <c r="Q124" s="73"/>
      <c r="R124" s="73"/>
      <c r="S124" s="73"/>
      <c r="T124" s="499"/>
      <c r="U124" s="74"/>
    </row>
    <row r="125" spans="1:21" x14ac:dyDescent="0.25">
      <c r="B125" s="56" t="str">
        <f t="shared" ref="B125:B131" si="62">+B113</f>
        <v>Sülysáp Város Önkormányzata</v>
      </c>
      <c r="C125" s="498">
        <f>+'3. Önk. Kiadások'!C145</f>
        <v>613063055</v>
      </c>
      <c r="D125" s="73">
        <f>+'3. Önk. Kiadások'!D145</f>
        <v>613552299</v>
      </c>
      <c r="E125" s="73">
        <f>+'3. Önk. Kiadások'!E145</f>
        <v>613552299</v>
      </c>
      <c r="F125" s="459">
        <f>+'3. Önk. Kiadások'!F145</f>
        <v>613552299</v>
      </c>
      <c r="G125" s="74"/>
      <c r="H125" s="498">
        <f>+'3. Önk. Kiadások'!H145</f>
        <v>317649005</v>
      </c>
      <c r="I125" s="73">
        <f>+'3. Önk. Kiadások'!I145</f>
        <v>441460373</v>
      </c>
      <c r="J125" s="73">
        <f>+'3. Önk. Kiadások'!J145</f>
        <v>584287458</v>
      </c>
      <c r="K125" s="74"/>
      <c r="L125" s="87"/>
      <c r="M125" s="87"/>
      <c r="N125" s="499"/>
      <c r="O125" s="74"/>
      <c r="P125" s="498">
        <f>+'3. Önk. Kiadások'!P145</f>
        <v>489244</v>
      </c>
      <c r="Q125" s="73">
        <f>+'3. Önk. Kiadások'!Q145</f>
        <v>0</v>
      </c>
      <c r="R125" s="73">
        <f>+'3. Önk. Kiadások'!R145</f>
        <v>0</v>
      </c>
      <c r="S125" s="73">
        <f>+'3. Önk. Kiadások'!S145</f>
        <v>489244</v>
      </c>
      <c r="T125" s="499"/>
      <c r="U125" s="74"/>
    </row>
    <row r="126" spans="1:21" x14ac:dyDescent="0.25">
      <c r="A126" s="56"/>
      <c r="B126" s="56" t="str">
        <f t="shared" si="62"/>
        <v>Dr. Gáspár István HSZK</v>
      </c>
      <c r="C126" s="498"/>
      <c r="D126" s="73"/>
      <c r="E126" s="73"/>
      <c r="F126" s="459"/>
      <c r="G126" s="73"/>
      <c r="H126" s="498"/>
      <c r="I126" s="73"/>
      <c r="J126" s="73"/>
      <c r="K126" s="73"/>
      <c r="L126" s="73"/>
      <c r="M126" s="73"/>
      <c r="N126" s="459"/>
      <c r="O126" s="73"/>
      <c r="P126" s="498"/>
      <c r="Q126" s="73"/>
      <c r="R126" s="73"/>
      <c r="S126" s="73"/>
      <c r="T126" s="499"/>
      <c r="U126" s="74"/>
    </row>
    <row r="127" spans="1:21" x14ac:dyDescent="0.25">
      <c r="B127" s="56" t="str">
        <f t="shared" si="62"/>
        <v>Sülysápi Csicsergő Óvoda</v>
      </c>
      <c r="C127" s="498"/>
      <c r="D127" s="73"/>
      <c r="E127" s="73"/>
      <c r="F127" s="459"/>
      <c r="G127" s="73"/>
      <c r="H127" s="498"/>
      <c r="I127" s="73"/>
      <c r="J127" s="73"/>
      <c r="K127" s="73"/>
      <c r="L127" s="73"/>
      <c r="M127" s="73"/>
      <c r="N127" s="459"/>
      <c r="O127" s="73"/>
      <c r="P127" s="498"/>
      <c r="Q127" s="73"/>
      <c r="R127" s="73"/>
      <c r="S127" s="73"/>
      <c r="T127" s="499"/>
      <c r="U127" s="74"/>
    </row>
    <row r="128" spans="1:21" x14ac:dyDescent="0.25">
      <c r="B128" s="56" t="str">
        <f t="shared" si="62"/>
        <v>Gólyahír Bőlcsőde</v>
      </c>
      <c r="C128" s="498"/>
      <c r="D128" s="73"/>
      <c r="E128" s="73"/>
      <c r="F128" s="459"/>
      <c r="G128" s="73"/>
      <c r="H128" s="498"/>
      <c r="I128" s="73"/>
      <c r="J128" s="73"/>
      <c r="K128" s="73"/>
      <c r="L128" s="73"/>
      <c r="M128" s="73"/>
      <c r="N128" s="459"/>
      <c r="O128" s="73"/>
      <c r="P128" s="498"/>
      <c r="Q128" s="73"/>
      <c r="R128" s="73"/>
      <c r="S128" s="73"/>
      <c r="T128" s="499"/>
      <c r="U128" s="74"/>
    </row>
    <row r="129" spans="1:21" x14ac:dyDescent="0.25">
      <c r="B129" s="56" t="str">
        <f t="shared" si="62"/>
        <v>Sülysápi Polgármesteri Hivatal</v>
      </c>
      <c r="C129" s="498"/>
      <c r="D129" s="73"/>
      <c r="E129" s="73"/>
      <c r="F129" s="459"/>
      <c r="G129" s="73"/>
      <c r="H129" s="498"/>
      <c r="I129" s="73"/>
      <c r="J129" s="73"/>
      <c r="K129" s="73"/>
      <c r="L129" s="73"/>
      <c r="M129" s="73"/>
      <c r="N129" s="459"/>
      <c r="O129" s="73"/>
      <c r="P129" s="498"/>
      <c r="Q129" s="73"/>
      <c r="R129" s="73"/>
      <c r="S129" s="73"/>
      <c r="T129" s="499"/>
      <c r="U129" s="74"/>
    </row>
    <row r="130" spans="1:21" x14ac:dyDescent="0.25">
      <c r="B130" s="56" t="str">
        <f t="shared" si="62"/>
        <v>Wass Albert Művelődési Központ és Könyvtár</v>
      </c>
      <c r="C130" s="498"/>
      <c r="D130" s="73"/>
      <c r="E130" s="73"/>
      <c r="F130" s="459"/>
      <c r="G130" s="73"/>
      <c r="H130" s="498"/>
      <c r="I130" s="73"/>
      <c r="J130" s="73"/>
      <c r="K130" s="73"/>
      <c r="L130" s="73"/>
      <c r="M130" s="73"/>
      <c r="N130" s="459"/>
      <c r="O130" s="73"/>
      <c r="P130" s="498"/>
      <c r="Q130" s="73"/>
      <c r="R130" s="73"/>
      <c r="S130" s="73"/>
      <c r="T130" s="499"/>
      <c r="U130" s="74"/>
    </row>
    <row r="131" spans="1:21" x14ac:dyDescent="0.25">
      <c r="B131" s="56" t="str">
        <f t="shared" si="62"/>
        <v>Központi Konyha</v>
      </c>
      <c r="C131" s="498"/>
      <c r="D131" s="73"/>
      <c r="E131" s="73"/>
      <c r="F131" s="459"/>
      <c r="G131" s="73"/>
      <c r="H131" s="498"/>
      <c r="I131" s="73"/>
      <c r="J131" s="73"/>
      <c r="K131" s="73"/>
      <c r="L131" s="73"/>
      <c r="M131" s="73"/>
      <c r="N131" s="459"/>
      <c r="O131" s="73"/>
      <c r="P131" s="498"/>
      <c r="Q131" s="73"/>
      <c r="R131" s="73"/>
      <c r="S131" s="73"/>
      <c r="T131" s="499"/>
      <c r="U131" s="74"/>
    </row>
    <row r="132" spans="1:21" ht="8.1" customHeight="1" x14ac:dyDescent="0.25">
      <c r="B132" s="383" t="s">
        <v>442</v>
      </c>
      <c r="C132" s="500"/>
      <c r="D132" s="382"/>
      <c r="E132" s="382"/>
      <c r="F132" s="511"/>
      <c r="G132" s="382"/>
      <c r="H132" s="500"/>
      <c r="I132" s="382"/>
      <c r="J132" s="382"/>
      <c r="K132" s="382"/>
      <c r="L132" s="382"/>
      <c r="M132" s="382"/>
      <c r="N132" s="511"/>
      <c r="O132" s="382"/>
      <c r="P132" s="500"/>
      <c r="Q132" s="382"/>
      <c r="R132" s="382"/>
      <c r="S132" s="382"/>
      <c r="T132" s="499"/>
      <c r="U132" s="74"/>
    </row>
    <row r="133" spans="1:21" x14ac:dyDescent="0.25">
      <c r="A133" s="384" t="str">
        <f>+A124</f>
        <v>K9</v>
      </c>
      <c r="B133" s="364" t="s">
        <v>436</v>
      </c>
      <c r="C133" s="501">
        <f>SUM(C125:C132)</f>
        <v>613063055</v>
      </c>
      <c r="D133" s="365">
        <f t="shared" ref="D133:F133" si="63">SUM(D125:D132)</f>
        <v>613552299</v>
      </c>
      <c r="E133" s="365">
        <f t="shared" si="63"/>
        <v>613552299</v>
      </c>
      <c r="F133" s="512">
        <f t="shared" si="63"/>
        <v>613552299</v>
      </c>
      <c r="G133" s="365"/>
      <c r="H133" s="501">
        <f>SUM(H125:H132)</f>
        <v>317649005</v>
      </c>
      <c r="I133" s="365">
        <f t="shared" ref="I133:J133" si="64">SUM(I125:I132)</f>
        <v>441460373</v>
      </c>
      <c r="J133" s="365">
        <f t="shared" si="64"/>
        <v>584287458</v>
      </c>
      <c r="K133" s="365"/>
      <c r="L133" s="365"/>
      <c r="M133" s="365"/>
      <c r="N133" s="512"/>
      <c r="O133" s="365"/>
      <c r="P133" s="501">
        <f>SUM(P125:P132)</f>
        <v>489244</v>
      </c>
      <c r="Q133" s="365">
        <f t="shared" ref="Q133:S133" si="65">SUM(Q125:Q132)</f>
        <v>0</v>
      </c>
      <c r="R133" s="365">
        <f t="shared" si="65"/>
        <v>0</v>
      </c>
      <c r="S133" s="365">
        <f t="shared" si="65"/>
        <v>489244</v>
      </c>
      <c r="T133" s="499"/>
      <c r="U133" s="74"/>
    </row>
    <row r="134" spans="1:21" x14ac:dyDescent="0.25">
      <c r="C134" s="502"/>
      <c r="F134" s="457"/>
      <c r="H134" s="502"/>
      <c r="N134" s="499"/>
      <c r="P134" s="502"/>
      <c r="T134" s="499"/>
    </row>
    <row r="135" spans="1:21" x14ac:dyDescent="0.25">
      <c r="C135" s="502"/>
      <c r="F135" s="457"/>
      <c r="H135" s="502"/>
      <c r="N135" s="499"/>
      <c r="P135" s="502"/>
      <c r="T135" s="499"/>
    </row>
    <row r="136" spans="1:21" x14ac:dyDescent="0.25">
      <c r="A136" s="320" t="s">
        <v>353</v>
      </c>
      <c r="B136" s="320" t="str">
        <f>+'4. Dr Gáspár HSZK'!B100</f>
        <v>Központi, irányító szervi támogatás</v>
      </c>
      <c r="C136" s="525" t="s">
        <v>438</v>
      </c>
      <c r="D136" s="74"/>
      <c r="E136" s="74"/>
      <c r="F136" s="524"/>
      <c r="G136" s="74"/>
      <c r="H136" s="498"/>
      <c r="K136" s="74"/>
      <c r="L136" s="87"/>
      <c r="M136" s="87"/>
      <c r="N136" s="499"/>
      <c r="O136" s="74"/>
      <c r="P136" s="498"/>
      <c r="Q136" s="73"/>
      <c r="R136" s="73"/>
      <c r="S136" s="73"/>
      <c r="T136" s="499"/>
      <c r="U136" s="74"/>
    </row>
    <row r="137" spans="1:21" x14ac:dyDescent="0.25">
      <c r="B137" s="56" t="str">
        <f t="shared" ref="B137:B143" si="66">+B125</f>
        <v>Sülysáp Város Önkormányzata</v>
      </c>
      <c r="C137" s="498"/>
      <c r="D137" s="73"/>
      <c r="E137" s="73"/>
      <c r="F137" s="459"/>
      <c r="G137" s="74"/>
      <c r="H137" s="498"/>
      <c r="I137" s="73"/>
      <c r="J137" s="73"/>
      <c r="K137" s="74"/>
      <c r="L137" s="87"/>
      <c r="M137" s="87"/>
      <c r="N137" s="499"/>
      <c r="O137" s="74"/>
      <c r="P137" s="498"/>
      <c r="Q137" s="73"/>
      <c r="R137" s="73"/>
      <c r="S137" s="73"/>
      <c r="T137" s="499"/>
      <c r="U137" s="74"/>
    </row>
    <row r="138" spans="1:21" x14ac:dyDescent="0.25">
      <c r="A138" s="56"/>
      <c r="B138" s="56" t="str">
        <f t="shared" si="66"/>
        <v>Dr. Gáspár István HSZK</v>
      </c>
      <c r="C138" s="498">
        <f>+'4. Dr Gáspár HSZK'!C100</f>
        <v>37908599</v>
      </c>
      <c r="D138" s="73">
        <f>+'4. Dr Gáspár HSZK'!D100</f>
        <v>37908599</v>
      </c>
      <c r="E138" s="73">
        <f>+'4. Dr Gáspár HSZK'!E100</f>
        <v>37908599</v>
      </c>
      <c r="F138" s="459">
        <f>+'4. Dr Gáspár HSZK'!F100</f>
        <v>37908599</v>
      </c>
      <c r="G138" s="73"/>
      <c r="H138" s="498">
        <f>+'4. Dr Gáspár HSZK'!H100</f>
        <v>19343259</v>
      </c>
      <c r="I138" s="73">
        <f>+'4. Dr Gáspár HSZK'!I100</f>
        <v>26920675</v>
      </c>
      <c r="J138" s="73">
        <f>+'4. Dr Gáspár HSZK'!J100</f>
        <v>35356344</v>
      </c>
      <c r="K138" s="73"/>
      <c r="L138" s="73"/>
      <c r="M138" s="73"/>
      <c r="N138" s="459"/>
      <c r="O138" s="73"/>
      <c r="P138" s="498">
        <f>+'4. Dr Gáspár HSZK'!P100</f>
        <v>0</v>
      </c>
      <c r="Q138" s="73">
        <f>+'4. Dr Gáspár HSZK'!Q100</f>
        <v>0</v>
      </c>
      <c r="R138" s="73">
        <f>+'4. Dr Gáspár HSZK'!R100</f>
        <v>0</v>
      </c>
      <c r="S138" s="73">
        <f>+'4. Dr Gáspár HSZK'!S100</f>
        <v>0</v>
      </c>
      <c r="T138" s="499"/>
      <c r="U138" s="74"/>
    </row>
    <row r="139" spans="1:21" x14ac:dyDescent="0.25">
      <c r="B139" s="56" t="str">
        <f t="shared" si="66"/>
        <v>Sülysápi Csicsergő Óvoda</v>
      </c>
      <c r="C139" s="498">
        <f>+'5. Csicsergő'!C100</f>
        <v>208046159</v>
      </c>
      <c r="D139" s="73">
        <f>+'5. Csicsergő'!D100</f>
        <v>208046159</v>
      </c>
      <c r="E139" s="73">
        <f>+'5. Csicsergő'!E100</f>
        <v>208046159</v>
      </c>
      <c r="F139" s="459">
        <f>+'5. Csicsergő'!F100</f>
        <v>208046159</v>
      </c>
      <c r="G139" s="73"/>
      <c r="H139" s="498">
        <f>+'5. Csicsergő'!H100</f>
        <v>108702593</v>
      </c>
      <c r="I139" s="73">
        <f>+'5. Csicsergő'!I100</f>
        <v>153763522</v>
      </c>
      <c r="J139" s="73">
        <f>+'5. Csicsergő'!J100</f>
        <v>205845198</v>
      </c>
      <c r="K139" s="73"/>
      <c r="L139" s="73"/>
      <c r="M139" s="73"/>
      <c r="N139" s="459"/>
      <c r="O139" s="73"/>
      <c r="P139" s="498">
        <f>+'5. Csicsergő'!P100</f>
        <v>0</v>
      </c>
      <c r="Q139" s="73">
        <f>+'5. Csicsergő'!Q100</f>
        <v>0</v>
      </c>
      <c r="R139" s="73">
        <f>+'5. Csicsergő'!R100</f>
        <v>0</v>
      </c>
      <c r="S139" s="73">
        <f>+'5. Csicsergő'!S100</f>
        <v>0</v>
      </c>
      <c r="T139" s="499"/>
      <c r="U139" s="74"/>
    </row>
    <row r="140" spans="1:21" x14ac:dyDescent="0.25">
      <c r="B140" s="56" t="str">
        <f t="shared" si="66"/>
        <v>Gólyahír Bőlcsőde</v>
      </c>
      <c r="C140" s="498">
        <f>+'6. Gólyahír'!C100</f>
        <v>72679378</v>
      </c>
      <c r="D140" s="73">
        <f>+'6. Gólyahír'!D100</f>
        <v>72679378</v>
      </c>
      <c r="E140" s="73">
        <f>+'6. Gólyahír'!E100</f>
        <v>72679378</v>
      </c>
      <c r="F140" s="459">
        <f>+'6. Gólyahír'!F100</f>
        <v>72679378</v>
      </c>
      <c r="G140" s="73"/>
      <c r="H140" s="498">
        <f>+'6. Gólyahír'!H100</f>
        <v>37881556</v>
      </c>
      <c r="I140" s="73">
        <f>+'6. Gólyahír'!I100</f>
        <v>53761438</v>
      </c>
      <c r="J140" s="73">
        <f>+'6. Gólyahír'!J100</f>
        <v>71609031</v>
      </c>
      <c r="K140" s="73"/>
      <c r="L140" s="73"/>
      <c r="M140" s="73"/>
      <c r="N140" s="459"/>
      <c r="O140" s="73"/>
      <c r="P140" s="498">
        <f>+'6. Gólyahír'!P100</f>
        <v>0</v>
      </c>
      <c r="Q140" s="73">
        <f>+'6. Gólyahír'!Q100</f>
        <v>0</v>
      </c>
      <c r="R140" s="73">
        <f>+'6. Gólyahír'!R100</f>
        <v>0</v>
      </c>
      <c r="S140" s="73">
        <f>+'6. Gólyahír'!S100</f>
        <v>0</v>
      </c>
      <c r="T140" s="499"/>
      <c r="U140" s="74"/>
    </row>
    <row r="141" spans="1:21" x14ac:dyDescent="0.25">
      <c r="B141" s="56" t="str">
        <f t="shared" si="66"/>
        <v>Sülysápi Polgármesteri Hivatal</v>
      </c>
      <c r="C141" s="498">
        <f>+'7. Polg.Hiv.'!C102</f>
        <v>154823000</v>
      </c>
      <c r="D141" s="73">
        <f>+'7. Polg.Hiv.'!D102</f>
        <v>154823000</v>
      </c>
      <c r="E141" s="73">
        <f>+'7. Polg.Hiv.'!E102</f>
        <v>154823000</v>
      </c>
      <c r="F141" s="459">
        <f>+'7. Polg.Hiv.'!F102</f>
        <v>154823000</v>
      </c>
      <c r="G141" s="73"/>
      <c r="H141" s="498">
        <f>+'7. Polg.Hiv.'!H102</f>
        <v>79130219</v>
      </c>
      <c r="I141" s="73">
        <f>+'7. Polg.Hiv.'!I102</f>
        <v>115156375</v>
      </c>
      <c r="J141" s="73">
        <f>+'7. Polg.Hiv.'!J102</f>
        <v>152412069</v>
      </c>
      <c r="K141" s="73"/>
      <c r="L141" s="73"/>
      <c r="M141" s="73"/>
      <c r="N141" s="459"/>
      <c r="O141" s="73"/>
      <c r="P141" s="498">
        <f>+'7. Polg.Hiv.'!P102</f>
        <v>0</v>
      </c>
      <c r="Q141" s="73">
        <f>+'7. Polg.Hiv.'!Q102</f>
        <v>0</v>
      </c>
      <c r="R141" s="73">
        <f>+'7. Polg.Hiv.'!R102</f>
        <v>0</v>
      </c>
      <c r="S141" s="73">
        <f>+'7. Polg.Hiv.'!S102</f>
        <v>0</v>
      </c>
      <c r="T141" s="499"/>
      <c r="U141" s="74"/>
    </row>
    <row r="142" spans="1:21" x14ac:dyDescent="0.25">
      <c r="B142" s="56" t="str">
        <f t="shared" si="66"/>
        <v>Wass Albert Művelődési Központ és Könyvtár</v>
      </c>
      <c r="C142" s="498">
        <f>+'8. WAMKK'!C104</f>
        <v>28276417</v>
      </c>
      <c r="D142" s="73">
        <f>+'8. WAMKK'!D104</f>
        <v>28276417</v>
      </c>
      <c r="E142" s="73">
        <f>+'8. WAMKK'!E104</f>
        <v>28276417</v>
      </c>
      <c r="F142" s="459">
        <f>+'8. WAMKK'!F104</f>
        <v>28276417</v>
      </c>
      <c r="G142" s="73"/>
      <c r="H142" s="498">
        <f>+'8. WAMKK'!H104</f>
        <v>13176215</v>
      </c>
      <c r="I142" s="73">
        <f>+'8. WAMKK'!I104</f>
        <v>19823072</v>
      </c>
      <c r="J142" s="73">
        <f>+'8. WAMKK'!J104</f>
        <v>24686086</v>
      </c>
      <c r="K142" s="73"/>
      <c r="L142" s="73"/>
      <c r="M142" s="73"/>
      <c r="N142" s="459"/>
      <c r="O142" s="73"/>
      <c r="P142" s="498">
        <f>+'8. WAMKK'!P104</f>
        <v>0</v>
      </c>
      <c r="Q142" s="73">
        <f>+'8. WAMKK'!Q104</f>
        <v>0</v>
      </c>
      <c r="R142" s="73">
        <f>+'8. WAMKK'!R104</f>
        <v>0</v>
      </c>
      <c r="S142" s="73">
        <f>+'8. WAMKK'!S104</f>
        <v>0</v>
      </c>
      <c r="T142" s="499"/>
      <c r="U142" s="74"/>
    </row>
    <row r="143" spans="1:21" x14ac:dyDescent="0.25">
      <c r="B143" s="56" t="str">
        <f t="shared" si="66"/>
        <v>Központi Konyha</v>
      </c>
      <c r="C143" s="498">
        <f>+'9. Közp. Konyha'!C100</f>
        <v>86752046</v>
      </c>
      <c r="D143" s="73">
        <f>+'9. Közp. Konyha'!D100</f>
        <v>86752046</v>
      </c>
      <c r="E143" s="73">
        <f>+'9. Közp. Konyha'!E100</f>
        <v>86752046</v>
      </c>
      <c r="F143" s="459">
        <f>+'9. Közp. Konyha'!F100</f>
        <v>86752046</v>
      </c>
      <c r="G143" s="73"/>
      <c r="H143" s="498">
        <f>+'9. Közp. Konyha'!H100</f>
        <v>34348463</v>
      </c>
      <c r="I143" s="73">
        <f>+'9. Közp. Konyha'!I100</f>
        <v>46968591</v>
      </c>
      <c r="J143" s="73">
        <f>+'9. Közp. Konyha'!J100</f>
        <v>69312030</v>
      </c>
      <c r="K143" s="73"/>
      <c r="L143" s="73"/>
      <c r="M143" s="73"/>
      <c r="N143" s="459"/>
      <c r="O143" s="73"/>
      <c r="P143" s="498">
        <f>+'9. Közp. Konyha'!P100</f>
        <v>0</v>
      </c>
      <c r="Q143" s="73">
        <f>+'9. Közp. Konyha'!Q100</f>
        <v>0</v>
      </c>
      <c r="R143" s="73">
        <f>+'9. Közp. Konyha'!R100</f>
        <v>0</v>
      </c>
      <c r="S143" s="73">
        <f>+'9. Közp. Konyha'!S100</f>
        <v>0</v>
      </c>
      <c r="T143" s="499"/>
      <c r="U143" s="74"/>
    </row>
    <row r="144" spans="1:21" ht="8.1" customHeight="1" x14ac:dyDescent="0.25">
      <c r="B144" s="383" t="s">
        <v>442</v>
      </c>
      <c r="C144" s="500"/>
      <c r="D144" s="382"/>
      <c r="E144" s="382"/>
      <c r="F144" s="511"/>
      <c r="G144" s="382"/>
      <c r="H144" s="500"/>
      <c r="I144" s="382"/>
      <c r="J144" s="382"/>
      <c r="K144" s="382"/>
      <c r="L144" s="382"/>
      <c r="M144" s="382"/>
      <c r="N144" s="511"/>
      <c r="O144" s="382"/>
      <c r="P144" s="500"/>
      <c r="Q144" s="382"/>
      <c r="R144" s="382"/>
      <c r="S144" s="382"/>
      <c r="T144" s="499"/>
      <c r="U144" s="74"/>
    </row>
    <row r="145" spans="1:21" x14ac:dyDescent="0.25">
      <c r="A145" s="384" t="str">
        <f>+A136</f>
        <v>B816</v>
      </c>
      <c r="B145" s="364" t="s">
        <v>436</v>
      </c>
      <c r="C145" s="501">
        <f>SUM(C137:C144)</f>
        <v>588485599</v>
      </c>
      <c r="D145" s="365">
        <f t="shared" ref="D145:F145" si="67">SUM(D137:D144)</f>
        <v>588485599</v>
      </c>
      <c r="E145" s="365">
        <f t="shared" si="67"/>
        <v>588485599</v>
      </c>
      <c r="F145" s="512">
        <f t="shared" si="67"/>
        <v>588485599</v>
      </c>
      <c r="G145" s="365"/>
      <c r="H145" s="501">
        <f>SUM(H137:H144)</f>
        <v>292582305</v>
      </c>
      <c r="I145" s="365">
        <f t="shared" ref="I145:J145" si="68">SUM(I137:I144)</f>
        <v>416393673</v>
      </c>
      <c r="J145" s="365">
        <f t="shared" si="68"/>
        <v>559220758</v>
      </c>
      <c r="K145" s="365"/>
      <c r="L145" s="365"/>
      <c r="M145" s="365"/>
      <c r="N145" s="512"/>
      <c r="O145" s="365"/>
      <c r="P145" s="501">
        <f>SUM(P137:P144)</f>
        <v>0</v>
      </c>
      <c r="Q145" s="365">
        <f t="shared" ref="Q145:S145" si="69">SUM(Q137:Q144)</f>
        <v>0</v>
      </c>
      <c r="R145" s="365">
        <f t="shared" si="69"/>
        <v>0</v>
      </c>
      <c r="S145" s="365">
        <f t="shared" si="69"/>
        <v>0</v>
      </c>
      <c r="T145" s="499"/>
      <c r="U145" s="74"/>
    </row>
    <row r="146" spans="1:21" x14ac:dyDescent="0.25">
      <c r="C146" s="503"/>
      <c r="D146" s="513"/>
      <c r="E146" s="513"/>
      <c r="F146" s="526"/>
      <c r="H146" s="503"/>
      <c r="I146" s="513"/>
      <c r="J146" s="513"/>
      <c r="K146" s="513"/>
      <c r="L146" s="504"/>
      <c r="M146" s="504"/>
      <c r="N146" s="505"/>
      <c r="P146" s="503"/>
      <c r="Q146" s="504"/>
      <c r="R146" s="504"/>
      <c r="S146" s="504"/>
      <c r="T146" s="505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.74803149606299213" header="0.31496062992125984" footer="0.31496062992125984"/>
  <pageSetup paperSize="9" scale="53" fitToHeight="0" orientation="landscape" r:id="rId1"/>
  <headerFooter>
    <oddHeader>&amp;R&amp;"Arial,Félkövér dőlt"&amp;A  /&amp;"Arial,Normál"
&amp;"Arial,Dőlt"&amp;8&amp;F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14"/>
  <sheetViews>
    <sheetView view="pageBreakPreview" zoomScaleNormal="75" zoomScaleSheetLayoutView="100" workbookViewId="0">
      <selection activeCell="B4" sqref="B4"/>
    </sheetView>
  </sheetViews>
  <sheetFormatPr defaultRowHeight="13.2" x14ac:dyDescent="0.25"/>
  <cols>
    <col min="1" max="1" width="8.5546875" style="25" customWidth="1"/>
    <col min="2" max="2" width="55.6640625" style="13" customWidth="1"/>
    <col min="3" max="6" width="15.44140625" style="13" customWidth="1"/>
    <col min="7" max="7" width="0.6640625" style="13" customWidth="1"/>
    <col min="8" max="9" width="15.44140625" style="13" customWidth="1"/>
    <col min="10" max="10" width="14.5546875" style="13" customWidth="1"/>
    <col min="11" max="11" width="0.6640625" style="13" customWidth="1"/>
    <col min="12" max="13" width="12.21875" style="13" customWidth="1"/>
    <col min="14" max="14" width="12" style="13" customWidth="1"/>
    <col min="15" max="15" width="1.5546875" style="13" customWidth="1"/>
    <col min="16" max="17" width="14.5546875" style="13" customWidth="1"/>
    <col min="18" max="18" width="16" style="13" customWidth="1"/>
    <col min="19" max="19" width="15.5546875" style="13" customWidth="1"/>
    <col min="21" max="21" width="2.5546875" customWidth="1"/>
    <col min="22" max="22" width="3.44140625" customWidth="1"/>
    <col min="23" max="23" width="12.5546875" bestFit="1" customWidth="1"/>
  </cols>
  <sheetData>
    <row r="1" spans="1:26" ht="24.6" x14ac:dyDescent="0.4">
      <c r="A1" s="299" t="s">
        <v>509</v>
      </c>
      <c r="B1" s="227"/>
      <c r="C1" s="227"/>
      <c r="D1" s="227"/>
      <c r="E1" s="718"/>
      <c r="F1" s="227"/>
      <c r="G1" s="226"/>
      <c r="H1" s="225"/>
      <c r="I1" s="225"/>
      <c r="J1" s="224" t="str">
        <f>+'1. Sülysáp összesen'!J1</f>
        <v>2021. ÉVI KÖLTSÉGVETÉS MÓDOSÍTÁSA</v>
      </c>
      <c r="K1" s="229"/>
      <c r="L1" s="229"/>
      <c r="M1" s="225"/>
      <c r="N1" s="225"/>
      <c r="O1" s="229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268"/>
      <c r="B4" s="267"/>
      <c r="C4" s="88"/>
      <c r="D4" s="88"/>
      <c r="E4" s="88"/>
      <c r="F4" s="88"/>
      <c r="G4" s="88"/>
      <c r="H4" s="88"/>
      <c r="I4" s="88"/>
      <c r="J4" s="88"/>
      <c r="K4" s="88"/>
      <c r="L4" s="267"/>
      <c r="M4" s="267"/>
      <c r="N4" s="267"/>
      <c r="O4" s="88"/>
      <c r="P4" s="88"/>
      <c r="Q4" s="88"/>
      <c r="R4" s="88"/>
      <c r="S4" s="88"/>
      <c r="T4" s="88"/>
      <c r="U4" s="267"/>
      <c r="V4" s="253"/>
      <c r="W4" s="122"/>
      <c r="X4" s="122"/>
    </row>
    <row r="5" spans="1:26" ht="20.100000000000001" customHeight="1" x14ac:dyDescent="0.3">
      <c r="A5" s="249"/>
      <c r="B5" s="249" t="s">
        <v>371</v>
      </c>
      <c r="C5" s="250">
        <f>+C89</f>
        <v>154833000</v>
      </c>
      <c r="D5" s="250">
        <f t="shared" ref="D5:E5" si="0">+D89</f>
        <v>154833000</v>
      </c>
      <c r="E5" s="250">
        <f t="shared" si="0"/>
        <v>154833000</v>
      </c>
      <c r="F5" s="250">
        <f>+F89</f>
        <v>154833000</v>
      </c>
      <c r="G5" s="250"/>
      <c r="H5" s="250">
        <f>+H89</f>
        <v>77266080</v>
      </c>
      <c r="I5" s="250">
        <f t="shared" ref="I5:J5" si="1">+I89</f>
        <v>113695413</v>
      </c>
      <c r="J5" s="250">
        <f t="shared" si="1"/>
        <v>151919572</v>
      </c>
      <c r="K5" s="89"/>
      <c r="L5" s="641">
        <f t="shared" ref="L5:N6" si="2">IF(H5&gt;0,H5/C5,0)</f>
        <v>0.49902850167599933</v>
      </c>
      <c r="M5" s="641">
        <f t="shared" si="2"/>
        <v>0.73430995330452808</v>
      </c>
      <c r="N5" s="641">
        <f t="shared" si="2"/>
        <v>0.9811834169718342</v>
      </c>
      <c r="O5" s="89"/>
      <c r="P5" s="250">
        <f>+P89</f>
        <v>0</v>
      </c>
      <c r="Q5" s="250">
        <f>+Q89</f>
        <v>0</v>
      </c>
      <c r="R5" s="250">
        <f>+R89</f>
        <v>0</v>
      </c>
      <c r="S5" s="250">
        <f>+S89</f>
        <v>0</v>
      </c>
      <c r="T5" s="133">
        <f>IF(C5=0,0,+S5/C5)</f>
        <v>0</v>
      </c>
      <c r="U5" s="118"/>
      <c r="V5" s="198">
        <f t="shared" ref="V5:V7" si="3">+S5-E5+C5</f>
        <v>0</v>
      </c>
      <c r="W5" s="122"/>
      <c r="X5" s="122"/>
    </row>
    <row r="6" spans="1:26" ht="20.100000000000001" customHeight="1" x14ac:dyDescent="0.3">
      <c r="A6" s="251"/>
      <c r="B6" s="251" t="s">
        <v>370</v>
      </c>
      <c r="C6" s="252">
        <f>+C104</f>
        <v>154833000</v>
      </c>
      <c r="D6" s="252">
        <f t="shared" ref="D6:F6" si="4">+D104</f>
        <v>154833000</v>
      </c>
      <c r="E6" s="252">
        <f t="shared" si="4"/>
        <v>154833000</v>
      </c>
      <c r="F6" s="252">
        <f t="shared" si="4"/>
        <v>154833000</v>
      </c>
      <c r="G6" s="252"/>
      <c r="H6" s="252">
        <f>+H104</f>
        <v>79131257</v>
      </c>
      <c r="I6" s="252">
        <f t="shared" ref="I6:J6" si="5">+I104</f>
        <v>116109727</v>
      </c>
      <c r="J6" s="252">
        <f t="shared" si="5"/>
        <v>153366306</v>
      </c>
      <c r="K6" s="67"/>
      <c r="L6" s="641">
        <f t="shared" si="2"/>
        <v>0.51107488067789164</v>
      </c>
      <c r="M6" s="641">
        <f t="shared" si="2"/>
        <v>0.74990297288045826</v>
      </c>
      <c r="N6" s="641">
        <f t="shared" si="2"/>
        <v>0.99052725194241542</v>
      </c>
      <c r="O6" s="67"/>
      <c r="P6" s="252">
        <f>+P104</f>
        <v>0</v>
      </c>
      <c r="Q6" s="252">
        <f t="shared" ref="Q6:S6" si="6">+Q104</f>
        <v>0</v>
      </c>
      <c r="R6" s="252">
        <f t="shared" si="6"/>
        <v>0</v>
      </c>
      <c r="S6" s="252">
        <f t="shared" si="6"/>
        <v>0</v>
      </c>
      <c r="T6" s="31">
        <f>IF(C6=0,0,+S6/C6)</f>
        <v>0</v>
      </c>
      <c r="U6" s="118"/>
      <c r="V6" s="198">
        <f t="shared" si="3"/>
        <v>0</v>
      </c>
      <c r="W6" s="122"/>
      <c r="X6" s="122"/>
    </row>
    <row r="7" spans="1:26" ht="20.100000000000001" customHeight="1" x14ac:dyDescent="0.3">
      <c r="A7" s="251"/>
      <c r="B7" s="251" t="s">
        <v>402</v>
      </c>
      <c r="C7" s="252">
        <f>+C6-C5</f>
        <v>0</v>
      </c>
      <c r="D7" s="252">
        <f t="shared" ref="D7:H7" si="7">+D6-D5</f>
        <v>0</v>
      </c>
      <c r="E7" s="252">
        <f t="shared" si="7"/>
        <v>0</v>
      </c>
      <c r="F7" s="252">
        <f t="shared" si="7"/>
        <v>0</v>
      </c>
      <c r="G7" s="252"/>
      <c r="H7" s="252">
        <f t="shared" si="7"/>
        <v>1865177</v>
      </c>
      <c r="I7" s="252">
        <f>+I6-I5</f>
        <v>2414314</v>
      </c>
      <c r="J7" s="252">
        <f t="shared" ref="J7" si="8">+J6-J5</f>
        <v>1446734</v>
      </c>
      <c r="K7" s="67"/>
      <c r="L7" s="641"/>
      <c r="M7" s="641"/>
      <c r="N7" s="641"/>
      <c r="O7" s="67"/>
      <c r="P7" s="252">
        <f t="shared" ref="P7:S7" si="9">+P6-P5</f>
        <v>0</v>
      </c>
      <c r="Q7" s="252">
        <f t="shared" si="9"/>
        <v>0</v>
      </c>
      <c r="R7" s="252">
        <f t="shared" si="9"/>
        <v>0</v>
      </c>
      <c r="S7" s="252">
        <f t="shared" si="9"/>
        <v>0</v>
      </c>
      <c r="T7" s="31">
        <f>IF(C7=0,0,+S7/C7)</f>
        <v>0</v>
      </c>
      <c r="U7" s="118"/>
      <c r="V7" s="198">
        <f t="shared" si="3"/>
        <v>0</v>
      </c>
      <c r="W7" s="122"/>
      <c r="X7" s="122"/>
    </row>
    <row r="8" spans="1:26" x14ac:dyDescent="0.25">
      <c r="A8" s="235"/>
      <c r="B8" s="236"/>
      <c r="C8" s="611"/>
      <c r="D8" s="612"/>
      <c r="E8" s="612"/>
      <c r="F8" s="612"/>
      <c r="G8" s="613"/>
      <c r="H8" s="613"/>
      <c r="I8" s="613"/>
      <c r="J8" s="613"/>
      <c r="K8" s="613"/>
      <c r="L8" s="137"/>
      <c r="M8" s="137"/>
      <c r="N8" s="137"/>
      <c r="O8" s="94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785" t="s">
        <v>401</v>
      </c>
      <c r="D9" s="793"/>
      <c r="E9" s="793"/>
      <c r="F9" s="794"/>
      <c r="G9" s="154"/>
      <c r="H9" s="785" t="s">
        <v>400</v>
      </c>
      <c r="I9" s="793"/>
      <c r="J9" s="793"/>
      <c r="K9" s="793"/>
      <c r="L9" s="793"/>
      <c r="M9" s="793"/>
      <c r="N9" s="794"/>
      <c r="O9" s="154"/>
      <c r="P9" s="785" t="s">
        <v>397</v>
      </c>
      <c r="Q9" s="793"/>
      <c r="R9" s="793"/>
      <c r="S9" s="793"/>
      <c r="T9" s="794"/>
      <c r="U9" s="199"/>
      <c r="V9" s="195"/>
      <c r="W9" s="122"/>
      <c r="X9" s="122"/>
    </row>
    <row r="10" spans="1:26" x14ac:dyDescent="0.25">
      <c r="A10" s="268"/>
      <c r="B10" s="267"/>
      <c r="C10" s="233"/>
      <c r="D10" s="88"/>
      <c r="E10" s="88"/>
      <c r="F10" s="234"/>
      <c r="G10" s="134"/>
      <c r="H10" s="782" t="s">
        <v>413</v>
      </c>
      <c r="I10" s="795"/>
      <c r="J10" s="796"/>
      <c r="K10" s="134"/>
      <c r="L10" s="782" t="s">
        <v>412</v>
      </c>
      <c r="M10" s="795"/>
      <c r="N10" s="796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6" ht="55.8" customHeight="1" x14ac:dyDescent="0.25">
      <c r="A11" s="27" t="s">
        <v>366</v>
      </c>
      <c r="B11" s="27" t="s">
        <v>364</v>
      </c>
      <c r="C11" s="520" t="s">
        <v>485</v>
      </c>
      <c r="D11" s="358" t="s">
        <v>486</v>
      </c>
      <c r="E11" s="358" t="s">
        <v>487</v>
      </c>
      <c r="F11" s="521" t="s">
        <v>488</v>
      </c>
      <c r="G11" s="358"/>
      <c r="H11" s="494" t="s">
        <v>498</v>
      </c>
      <c r="I11" s="359" t="s">
        <v>499</v>
      </c>
      <c r="J11" s="359" t="s">
        <v>500</v>
      </c>
      <c r="K11" s="358"/>
      <c r="L11" s="360" t="s">
        <v>501</v>
      </c>
      <c r="M11" s="360" t="s">
        <v>502</v>
      </c>
      <c r="N11" s="495" t="s">
        <v>503</v>
      </c>
      <c r="O11" s="358"/>
      <c r="P11" s="494" t="s">
        <v>495</v>
      </c>
      <c r="Q11" s="359" t="s">
        <v>496</v>
      </c>
      <c r="R11" s="359" t="s">
        <v>497</v>
      </c>
      <c r="S11" s="359" t="s">
        <v>398</v>
      </c>
      <c r="T11" s="495" t="s">
        <v>399</v>
      </c>
      <c r="U11" s="28"/>
      <c r="V11" s="132" t="s">
        <v>403</v>
      </c>
      <c r="W11" s="122"/>
      <c r="X11" s="122"/>
    </row>
    <row r="12" spans="1:26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16"/>
      <c r="M12" s="14"/>
      <c r="N12" s="16"/>
      <c r="O12" s="68"/>
      <c r="P12" s="272"/>
      <c r="Q12" s="272"/>
      <c r="R12" s="272"/>
      <c r="S12" s="272"/>
      <c r="T12" s="68"/>
      <c r="U12" s="68"/>
      <c r="V12" s="255"/>
    </row>
    <row r="13" spans="1:26" x14ac:dyDescent="0.25">
      <c r="A13" s="5" t="s">
        <v>0</v>
      </c>
      <c r="B13" s="5" t="s">
        <v>3</v>
      </c>
      <c r="C13" s="190">
        <f>SUM(C14:C28)</f>
        <v>122543000</v>
      </c>
      <c r="D13" s="190">
        <f t="shared" ref="D13:J13" si="10">SUM(D14:D28)</f>
        <v>123105635</v>
      </c>
      <c r="E13" s="190">
        <f t="shared" si="10"/>
        <v>123105635</v>
      </c>
      <c r="F13" s="190">
        <f t="shared" si="10"/>
        <v>123389945</v>
      </c>
      <c r="G13" s="190"/>
      <c r="H13" s="190">
        <f t="shared" si="10"/>
        <v>62184602</v>
      </c>
      <c r="I13" s="190">
        <f t="shared" si="10"/>
        <v>91683480</v>
      </c>
      <c r="J13" s="190">
        <f t="shared" si="10"/>
        <v>123111716</v>
      </c>
      <c r="K13" s="10"/>
      <c r="L13" s="590">
        <f t="shared" ref="L13" si="11">+H13/C13</f>
        <v>0.50745127832679138</v>
      </c>
      <c r="M13" s="590">
        <f>+I13/D13</f>
        <v>0.74475453540367997</v>
      </c>
      <c r="N13" s="590">
        <f t="shared" ref="N13" si="12">+J13/E13</f>
        <v>1.0000493966015447</v>
      </c>
      <c r="O13" s="10"/>
      <c r="P13" s="296">
        <f t="shared" ref="P13:P76" si="13">+(D13-C13)*P$10</f>
        <v>562635</v>
      </c>
      <c r="Q13" s="296">
        <f t="shared" ref="Q13:Q76" si="14">+(E13-D13)*Q$10</f>
        <v>0</v>
      </c>
      <c r="R13" s="296">
        <f t="shared" ref="R13:R76" si="15">+(F13-E13)*R$10</f>
        <v>0</v>
      </c>
      <c r="S13" s="296">
        <f t="shared" ref="S13:S14" si="16">+P13*P$10+Q13*Q$10+R13*R$10</f>
        <v>562635</v>
      </c>
      <c r="T13" s="282">
        <f t="shared" ref="T13:T76" si="17">IF(C13=0,0,+S13/C13)</f>
        <v>4.591327125988429E-3</v>
      </c>
      <c r="U13" s="120"/>
      <c r="V13" s="195">
        <f t="shared" ref="V13:V15" si="18">+S13-E13+C13</f>
        <v>0</v>
      </c>
    </row>
    <row r="14" spans="1:26" x14ac:dyDescent="0.25">
      <c r="A14" s="20" t="s">
        <v>1</v>
      </c>
      <c r="B14" s="20"/>
      <c r="C14" s="96"/>
      <c r="D14" s="68"/>
      <c r="E14" s="68"/>
      <c r="F14" s="68"/>
      <c r="G14" s="68"/>
      <c r="H14" s="68"/>
      <c r="I14" s="68"/>
      <c r="J14" s="68"/>
      <c r="K14" s="16"/>
      <c r="L14" s="593"/>
      <c r="M14" s="593"/>
      <c r="N14" s="593"/>
      <c r="O14" s="16"/>
      <c r="P14" s="272">
        <f t="shared" si="13"/>
        <v>0</v>
      </c>
      <c r="Q14" s="272">
        <f t="shared" si="14"/>
        <v>0</v>
      </c>
      <c r="R14" s="272">
        <f t="shared" si="15"/>
        <v>0</v>
      </c>
      <c r="S14" s="272">
        <f t="shared" si="16"/>
        <v>0</v>
      </c>
      <c r="T14" s="281">
        <f t="shared" si="17"/>
        <v>0</v>
      </c>
      <c r="U14" s="120"/>
      <c r="V14" s="195">
        <f t="shared" si="18"/>
        <v>0</v>
      </c>
    </row>
    <row r="15" spans="1:26" x14ac:dyDescent="0.25">
      <c r="A15" s="20" t="s">
        <v>2</v>
      </c>
      <c r="B15" s="482" t="s">
        <v>356</v>
      </c>
      <c r="C15" s="559">
        <v>110692000</v>
      </c>
      <c r="D15" s="68">
        <v>109288504</v>
      </c>
      <c r="E15" s="68">
        <v>109288504</v>
      </c>
      <c r="F15" s="68">
        <v>108157283</v>
      </c>
      <c r="G15" s="68"/>
      <c r="H15" s="68">
        <v>53678518</v>
      </c>
      <c r="I15" s="68">
        <v>81143417</v>
      </c>
      <c r="J15" s="68">
        <v>107897752</v>
      </c>
      <c r="K15" s="16"/>
      <c r="L15" s="593">
        <f t="shared" ref="L15:L27" si="19">IF(H15&gt;0,H15/C15,0)</f>
        <v>0.48493583998843637</v>
      </c>
      <c r="M15" s="593">
        <f t="shared" ref="M15:M27" si="20">IF(I15&gt;0,I15/D15,0)</f>
        <v>0.74246983012961731</v>
      </c>
      <c r="N15" s="593">
        <f t="shared" ref="N15:N27" si="21">IF(J15&gt;0,J15/E15,0)</f>
        <v>0.98727448954740926</v>
      </c>
      <c r="O15" s="16"/>
      <c r="P15" s="81">
        <f t="shared" si="13"/>
        <v>-1403496</v>
      </c>
      <c r="Q15" s="81">
        <f t="shared" si="14"/>
        <v>0</v>
      </c>
      <c r="R15" s="81">
        <f t="shared" si="15"/>
        <v>0</v>
      </c>
      <c r="S15" s="81">
        <f>+P15*P$10+Q15*Q$10+R15*R$10</f>
        <v>-1403496</v>
      </c>
      <c r="T15" s="281">
        <f t="shared" si="17"/>
        <v>-1.2679290282947278E-2</v>
      </c>
      <c r="U15" s="120"/>
      <c r="V15" s="195">
        <f t="shared" si="18"/>
        <v>0</v>
      </c>
    </row>
    <row r="16" spans="1:26" ht="26.4" x14ac:dyDescent="0.25">
      <c r="A16" s="482" t="s">
        <v>507</v>
      </c>
      <c r="B16" s="482" t="s">
        <v>508</v>
      </c>
      <c r="C16" s="96"/>
      <c r="D16" s="68">
        <v>700000</v>
      </c>
      <c r="E16" s="68">
        <v>700000</v>
      </c>
      <c r="F16" s="68">
        <v>3907072</v>
      </c>
      <c r="G16" s="68"/>
      <c r="H16" s="68">
        <v>687297</v>
      </c>
      <c r="I16" s="68">
        <v>687297</v>
      </c>
      <c r="J16" s="68">
        <v>3894369</v>
      </c>
      <c r="K16" s="16"/>
      <c r="L16" s="593" t="e">
        <f t="shared" si="19"/>
        <v>#DIV/0!</v>
      </c>
      <c r="M16" s="593">
        <f t="shared" si="20"/>
        <v>0.98185285714285719</v>
      </c>
      <c r="N16" s="593">
        <f t="shared" si="21"/>
        <v>5.5633842857142861</v>
      </c>
      <c r="O16" s="16"/>
      <c r="P16" s="81">
        <f t="shared" si="13"/>
        <v>700000</v>
      </c>
      <c r="Q16" s="81">
        <f t="shared" si="14"/>
        <v>0</v>
      </c>
      <c r="R16" s="81">
        <f t="shared" si="15"/>
        <v>0</v>
      </c>
      <c r="S16" s="81">
        <f t="shared" ref="S16:S27" si="22">+P16*P$10+Q16*Q$10+R16*R$10</f>
        <v>700000</v>
      </c>
      <c r="T16" s="281">
        <f t="shared" si="17"/>
        <v>0</v>
      </c>
      <c r="U16" s="120"/>
      <c r="V16" s="195">
        <f t="shared" ref="V16:V76" si="23">+S16-E16+C16</f>
        <v>0</v>
      </c>
    </row>
    <row r="17" spans="1:23" x14ac:dyDescent="0.25">
      <c r="A17" s="20" t="s">
        <v>11</v>
      </c>
      <c r="B17" s="20" t="s">
        <v>4</v>
      </c>
      <c r="C17" s="96">
        <v>0</v>
      </c>
      <c r="D17" s="68">
        <v>0</v>
      </c>
      <c r="E17" s="68">
        <v>0</v>
      </c>
      <c r="F17" s="68">
        <v>0</v>
      </c>
      <c r="G17" s="68"/>
      <c r="H17" s="68">
        <v>0</v>
      </c>
      <c r="I17" s="68">
        <v>0</v>
      </c>
      <c r="J17" s="68">
        <v>0</v>
      </c>
      <c r="K17" s="16"/>
      <c r="L17" s="593">
        <f t="shared" si="19"/>
        <v>0</v>
      </c>
      <c r="M17" s="593">
        <f t="shared" si="20"/>
        <v>0</v>
      </c>
      <c r="N17" s="593">
        <f t="shared" si="21"/>
        <v>0</v>
      </c>
      <c r="O17" s="16"/>
      <c r="P17" s="81">
        <f t="shared" si="13"/>
        <v>0</v>
      </c>
      <c r="Q17" s="81">
        <f t="shared" si="14"/>
        <v>0</v>
      </c>
      <c r="R17" s="81">
        <f t="shared" si="15"/>
        <v>0</v>
      </c>
      <c r="S17" s="81">
        <f t="shared" si="22"/>
        <v>0</v>
      </c>
      <c r="T17" s="281">
        <f t="shared" si="17"/>
        <v>0</v>
      </c>
      <c r="U17" s="120"/>
      <c r="V17" s="195">
        <f t="shared" si="23"/>
        <v>0</v>
      </c>
    </row>
    <row r="18" spans="1:23" x14ac:dyDescent="0.25">
      <c r="A18" s="482" t="s">
        <v>376</v>
      </c>
      <c r="B18" s="20" t="s">
        <v>5</v>
      </c>
      <c r="C18" s="96">
        <v>2341000</v>
      </c>
      <c r="D18" s="68">
        <v>2341000</v>
      </c>
      <c r="E18" s="68">
        <v>2341000</v>
      </c>
      <c r="F18" s="68">
        <v>2078697</v>
      </c>
      <c r="G18" s="68"/>
      <c r="H18" s="68">
        <v>0</v>
      </c>
      <c r="I18" s="68">
        <v>1320000</v>
      </c>
      <c r="J18" s="68">
        <v>2078697</v>
      </c>
      <c r="K18" s="16"/>
      <c r="L18" s="593">
        <f t="shared" si="19"/>
        <v>0</v>
      </c>
      <c r="M18" s="593">
        <f t="shared" si="20"/>
        <v>0.56386159760785992</v>
      </c>
      <c r="N18" s="593">
        <f t="shared" si="21"/>
        <v>0.88795258436565572</v>
      </c>
      <c r="O18" s="16"/>
      <c r="P18" s="81">
        <f t="shared" si="13"/>
        <v>0</v>
      </c>
      <c r="Q18" s="81">
        <f t="shared" si="14"/>
        <v>0</v>
      </c>
      <c r="R18" s="81">
        <f t="shared" si="15"/>
        <v>0</v>
      </c>
      <c r="S18" s="81">
        <f t="shared" si="22"/>
        <v>0</v>
      </c>
      <c r="T18" s="281">
        <f t="shared" si="17"/>
        <v>0</v>
      </c>
      <c r="U18" s="120"/>
      <c r="V18" s="195">
        <f t="shared" si="23"/>
        <v>0</v>
      </c>
      <c r="W18" s="2"/>
    </row>
    <row r="19" spans="1:23" x14ac:dyDescent="0.25">
      <c r="A19" s="20" t="s">
        <v>12</v>
      </c>
      <c r="B19" s="20" t="s">
        <v>6</v>
      </c>
      <c r="C19" s="96">
        <v>8450000</v>
      </c>
      <c r="D19" s="68">
        <v>8450000</v>
      </c>
      <c r="E19" s="68">
        <v>8450000</v>
      </c>
      <c r="F19" s="68">
        <v>6993517</v>
      </c>
      <c r="G19" s="68"/>
      <c r="H19" s="68">
        <v>6971017</v>
      </c>
      <c r="I19" s="68">
        <v>6971017</v>
      </c>
      <c r="J19" s="68">
        <v>6993517</v>
      </c>
      <c r="K19" s="16"/>
      <c r="L19" s="593">
        <f t="shared" si="19"/>
        <v>0.82497242603550291</v>
      </c>
      <c r="M19" s="593">
        <f t="shared" si="20"/>
        <v>0.82497242603550291</v>
      </c>
      <c r="N19" s="593">
        <f t="shared" si="21"/>
        <v>0.82763514792899406</v>
      </c>
      <c r="O19" s="16"/>
      <c r="P19" s="81">
        <f t="shared" si="13"/>
        <v>0</v>
      </c>
      <c r="Q19" s="81">
        <f t="shared" si="14"/>
        <v>0</v>
      </c>
      <c r="R19" s="81">
        <f t="shared" si="15"/>
        <v>0</v>
      </c>
      <c r="S19" s="81">
        <f t="shared" si="22"/>
        <v>0</v>
      </c>
      <c r="T19" s="281">
        <f t="shared" si="17"/>
        <v>0</v>
      </c>
      <c r="U19" s="120"/>
      <c r="V19" s="195">
        <f t="shared" si="23"/>
        <v>0</v>
      </c>
    </row>
    <row r="20" spans="1:23" x14ac:dyDescent="0.25">
      <c r="A20" s="20" t="s">
        <v>13</v>
      </c>
      <c r="B20" s="20" t="s">
        <v>7</v>
      </c>
      <c r="C20" s="96"/>
      <c r="D20" s="68"/>
      <c r="E20" s="68"/>
      <c r="F20" s="68"/>
      <c r="G20" s="68"/>
      <c r="H20" s="68"/>
      <c r="I20" s="68"/>
      <c r="J20" s="68"/>
      <c r="K20" s="16"/>
      <c r="L20" s="593">
        <f t="shared" si="19"/>
        <v>0</v>
      </c>
      <c r="M20" s="593">
        <f t="shared" si="20"/>
        <v>0</v>
      </c>
      <c r="N20" s="593">
        <f t="shared" si="21"/>
        <v>0</v>
      </c>
      <c r="O20" s="16"/>
      <c r="P20" s="81">
        <f t="shared" si="13"/>
        <v>0</v>
      </c>
      <c r="Q20" s="81">
        <f t="shared" si="14"/>
        <v>0</v>
      </c>
      <c r="R20" s="81">
        <f t="shared" si="15"/>
        <v>0</v>
      </c>
      <c r="S20" s="81">
        <f t="shared" si="22"/>
        <v>0</v>
      </c>
      <c r="T20" s="281">
        <f t="shared" si="17"/>
        <v>0</v>
      </c>
      <c r="U20" s="120"/>
      <c r="V20" s="195">
        <f t="shared" si="23"/>
        <v>0</v>
      </c>
    </row>
    <row r="21" spans="1:23" x14ac:dyDescent="0.25">
      <c r="A21" s="20" t="s">
        <v>14</v>
      </c>
      <c r="B21" s="20" t="s">
        <v>8</v>
      </c>
      <c r="C21" s="96">
        <v>500000</v>
      </c>
      <c r="D21" s="68">
        <v>500000</v>
      </c>
      <c r="E21" s="68">
        <v>500000</v>
      </c>
      <c r="F21" s="68">
        <v>334592</v>
      </c>
      <c r="G21" s="68"/>
      <c r="H21" s="68">
        <v>117867</v>
      </c>
      <c r="I21" s="68">
        <v>214152</v>
      </c>
      <c r="J21" s="68">
        <v>334592</v>
      </c>
      <c r="K21" s="16"/>
      <c r="L21" s="593">
        <f t="shared" si="19"/>
        <v>0.235734</v>
      </c>
      <c r="M21" s="593">
        <f t="shared" si="20"/>
        <v>0.42830400000000002</v>
      </c>
      <c r="N21" s="593">
        <f t="shared" si="21"/>
        <v>0.669184</v>
      </c>
      <c r="O21" s="16"/>
      <c r="P21" s="81">
        <f t="shared" si="13"/>
        <v>0</v>
      </c>
      <c r="Q21" s="81">
        <f t="shared" si="14"/>
        <v>0</v>
      </c>
      <c r="R21" s="81">
        <f t="shared" si="15"/>
        <v>0</v>
      </c>
      <c r="S21" s="81">
        <f t="shared" si="22"/>
        <v>0</v>
      </c>
      <c r="T21" s="281">
        <f t="shared" si="17"/>
        <v>0</v>
      </c>
      <c r="U21" s="120"/>
      <c r="V21" s="195">
        <f t="shared" si="23"/>
        <v>0</v>
      </c>
    </row>
    <row r="22" spans="1:23" x14ac:dyDescent="0.25">
      <c r="A22" s="20" t="s">
        <v>15</v>
      </c>
      <c r="B22" s="20" t="s">
        <v>9</v>
      </c>
      <c r="C22" s="96">
        <v>0</v>
      </c>
      <c r="D22" s="68">
        <v>0</v>
      </c>
      <c r="E22" s="68">
        <v>0</v>
      </c>
      <c r="F22" s="68"/>
      <c r="G22" s="68"/>
      <c r="H22" s="68">
        <v>0</v>
      </c>
      <c r="I22" s="68">
        <v>0</v>
      </c>
      <c r="J22" s="68"/>
      <c r="K22" s="16"/>
      <c r="L22" s="593">
        <f t="shared" si="19"/>
        <v>0</v>
      </c>
      <c r="M22" s="593">
        <f t="shared" si="20"/>
        <v>0</v>
      </c>
      <c r="N22" s="593">
        <f t="shared" si="21"/>
        <v>0</v>
      </c>
      <c r="O22" s="16"/>
      <c r="P22" s="81">
        <f t="shared" si="13"/>
        <v>0</v>
      </c>
      <c r="Q22" s="81">
        <f t="shared" si="14"/>
        <v>0</v>
      </c>
      <c r="R22" s="81">
        <f t="shared" si="15"/>
        <v>0</v>
      </c>
      <c r="S22" s="81">
        <f t="shared" si="22"/>
        <v>0</v>
      </c>
      <c r="T22" s="281">
        <f t="shared" si="17"/>
        <v>0</v>
      </c>
      <c r="U22" s="120"/>
      <c r="V22" s="195">
        <f t="shared" si="23"/>
        <v>0</v>
      </c>
    </row>
    <row r="23" spans="1:23" x14ac:dyDescent="0.25">
      <c r="A23" s="20" t="s">
        <v>16</v>
      </c>
      <c r="B23" s="20" t="s">
        <v>10</v>
      </c>
      <c r="C23" s="96">
        <v>160000</v>
      </c>
      <c r="D23" s="68">
        <v>860000</v>
      </c>
      <c r="E23" s="68">
        <v>860000</v>
      </c>
      <c r="F23" s="68">
        <v>1200009</v>
      </c>
      <c r="G23" s="68"/>
      <c r="H23" s="68">
        <v>719289</v>
      </c>
      <c r="I23" s="68">
        <v>839289</v>
      </c>
      <c r="J23" s="68">
        <v>1200009</v>
      </c>
      <c r="K23" s="16"/>
      <c r="L23" s="593">
        <f t="shared" si="19"/>
        <v>4.4955562499999999</v>
      </c>
      <c r="M23" s="593">
        <f t="shared" si="20"/>
        <v>0.97591744186046514</v>
      </c>
      <c r="N23" s="593">
        <f t="shared" si="21"/>
        <v>1.3953593023255815</v>
      </c>
      <c r="O23" s="16"/>
      <c r="P23" s="81">
        <f t="shared" si="13"/>
        <v>700000</v>
      </c>
      <c r="Q23" s="81">
        <f t="shared" si="14"/>
        <v>0</v>
      </c>
      <c r="R23" s="81">
        <f t="shared" si="15"/>
        <v>0</v>
      </c>
      <c r="S23" s="81">
        <f t="shared" si="22"/>
        <v>700000</v>
      </c>
      <c r="T23" s="281">
        <f t="shared" si="17"/>
        <v>4.375</v>
      </c>
      <c r="U23" s="120"/>
      <c r="V23" s="195">
        <f t="shared" si="23"/>
        <v>0</v>
      </c>
    </row>
    <row r="24" spans="1:23" x14ac:dyDescent="0.25">
      <c r="A24" s="20" t="s">
        <v>17</v>
      </c>
      <c r="B24" s="20"/>
      <c r="C24" s="96"/>
      <c r="D24" s="68"/>
      <c r="E24" s="68"/>
      <c r="F24" s="68"/>
      <c r="G24" s="68"/>
      <c r="H24" s="68"/>
      <c r="I24" s="68"/>
      <c r="J24" s="68"/>
      <c r="K24" s="16"/>
      <c r="L24" s="593">
        <f t="shared" si="19"/>
        <v>0</v>
      </c>
      <c r="M24" s="593">
        <f t="shared" si="20"/>
        <v>0</v>
      </c>
      <c r="N24" s="593">
        <f t="shared" si="21"/>
        <v>0</v>
      </c>
      <c r="O24" s="16"/>
      <c r="P24" s="81">
        <f t="shared" si="13"/>
        <v>0</v>
      </c>
      <c r="Q24" s="81">
        <f t="shared" si="14"/>
        <v>0</v>
      </c>
      <c r="R24" s="81">
        <f t="shared" si="15"/>
        <v>0</v>
      </c>
      <c r="S24" s="81">
        <f t="shared" si="22"/>
        <v>0</v>
      </c>
      <c r="T24" s="281">
        <f t="shared" si="17"/>
        <v>0</v>
      </c>
      <c r="U24" s="120"/>
      <c r="V24" s="195">
        <f t="shared" ref="V24:V34" si="24">+S24-E24+C24</f>
        <v>0</v>
      </c>
    </row>
    <row r="25" spans="1:23" x14ac:dyDescent="0.25">
      <c r="A25" s="20" t="s">
        <v>18</v>
      </c>
      <c r="B25" s="482" t="s">
        <v>458</v>
      </c>
      <c r="C25" s="96">
        <v>0</v>
      </c>
      <c r="D25" s="68">
        <v>0</v>
      </c>
      <c r="E25" s="68">
        <v>0</v>
      </c>
      <c r="F25" s="68">
        <v>0</v>
      </c>
      <c r="G25" s="68"/>
      <c r="H25" s="68">
        <v>0</v>
      </c>
      <c r="I25" s="68">
        <v>0</v>
      </c>
      <c r="J25" s="68">
        <v>0</v>
      </c>
      <c r="K25" s="16"/>
      <c r="L25" s="593">
        <f t="shared" si="19"/>
        <v>0</v>
      </c>
      <c r="M25" s="593">
        <f t="shared" si="20"/>
        <v>0</v>
      </c>
      <c r="N25" s="593">
        <f t="shared" si="21"/>
        <v>0</v>
      </c>
      <c r="O25" s="16"/>
      <c r="P25" s="81">
        <f t="shared" si="13"/>
        <v>0</v>
      </c>
      <c r="Q25" s="81">
        <f t="shared" si="14"/>
        <v>0</v>
      </c>
      <c r="R25" s="81">
        <f t="shared" si="15"/>
        <v>0</v>
      </c>
      <c r="S25" s="81">
        <f t="shared" si="22"/>
        <v>0</v>
      </c>
      <c r="T25" s="281">
        <f t="shared" si="17"/>
        <v>0</v>
      </c>
      <c r="U25" s="120"/>
      <c r="V25" s="195">
        <f t="shared" si="24"/>
        <v>0</v>
      </c>
    </row>
    <row r="26" spans="1:23" x14ac:dyDescent="0.25">
      <c r="A26" s="20" t="s">
        <v>20</v>
      </c>
      <c r="B26" s="20" t="s">
        <v>21</v>
      </c>
      <c r="C26" s="96">
        <v>0</v>
      </c>
      <c r="D26" s="68">
        <v>0</v>
      </c>
      <c r="E26" s="68">
        <v>0</v>
      </c>
      <c r="F26" s="68">
        <v>0</v>
      </c>
      <c r="G26" s="68"/>
      <c r="H26" s="68">
        <v>0</v>
      </c>
      <c r="I26" s="68">
        <v>0</v>
      </c>
      <c r="J26" s="68">
        <v>0</v>
      </c>
      <c r="K26" s="16"/>
      <c r="L26" s="593">
        <f t="shared" si="19"/>
        <v>0</v>
      </c>
      <c r="M26" s="593">
        <f t="shared" si="20"/>
        <v>0</v>
      </c>
      <c r="N26" s="593">
        <f t="shared" si="21"/>
        <v>0</v>
      </c>
      <c r="O26" s="16"/>
      <c r="P26" s="81">
        <f t="shared" si="13"/>
        <v>0</v>
      </c>
      <c r="Q26" s="81">
        <f t="shared" si="14"/>
        <v>0</v>
      </c>
      <c r="R26" s="81">
        <f t="shared" si="15"/>
        <v>0</v>
      </c>
      <c r="S26" s="81">
        <f t="shared" si="22"/>
        <v>0</v>
      </c>
      <c r="T26" s="281">
        <f t="shared" si="17"/>
        <v>0</v>
      </c>
      <c r="U26" s="120"/>
      <c r="V26" s="195">
        <f t="shared" si="24"/>
        <v>0</v>
      </c>
    </row>
    <row r="27" spans="1:23" x14ac:dyDescent="0.25">
      <c r="A27" s="20" t="s">
        <v>22</v>
      </c>
      <c r="B27" s="20" t="s">
        <v>23</v>
      </c>
      <c r="C27" s="96">
        <v>400000</v>
      </c>
      <c r="D27" s="68">
        <v>966131</v>
      </c>
      <c r="E27" s="68">
        <v>966131</v>
      </c>
      <c r="F27" s="68">
        <v>718775</v>
      </c>
      <c r="G27" s="68"/>
      <c r="H27" s="68">
        <v>10614</v>
      </c>
      <c r="I27" s="68">
        <v>508308</v>
      </c>
      <c r="J27" s="68">
        <v>712780</v>
      </c>
      <c r="K27" s="16"/>
      <c r="L27" s="593">
        <f t="shared" si="19"/>
        <v>2.6535E-2</v>
      </c>
      <c r="M27" s="593">
        <f t="shared" si="20"/>
        <v>0.52612740922297285</v>
      </c>
      <c r="N27" s="593">
        <f t="shared" si="21"/>
        <v>0.73776744561555319</v>
      </c>
      <c r="O27" s="16"/>
      <c r="P27" s="81">
        <f t="shared" si="13"/>
        <v>566131</v>
      </c>
      <c r="Q27" s="81">
        <f t="shared" si="14"/>
        <v>0</v>
      </c>
      <c r="R27" s="81">
        <f t="shared" si="15"/>
        <v>0</v>
      </c>
      <c r="S27" s="81">
        <f t="shared" si="22"/>
        <v>566131</v>
      </c>
      <c r="T27" s="281">
        <f t="shared" si="17"/>
        <v>1.4153275000000001</v>
      </c>
      <c r="U27" s="120"/>
      <c r="V27" s="195">
        <f t="shared" si="24"/>
        <v>0</v>
      </c>
    </row>
    <row r="28" spans="1:23" x14ac:dyDescent="0.25">
      <c r="A28" s="11"/>
      <c r="B28" s="12"/>
      <c r="C28" s="291"/>
      <c r="D28" s="68"/>
      <c r="E28" s="68"/>
      <c r="F28" s="68"/>
      <c r="G28" s="68"/>
      <c r="H28" s="68"/>
      <c r="I28" s="68"/>
      <c r="J28" s="68"/>
      <c r="K28" s="16"/>
      <c r="L28" s="592"/>
      <c r="M28" s="592"/>
      <c r="N28" s="592"/>
      <c r="O28" s="16"/>
      <c r="P28" s="81"/>
      <c r="Q28" s="81"/>
      <c r="R28" s="81"/>
      <c r="S28" s="81"/>
      <c r="T28" s="281"/>
      <c r="U28" s="120"/>
      <c r="V28" s="195"/>
    </row>
    <row r="29" spans="1:23" x14ac:dyDescent="0.25">
      <c r="A29" s="5" t="s">
        <v>24</v>
      </c>
      <c r="B29" s="5" t="s">
        <v>25</v>
      </c>
      <c r="C29" s="190">
        <f>SUM(C30:C31)</f>
        <v>19000000</v>
      </c>
      <c r="D29" s="190">
        <f t="shared" ref="D29:J29" si="25">SUM(D30:D31)</f>
        <v>19000000</v>
      </c>
      <c r="E29" s="190">
        <f t="shared" si="25"/>
        <v>19000000</v>
      </c>
      <c r="F29" s="190">
        <f t="shared" si="25"/>
        <v>18835690</v>
      </c>
      <c r="G29" s="190"/>
      <c r="H29" s="190">
        <f t="shared" si="25"/>
        <v>10041548</v>
      </c>
      <c r="I29" s="190">
        <f t="shared" si="25"/>
        <v>14630193</v>
      </c>
      <c r="J29" s="190">
        <f t="shared" si="25"/>
        <v>18835690</v>
      </c>
      <c r="K29" s="10"/>
      <c r="L29" s="590">
        <f t="shared" ref="L29:L30" si="26">IF(H29&gt;0,H29/C29,0)</f>
        <v>0.52850252631578942</v>
      </c>
      <c r="M29" s="590">
        <f t="shared" ref="M29:M30" si="27">IF(I29&gt;0,I29/D29,0)</f>
        <v>0.77001015789473681</v>
      </c>
      <c r="N29" s="590">
        <f t="shared" ref="N29:N30" si="28">IF(J29&gt;0,J29/E29,0)</f>
        <v>0.99135210526315787</v>
      </c>
      <c r="O29" s="10"/>
      <c r="P29" s="296">
        <f t="shared" si="13"/>
        <v>0</v>
      </c>
      <c r="Q29" s="296">
        <f t="shared" si="14"/>
        <v>0</v>
      </c>
      <c r="R29" s="296">
        <f t="shared" si="15"/>
        <v>0</v>
      </c>
      <c r="S29" s="296">
        <f t="shared" ref="S29:S30" si="29">+P29*P$10+Q29*Q$10+R29*R$10</f>
        <v>0</v>
      </c>
      <c r="T29" s="282">
        <f t="shared" si="17"/>
        <v>0</v>
      </c>
      <c r="U29" s="120"/>
      <c r="V29" s="195">
        <f t="shared" si="24"/>
        <v>0</v>
      </c>
    </row>
    <row r="30" spans="1:23" x14ac:dyDescent="0.25">
      <c r="A30" s="20"/>
      <c r="B30" s="20" t="s">
        <v>26</v>
      </c>
      <c r="C30" s="96">
        <v>19000000</v>
      </c>
      <c r="D30" s="68">
        <v>19000000</v>
      </c>
      <c r="E30" s="68">
        <v>19000000</v>
      </c>
      <c r="F30" s="68">
        <v>18835690</v>
      </c>
      <c r="G30" s="68"/>
      <c r="H30" s="68">
        <v>10041548</v>
      </c>
      <c r="I30" s="68">
        <v>14630193</v>
      </c>
      <c r="J30" s="68">
        <v>18835690</v>
      </c>
      <c r="K30" s="16"/>
      <c r="L30" s="593">
        <f t="shared" si="26"/>
        <v>0.52850252631578942</v>
      </c>
      <c r="M30" s="593">
        <f t="shared" si="27"/>
        <v>0.77001015789473681</v>
      </c>
      <c r="N30" s="593">
        <f t="shared" si="28"/>
        <v>0.99135210526315787</v>
      </c>
      <c r="O30" s="16"/>
      <c r="P30" s="81">
        <f t="shared" si="13"/>
        <v>0</v>
      </c>
      <c r="Q30" s="81">
        <f t="shared" si="14"/>
        <v>0</v>
      </c>
      <c r="R30" s="81">
        <f t="shared" si="15"/>
        <v>0</v>
      </c>
      <c r="S30" s="81">
        <f t="shared" si="29"/>
        <v>0</v>
      </c>
      <c r="T30" s="281">
        <f t="shared" si="17"/>
        <v>0</v>
      </c>
      <c r="U30" s="120"/>
      <c r="V30" s="195">
        <f t="shared" si="24"/>
        <v>0</v>
      </c>
    </row>
    <row r="31" spans="1:23" x14ac:dyDescent="0.25">
      <c r="A31" s="20"/>
      <c r="B31" s="14"/>
      <c r="C31" s="96"/>
      <c r="D31" s="68"/>
      <c r="E31" s="68"/>
      <c r="F31" s="68"/>
      <c r="G31" s="68"/>
      <c r="H31" s="68"/>
      <c r="I31" s="68"/>
      <c r="J31" s="68"/>
      <c r="K31" s="16"/>
      <c r="L31" s="592"/>
      <c r="M31" s="592"/>
      <c r="N31" s="592"/>
      <c r="O31" s="16"/>
      <c r="P31" s="81"/>
      <c r="Q31" s="81"/>
      <c r="R31" s="81"/>
      <c r="S31" s="81"/>
      <c r="T31" s="281"/>
      <c r="U31" s="120"/>
      <c r="V31" s="195"/>
    </row>
    <row r="32" spans="1:23" x14ac:dyDescent="0.25">
      <c r="A32" s="5" t="s">
        <v>27</v>
      </c>
      <c r="B32" s="5" t="s">
        <v>28</v>
      </c>
      <c r="C32" s="190">
        <f>+C33+C41+C48+C66+C71</f>
        <v>10790000</v>
      </c>
      <c r="D32" s="190">
        <f t="shared" ref="D32:J32" si="30">+D33+D41+D48+D66+D71</f>
        <v>10227365</v>
      </c>
      <c r="E32" s="190">
        <f t="shared" si="30"/>
        <v>10227365</v>
      </c>
      <c r="F32" s="190">
        <f t="shared" si="30"/>
        <v>10107365</v>
      </c>
      <c r="G32" s="190"/>
      <c r="H32" s="190">
        <f t="shared" si="30"/>
        <v>4228180</v>
      </c>
      <c r="I32" s="190">
        <f t="shared" si="30"/>
        <v>6569990</v>
      </c>
      <c r="J32" s="190">
        <f t="shared" si="30"/>
        <v>9160416</v>
      </c>
      <c r="K32" s="10"/>
      <c r="L32" s="590">
        <f t="shared" ref="L32:L34" si="31">IF(H32&gt;0,H32/C32,0)</f>
        <v>0.3918609823911029</v>
      </c>
      <c r="M32" s="590">
        <f t="shared" ref="M32:M34" si="32">IF(I32&gt;0,I32/D32,0)</f>
        <v>0.64239322640777952</v>
      </c>
      <c r="N32" s="590">
        <f t="shared" ref="N32:N34" si="33">IF(J32&gt;0,J32/E32,0)</f>
        <v>0.89567703900271478</v>
      </c>
      <c r="O32" s="10"/>
      <c r="P32" s="296">
        <f t="shared" si="13"/>
        <v>-562635</v>
      </c>
      <c r="Q32" s="296">
        <f t="shared" si="14"/>
        <v>0</v>
      </c>
      <c r="R32" s="296">
        <f t="shared" si="15"/>
        <v>0</v>
      </c>
      <c r="S32" s="296">
        <f t="shared" ref="S32:S89" si="34">+P32*P$10+Q32*Q$10+R32*R$10</f>
        <v>-562635</v>
      </c>
      <c r="T32" s="282">
        <f t="shared" si="17"/>
        <v>-5.2144114921223353E-2</v>
      </c>
      <c r="U32" s="120"/>
      <c r="V32" s="195">
        <f t="shared" si="24"/>
        <v>0</v>
      </c>
    </row>
    <row r="33" spans="1:22" x14ac:dyDescent="0.25">
      <c r="A33" s="39" t="s">
        <v>29</v>
      </c>
      <c r="B33" s="39" t="s">
        <v>30</v>
      </c>
      <c r="C33" s="374">
        <f>SUM(C34:C40)</f>
        <v>1830000</v>
      </c>
      <c r="D33" s="374">
        <f t="shared" ref="D33:J33" si="35">SUM(D34:D40)</f>
        <v>1267365</v>
      </c>
      <c r="E33" s="374">
        <f t="shared" si="35"/>
        <v>1367365</v>
      </c>
      <c r="F33" s="374">
        <f t="shared" si="35"/>
        <v>1508365</v>
      </c>
      <c r="G33" s="374"/>
      <c r="H33" s="374">
        <f t="shared" si="35"/>
        <v>523472</v>
      </c>
      <c r="I33" s="374">
        <f t="shared" si="35"/>
        <v>1090522</v>
      </c>
      <c r="J33" s="374">
        <f t="shared" si="35"/>
        <v>1494134</v>
      </c>
      <c r="K33" s="16"/>
      <c r="L33" s="593">
        <f t="shared" si="31"/>
        <v>0.28605027322404369</v>
      </c>
      <c r="M33" s="592">
        <f t="shared" si="32"/>
        <v>0.86046403364460911</v>
      </c>
      <c r="N33" s="592">
        <f t="shared" si="33"/>
        <v>1.0927104321084713</v>
      </c>
      <c r="O33" s="16"/>
      <c r="P33" s="81">
        <f t="shared" si="13"/>
        <v>-562635</v>
      </c>
      <c r="Q33" s="81">
        <f t="shared" si="14"/>
        <v>100000</v>
      </c>
      <c r="R33" s="81">
        <f t="shared" si="15"/>
        <v>0</v>
      </c>
      <c r="S33" s="81">
        <f t="shared" si="34"/>
        <v>-462635</v>
      </c>
      <c r="T33" s="281">
        <f t="shared" si="17"/>
        <v>-0.25280601092896177</v>
      </c>
      <c r="U33" s="120"/>
      <c r="V33" s="195">
        <f t="shared" si="24"/>
        <v>0</v>
      </c>
    </row>
    <row r="34" spans="1:22" x14ac:dyDescent="0.25">
      <c r="A34" s="20" t="s">
        <v>31</v>
      </c>
      <c r="B34" s="20" t="s">
        <v>33</v>
      </c>
      <c r="C34" s="96">
        <v>30000</v>
      </c>
      <c r="D34" s="68">
        <v>50000</v>
      </c>
      <c r="E34" s="68">
        <v>50000</v>
      </c>
      <c r="F34" s="68">
        <v>70000</v>
      </c>
      <c r="G34" s="68"/>
      <c r="H34" s="68">
        <v>33736</v>
      </c>
      <c r="I34" s="68">
        <v>33736</v>
      </c>
      <c r="J34" s="68">
        <v>56686</v>
      </c>
      <c r="K34" s="16"/>
      <c r="L34" s="593">
        <f t="shared" si="31"/>
        <v>1.1245333333333334</v>
      </c>
      <c r="M34" s="593">
        <f t="shared" si="32"/>
        <v>0.67471999999999999</v>
      </c>
      <c r="N34" s="593">
        <f t="shared" si="33"/>
        <v>1.1337200000000001</v>
      </c>
      <c r="O34" s="16"/>
      <c r="P34" s="81">
        <f t="shared" si="13"/>
        <v>20000</v>
      </c>
      <c r="Q34" s="81">
        <f t="shared" si="14"/>
        <v>0</v>
      </c>
      <c r="R34" s="81">
        <f t="shared" si="15"/>
        <v>0</v>
      </c>
      <c r="S34" s="81">
        <f t="shared" si="34"/>
        <v>20000</v>
      </c>
      <c r="T34" s="281">
        <f t="shared" si="17"/>
        <v>0.66666666666666663</v>
      </c>
      <c r="U34" s="120"/>
      <c r="V34" s="195">
        <f t="shared" si="24"/>
        <v>0</v>
      </c>
    </row>
    <row r="35" spans="1:22" x14ac:dyDescent="0.25">
      <c r="A35" s="20"/>
      <c r="B35" s="20" t="s">
        <v>87</v>
      </c>
      <c r="C35" s="96"/>
      <c r="D35" s="68"/>
      <c r="E35" s="68"/>
      <c r="F35" s="68"/>
      <c r="G35" s="68"/>
      <c r="H35" s="68"/>
      <c r="I35" s="68"/>
      <c r="J35" s="68"/>
      <c r="K35" s="16"/>
      <c r="L35" s="593"/>
      <c r="M35" s="593"/>
      <c r="N35" s="593"/>
      <c r="O35" s="16"/>
      <c r="P35" s="81">
        <f t="shared" si="13"/>
        <v>0</v>
      </c>
      <c r="Q35" s="81">
        <f t="shared" si="14"/>
        <v>0</v>
      </c>
      <c r="R35" s="81">
        <f t="shared" si="15"/>
        <v>0</v>
      </c>
      <c r="S35" s="81">
        <f t="shared" si="34"/>
        <v>0</v>
      </c>
      <c r="T35" s="281">
        <f t="shared" si="17"/>
        <v>0</v>
      </c>
      <c r="U35" s="120"/>
      <c r="V35" s="195">
        <f t="shared" si="23"/>
        <v>0</v>
      </c>
    </row>
    <row r="36" spans="1:22" x14ac:dyDescent="0.25">
      <c r="A36" s="20" t="s">
        <v>32</v>
      </c>
      <c r="B36" s="20" t="s">
        <v>34</v>
      </c>
      <c r="C36" s="96">
        <v>1800000</v>
      </c>
      <c r="D36" s="68">
        <v>1217365</v>
      </c>
      <c r="E36" s="68">
        <v>1317365</v>
      </c>
      <c r="F36" s="68">
        <v>1438365</v>
      </c>
      <c r="G36" s="68"/>
      <c r="H36" s="68">
        <v>489736</v>
      </c>
      <c r="I36" s="68">
        <v>1056786</v>
      </c>
      <c r="J36" s="68">
        <v>1437448</v>
      </c>
      <c r="K36" s="16"/>
      <c r="L36" s="593">
        <f t="shared" ref="L36" si="36">IF(H36&gt;0,H36/C36,0)</f>
        <v>0.27207555555555557</v>
      </c>
      <c r="M36" s="593">
        <f t="shared" ref="M36" si="37">IF(I36&gt;0,I36/D36,0)</f>
        <v>0.86809297129455831</v>
      </c>
      <c r="N36" s="593">
        <f t="shared" ref="N36" si="38">IF(J36&gt;0,J36/E36,0)</f>
        <v>1.091153932281486</v>
      </c>
      <c r="O36" s="16"/>
      <c r="P36" s="81">
        <f t="shared" si="13"/>
        <v>-582635</v>
      </c>
      <c r="Q36" s="81">
        <f t="shared" si="14"/>
        <v>100000</v>
      </c>
      <c r="R36" s="81">
        <f t="shared" si="15"/>
        <v>0</v>
      </c>
      <c r="S36" s="81">
        <f t="shared" si="34"/>
        <v>-482635</v>
      </c>
      <c r="T36" s="281">
        <f t="shared" si="17"/>
        <v>-0.26813055555555554</v>
      </c>
      <c r="U36" s="120"/>
      <c r="V36" s="195">
        <f t="shared" si="23"/>
        <v>0</v>
      </c>
    </row>
    <row r="37" spans="1:22" x14ac:dyDescent="0.25">
      <c r="A37" s="20"/>
      <c r="B37" s="20" t="s">
        <v>103</v>
      </c>
      <c r="C37" s="96"/>
      <c r="D37" s="68"/>
      <c r="E37" s="68"/>
      <c r="F37" s="68"/>
      <c r="G37" s="68"/>
      <c r="H37" s="68"/>
      <c r="I37" s="68"/>
      <c r="J37" s="68"/>
      <c r="K37" s="16"/>
      <c r="L37" s="593"/>
      <c r="M37" s="593"/>
      <c r="N37" s="593"/>
      <c r="O37" s="16"/>
      <c r="P37" s="81">
        <f t="shared" si="13"/>
        <v>0</v>
      </c>
      <c r="Q37" s="81">
        <f t="shared" si="14"/>
        <v>0</v>
      </c>
      <c r="R37" s="81">
        <f t="shared" si="15"/>
        <v>0</v>
      </c>
      <c r="S37" s="81">
        <f t="shared" si="34"/>
        <v>0</v>
      </c>
      <c r="T37" s="281">
        <f t="shared" si="17"/>
        <v>0</v>
      </c>
      <c r="U37" s="120"/>
      <c r="V37" s="195">
        <f t="shared" si="23"/>
        <v>0</v>
      </c>
    </row>
    <row r="38" spans="1:22" x14ac:dyDescent="0.25">
      <c r="A38" s="20"/>
      <c r="B38" s="20" t="s">
        <v>93</v>
      </c>
      <c r="C38" s="96"/>
      <c r="D38" s="68"/>
      <c r="E38" s="68"/>
      <c r="F38" s="68"/>
      <c r="G38" s="68"/>
      <c r="H38" s="68"/>
      <c r="I38" s="68"/>
      <c r="J38" s="68"/>
      <c r="K38" s="16"/>
      <c r="L38" s="593"/>
      <c r="M38" s="593"/>
      <c r="N38" s="593"/>
      <c r="O38" s="16"/>
      <c r="P38" s="81">
        <f t="shared" si="13"/>
        <v>0</v>
      </c>
      <c r="Q38" s="81">
        <f t="shared" si="14"/>
        <v>0</v>
      </c>
      <c r="R38" s="81">
        <f t="shared" si="15"/>
        <v>0</v>
      </c>
      <c r="S38" s="81">
        <f t="shared" si="34"/>
        <v>0</v>
      </c>
      <c r="T38" s="281">
        <f t="shared" si="17"/>
        <v>0</v>
      </c>
      <c r="U38" s="120"/>
      <c r="V38" s="195">
        <f t="shared" si="23"/>
        <v>0</v>
      </c>
    </row>
    <row r="39" spans="1:22" x14ac:dyDescent="0.25">
      <c r="A39" s="20"/>
      <c r="B39" s="20" t="s">
        <v>92</v>
      </c>
      <c r="C39" s="96"/>
      <c r="D39" s="68"/>
      <c r="E39" s="68"/>
      <c r="F39" s="68"/>
      <c r="G39" s="68"/>
      <c r="H39" s="68"/>
      <c r="I39" s="68"/>
      <c r="J39" s="68"/>
      <c r="K39" s="16"/>
      <c r="L39" s="593"/>
      <c r="M39" s="593"/>
      <c r="N39" s="593"/>
      <c r="O39" s="16"/>
      <c r="P39" s="81">
        <f t="shared" si="13"/>
        <v>0</v>
      </c>
      <c r="Q39" s="81">
        <f t="shared" si="14"/>
        <v>0</v>
      </c>
      <c r="R39" s="81">
        <f t="shared" si="15"/>
        <v>0</v>
      </c>
      <c r="S39" s="81">
        <f t="shared" si="34"/>
        <v>0</v>
      </c>
      <c r="T39" s="281">
        <f t="shared" si="17"/>
        <v>0</v>
      </c>
      <c r="U39" s="120"/>
      <c r="V39" s="195">
        <f t="shared" si="23"/>
        <v>0</v>
      </c>
    </row>
    <row r="40" spans="1:22" x14ac:dyDescent="0.25">
      <c r="A40" s="20"/>
      <c r="B40" s="20" t="s">
        <v>91</v>
      </c>
      <c r="C40" s="96"/>
      <c r="D40" s="68"/>
      <c r="E40" s="68"/>
      <c r="F40" s="68"/>
      <c r="G40" s="68"/>
      <c r="H40" s="68"/>
      <c r="I40" s="68"/>
      <c r="J40" s="68"/>
      <c r="K40" s="16"/>
      <c r="L40" s="593"/>
      <c r="M40" s="593"/>
      <c r="N40" s="593"/>
      <c r="O40" s="16"/>
      <c r="P40" s="81">
        <f t="shared" si="13"/>
        <v>0</v>
      </c>
      <c r="Q40" s="81">
        <f t="shared" si="14"/>
        <v>0</v>
      </c>
      <c r="R40" s="81">
        <f t="shared" si="15"/>
        <v>0</v>
      </c>
      <c r="S40" s="81">
        <f t="shared" si="34"/>
        <v>0</v>
      </c>
      <c r="T40" s="281">
        <f t="shared" si="17"/>
        <v>0</v>
      </c>
      <c r="U40" s="120"/>
      <c r="V40" s="195">
        <f t="shared" si="23"/>
        <v>0</v>
      </c>
    </row>
    <row r="41" spans="1:22" x14ac:dyDescent="0.25">
      <c r="A41" s="39" t="s">
        <v>35</v>
      </c>
      <c r="B41" s="39" t="s">
        <v>36</v>
      </c>
      <c r="C41" s="374">
        <f>SUM(C42:C47)</f>
        <v>890000</v>
      </c>
      <c r="D41" s="374">
        <f t="shared" ref="D41:J41" si="39">SUM(D42:D47)</f>
        <v>890000</v>
      </c>
      <c r="E41" s="374">
        <f t="shared" si="39"/>
        <v>890000</v>
      </c>
      <c r="F41" s="374">
        <f t="shared" si="39"/>
        <v>890000</v>
      </c>
      <c r="G41" s="374"/>
      <c r="H41" s="374">
        <f t="shared" si="39"/>
        <v>494151</v>
      </c>
      <c r="I41" s="374">
        <f t="shared" si="39"/>
        <v>601725</v>
      </c>
      <c r="J41" s="374">
        <f t="shared" si="39"/>
        <v>838688</v>
      </c>
      <c r="K41" s="375"/>
      <c r="L41" s="593">
        <f t="shared" ref="L41:L42" si="40">IF(H41&gt;0,H41/C41,0)</f>
        <v>0.55522584269662922</v>
      </c>
      <c r="M41" s="594">
        <f t="shared" ref="M41:M42" si="41">IF(I41&gt;0,I41/D41,0)</f>
        <v>0.67609550561797749</v>
      </c>
      <c r="N41" s="594">
        <f t="shared" ref="N41:N42" si="42">IF(J41&gt;0,J41/E41,0)</f>
        <v>0.94234606741573035</v>
      </c>
      <c r="O41" s="375"/>
      <c r="P41" s="376">
        <f t="shared" si="13"/>
        <v>0</v>
      </c>
      <c r="Q41" s="376">
        <f t="shared" si="14"/>
        <v>0</v>
      </c>
      <c r="R41" s="376">
        <f t="shared" si="15"/>
        <v>0</v>
      </c>
      <c r="S41" s="376">
        <f t="shared" si="34"/>
        <v>0</v>
      </c>
      <c r="T41" s="281">
        <f t="shared" si="17"/>
        <v>0</v>
      </c>
      <c r="U41" s="120"/>
      <c r="V41" s="195">
        <f t="shared" si="23"/>
        <v>0</v>
      </c>
    </row>
    <row r="42" spans="1:22" x14ac:dyDescent="0.25">
      <c r="A42" s="20" t="s">
        <v>37</v>
      </c>
      <c r="B42" s="20" t="s">
        <v>38</v>
      </c>
      <c r="C42" s="96">
        <v>550000</v>
      </c>
      <c r="D42" s="68">
        <v>550000</v>
      </c>
      <c r="E42" s="68">
        <v>550000</v>
      </c>
      <c r="F42" s="68">
        <v>530000</v>
      </c>
      <c r="G42" s="68"/>
      <c r="H42" s="68">
        <v>308268</v>
      </c>
      <c r="I42" s="68">
        <v>342768</v>
      </c>
      <c r="J42" s="68">
        <v>504439</v>
      </c>
      <c r="K42" s="16"/>
      <c r="L42" s="593">
        <f t="shared" si="40"/>
        <v>0.56048727272727272</v>
      </c>
      <c r="M42" s="593">
        <f t="shared" si="41"/>
        <v>0.62321454545454547</v>
      </c>
      <c r="N42" s="593">
        <f t="shared" si="42"/>
        <v>0.91716181818181819</v>
      </c>
      <c r="O42" s="16"/>
      <c r="P42" s="81">
        <f t="shared" si="13"/>
        <v>0</v>
      </c>
      <c r="Q42" s="81">
        <f t="shared" si="14"/>
        <v>0</v>
      </c>
      <c r="R42" s="81">
        <f t="shared" si="15"/>
        <v>0</v>
      </c>
      <c r="S42" s="81">
        <f t="shared" si="34"/>
        <v>0</v>
      </c>
      <c r="T42" s="281">
        <f t="shared" si="17"/>
        <v>0</v>
      </c>
      <c r="U42" s="120"/>
      <c r="V42" s="195">
        <f t="shared" si="23"/>
        <v>0</v>
      </c>
    </row>
    <row r="43" spans="1:22" x14ac:dyDescent="0.25">
      <c r="A43" s="20"/>
      <c r="B43" s="20" t="s">
        <v>39</v>
      </c>
      <c r="C43" s="96"/>
      <c r="D43" s="68"/>
      <c r="E43" s="68"/>
      <c r="F43" s="68"/>
      <c r="G43" s="68"/>
      <c r="H43" s="68"/>
      <c r="I43" s="68"/>
      <c r="J43" s="68"/>
      <c r="K43" s="16"/>
      <c r="L43" s="593"/>
      <c r="M43" s="593"/>
      <c r="N43" s="593"/>
      <c r="O43" s="16"/>
      <c r="P43" s="81">
        <f t="shared" si="13"/>
        <v>0</v>
      </c>
      <c r="Q43" s="81">
        <f t="shared" si="14"/>
        <v>0</v>
      </c>
      <c r="R43" s="81">
        <f t="shared" si="15"/>
        <v>0</v>
      </c>
      <c r="S43" s="81">
        <f t="shared" si="34"/>
        <v>0</v>
      </c>
      <c r="T43" s="281">
        <f t="shared" si="17"/>
        <v>0</v>
      </c>
      <c r="U43" s="120"/>
      <c r="V43" s="195">
        <f t="shared" si="23"/>
        <v>0</v>
      </c>
    </row>
    <row r="44" spans="1:22" x14ac:dyDescent="0.25">
      <c r="A44" s="20"/>
      <c r="B44" s="20" t="s">
        <v>40</v>
      </c>
      <c r="C44" s="96"/>
      <c r="D44" s="68"/>
      <c r="E44" s="68"/>
      <c r="F44" s="68"/>
      <c r="G44" s="68"/>
      <c r="H44" s="68"/>
      <c r="I44" s="68"/>
      <c r="J44" s="68"/>
      <c r="K44" s="16"/>
      <c r="L44" s="593"/>
      <c r="M44" s="593"/>
      <c r="N44" s="593"/>
      <c r="O44" s="16"/>
      <c r="P44" s="81">
        <f t="shared" si="13"/>
        <v>0</v>
      </c>
      <c r="Q44" s="81">
        <f t="shared" si="14"/>
        <v>0</v>
      </c>
      <c r="R44" s="81">
        <f t="shared" si="15"/>
        <v>0</v>
      </c>
      <c r="S44" s="81">
        <f t="shared" si="34"/>
        <v>0</v>
      </c>
      <c r="T44" s="281">
        <f t="shared" si="17"/>
        <v>0</v>
      </c>
      <c r="U44" s="120"/>
      <c r="V44" s="195">
        <f t="shared" si="23"/>
        <v>0</v>
      </c>
    </row>
    <row r="45" spans="1:22" x14ac:dyDescent="0.25">
      <c r="A45" s="20"/>
      <c r="B45" s="20" t="s">
        <v>41</v>
      </c>
      <c r="C45" s="96"/>
      <c r="D45" s="68"/>
      <c r="E45" s="68"/>
      <c r="F45" s="68"/>
      <c r="G45" s="68"/>
      <c r="H45" s="68"/>
      <c r="I45" s="68"/>
      <c r="J45" s="68"/>
      <c r="K45" s="16"/>
      <c r="L45" s="593">
        <f t="shared" ref="L45:L46" si="43">IF(H45&gt;0,H45/C45,0)</f>
        <v>0</v>
      </c>
      <c r="M45" s="593">
        <f t="shared" ref="M45:M46" si="44">IF(I45&gt;0,I45/D45,0)</f>
        <v>0</v>
      </c>
      <c r="N45" s="593">
        <f t="shared" ref="N45:N46" si="45">IF(J45&gt;0,J45/E45,0)</f>
        <v>0</v>
      </c>
      <c r="O45" s="16"/>
      <c r="P45" s="81">
        <f t="shared" si="13"/>
        <v>0</v>
      </c>
      <c r="Q45" s="81">
        <f t="shared" si="14"/>
        <v>0</v>
      </c>
      <c r="R45" s="81">
        <f t="shared" si="15"/>
        <v>0</v>
      </c>
      <c r="S45" s="81">
        <f t="shared" si="34"/>
        <v>0</v>
      </c>
      <c r="T45" s="281">
        <f t="shared" si="17"/>
        <v>0</v>
      </c>
      <c r="U45" s="120"/>
      <c r="V45" s="195">
        <f t="shared" si="23"/>
        <v>0</v>
      </c>
    </row>
    <row r="46" spans="1:22" x14ac:dyDescent="0.25">
      <c r="A46" s="20" t="s">
        <v>42</v>
      </c>
      <c r="B46" s="20" t="s">
        <v>43</v>
      </c>
      <c r="C46" s="96">
        <v>340000</v>
      </c>
      <c r="D46" s="68">
        <v>340000</v>
      </c>
      <c r="E46" s="68">
        <v>340000</v>
      </c>
      <c r="F46" s="68">
        <v>360000</v>
      </c>
      <c r="G46" s="68"/>
      <c r="H46" s="68">
        <v>185883</v>
      </c>
      <c r="I46" s="68">
        <v>258957</v>
      </c>
      <c r="J46" s="68">
        <v>334249</v>
      </c>
      <c r="K46" s="16"/>
      <c r="L46" s="593">
        <f t="shared" si="43"/>
        <v>0.54671470588235294</v>
      </c>
      <c r="M46" s="593">
        <f t="shared" si="44"/>
        <v>0.76163823529411767</v>
      </c>
      <c r="N46" s="593">
        <f t="shared" si="45"/>
        <v>0.98308529411764711</v>
      </c>
      <c r="O46" s="16"/>
      <c r="P46" s="81">
        <f t="shared" si="13"/>
        <v>0</v>
      </c>
      <c r="Q46" s="81">
        <f t="shared" si="14"/>
        <v>0</v>
      </c>
      <c r="R46" s="81">
        <f t="shared" si="15"/>
        <v>0</v>
      </c>
      <c r="S46" s="81">
        <f t="shared" si="34"/>
        <v>0</v>
      </c>
      <c r="T46" s="281">
        <f t="shared" si="17"/>
        <v>0</v>
      </c>
      <c r="U46" s="120"/>
      <c r="V46" s="195">
        <f t="shared" si="23"/>
        <v>0</v>
      </c>
    </row>
    <row r="47" spans="1:22" x14ac:dyDescent="0.25">
      <c r="A47" s="20"/>
      <c r="B47" s="20" t="s">
        <v>44</v>
      </c>
      <c r="C47" s="96"/>
      <c r="D47" s="68"/>
      <c r="E47" s="68"/>
      <c r="F47" s="68"/>
      <c r="G47" s="68"/>
      <c r="H47" s="68"/>
      <c r="I47" s="68"/>
      <c r="J47" s="68"/>
      <c r="K47" s="16"/>
      <c r="L47" s="593"/>
      <c r="M47" s="593"/>
      <c r="N47" s="593"/>
      <c r="O47" s="16"/>
      <c r="P47" s="81">
        <f t="shared" si="13"/>
        <v>0</v>
      </c>
      <c r="Q47" s="81">
        <f t="shared" si="14"/>
        <v>0</v>
      </c>
      <c r="R47" s="81">
        <f t="shared" si="15"/>
        <v>0</v>
      </c>
      <c r="S47" s="81">
        <f t="shared" si="34"/>
        <v>0</v>
      </c>
      <c r="T47" s="281">
        <f t="shared" si="17"/>
        <v>0</v>
      </c>
      <c r="U47" s="120"/>
      <c r="V47" s="195">
        <f t="shared" si="23"/>
        <v>0</v>
      </c>
    </row>
    <row r="48" spans="1:22" x14ac:dyDescent="0.25">
      <c r="A48" s="39" t="s">
        <v>45</v>
      </c>
      <c r="B48" s="39" t="s">
        <v>46</v>
      </c>
      <c r="C48" s="374">
        <f>SUM(C49:C65)</f>
        <v>5070000</v>
      </c>
      <c r="D48" s="374">
        <f t="shared" ref="D48:J48" si="46">SUM(D49:D65)</f>
        <v>5070000</v>
      </c>
      <c r="E48" s="374">
        <f t="shared" si="46"/>
        <v>4970000</v>
      </c>
      <c r="F48" s="374">
        <f t="shared" si="46"/>
        <v>4950000</v>
      </c>
      <c r="G48" s="374"/>
      <c r="H48" s="374">
        <f t="shared" si="46"/>
        <v>2251279</v>
      </c>
      <c r="I48" s="374">
        <f t="shared" si="46"/>
        <v>3186371</v>
      </c>
      <c r="J48" s="374">
        <f t="shared" si="46"/>
        <v>4564225</v>
      </c>
      <c r="K48" s="16"/>
      <c r="L48" s="593">
        <f t="shared" ref="L48:L49" si="47">IF(H48&gt;0,H48/C48,0)</f>
        <v>0.44403925049309667</v>
      </c>
      <c r="M48" s="593">
        <f t="shared" ref="M48:M49" si="48">IF(I48&gt;0,I48/D48,0)</f>
        <v>0.62847554240631165</v>
      </c>
      <c r="N48" s="593">
        <f t="shared" ref="N48:N49" si="49">IF(J48&gt;0,J48/E48,0)</f>
        <v>0.91835513078470821</v>
      </c>
      <c r="O48" s="16"/>
      <c r="P48" s="81">
        <f t="shared" si="13"/>
        <v>0</v>
      </c>
      <c r="Q48" s="81">
        <f t="shared" si="14"/>
        <v>-100000</v>
      </c>
      <c r="R48" s="81">
        <f t="shared" si="15"/>
        <v>0</v>
      </c>
      <c r="S48" s="81">
        <f t="shared" si="34"/>
        <v>-100000</v>
      </c>
      <c r="T48" s="281">
        <f t="shared" si="17"/>
        <v>-1.9723865877712032E-2</v>
      </c>
      <c r="U48" s="120"/>
      <c r="V48" s="195">
        <f t="shared" si="23"/>
        <v>0</v>
      </c>
    </row>
    <row r="49" spans="1:22" x14ac:dyDescent="0.25">
      <c r="A49" s="20" t="s">
        <v>47</v>
      </c>
      <c r="B49" s="20" t="s">
        <v>48</v>
      </c>
      <c r="C49" s="559">
        <v>2100000</v>
      </c>
      <c r="D49" s="68">
        <v>2100000</v>
      </c>
      <c r="E49" s="68">
        <v>2100000</v>
      </c>
      <c r="F49" s="68">
        <v>2200000</v>
      </c>
      <c r="G49" s="68"/>
      <c r="H49" s="68">
        <v>1038961</v>
      </c>
      <c r="I49" s="68">
        <v>1494406</v>
      </c>
      <c r="J49" s="68">
        <v>1999308</v>
      </c>
      <c r="K49" s="16"/>
      <c r="L49" s="593">
        <f t="shared" si="47"/>
        <v>0.49474333333333331</v>
      </c>
      <c r="M49" s="593">
        <f t="shared" si="48"/>
        <v>0.71162190476190479</v>
      </c>
      <c r="N49" s="593">
        <f t="shared" si="49"/>
        <v>0.95205142857142855</v>
      </c>
      <c r="O49" s="16"/>
      <c r="P49" s="81">
        <f t="shared" si="13"/>
        <v>0</v>
      </c>
      <c r="Q49" s="81">
        <f t="shared" si="14"/>
        <v>0</v>
      </c>
      <c r="R49" s="81">
        <f t="shared" si="15"/>
        <v>0</v>
      </c>
      <c r="S49" s="81">
        <f t="shared" si="34"/>
        <v>0</v>
      </c>
      <c r="T49" s="281">
        <f t="shared" si="17"/>
        <v>0</v>
      </c>
      <c r="U49" s="120"/>
      <c r="V49" s="195">
        <f t="shared" si="23"/>
        <v>0</v>
      </c>
    </row>
    <row r="50" spans="1:22" x14ac:dyDescent="0.25">
      <c r="A50" s="20" t="s">
        <v>101</v>
      </c>
      <c r="B50" s="20" t="s">
        <v>95</v>
      </c>
      <c r="C50" s="559"/>
      <c r="D50" s="68"/>
      <c r="E50" s="68"/>
      <c r="F50" s="68"/>
      <c r="G50" s="68"/>
      <c r="H50" s="68"/>
      <c r="I50" s="68"/>
      <c r="J50" s="68"/>
      <c r="K50" s="16"/>
      <c r="L50" s="593"/>
      <c r="M50" s="593"/>
      <c r="N50" s="593"/>
      <c r="O50" s="16"/>
      <c r="P50" s="81">
        <f t="shared" si="13"/>
        <v>0</v>
      </c>
      <c r="Q50" s="81">
        <f t="shared" si="14"/>
        <v>0</v>
      </c>
      <c r="R50" s="81">
        <f t="shared" si="15"/>
        <v>0</v>
      </c>
      <c r="S50" s="81">
        <f t="shared" si="34"/>
        <v>0</v>
      </c>
      <c r="T50" s="281">
        <f t="shared" si="17"/>
        <v>0</v>
      </c>
      <c r="U50" s="120"/>
      <c r="V50" s="195">
        <f t="shared" si="23"/>
        <v>0</v>
      </c>
    </row>
    <row r="51" spans="1:22" x14ac:dyDescent="0.25">
      <c r="A51" s="20"/>
      <c r="B51" s="20" t="s">
        <v>96</v>
      </c>
      <c r="C51" s="559"/>
      <c r="D51" s="68"/>
      <c r="E51" s="68"/>
      <c r="F51" s="68"/>
      <c r="G51" s="68"/>
      <c r="H51" s="68"/>
      <c r="I51" s="68"/>
      <c r="J51" s="68"/>
      <c r="K51" s="16"/>
      <c r="L51" s="593"/>
      <c r="M51" s="593"/>
      <c r="N51" s="593"/>
      <c r="O51" s="16"/>
      <c r="P51" s="81">
        <f t="shared" si="13"/>
        <v>0</v>
      </c>
      <c r="Q51" s="81">
        <f t="shared" si="14"/>
        <v>0</v>
      </c>
      <c r="R51" s="81">
        <f t="shared" si="15"/>
        <v>0</v>
      </c>
      <c r="S51" s="81">
        <f t="shared" si="34"/>
        <v>0</v>
      </c>
      <c r="T51" s="281">
        <f t="shared" si="17"/>
        <v>0</v>
      </c>
      <c r="U51" s="120"/>
      <c r="V51" s="195">
        <f t="shared" si="23"/>
        <v>0</v>
      </c>
    </row>
    <row r="52" spans="1:22" x14ac:dyDescent="0.25">
      <c r="A52" s="20"/>
      <c r="B52" s="20" t="s">
        <v>97</v>
      </c>
      <c r="C52" s="559"/>
      <c r="D52" s="68"/>
      <c r="E52" s="68"/>
      <c r="F52" s="68"/>
      <c r="G52" s="68"/>
      <c r="H52" s="68"/>
      <c r="I52" s="68"/>
      <c r="J52" s="68"/>
      <c r="K52" s="16"/>
      <c r="L52" s="593"/>
      <c r="M52" s="593"/>
      <c r="N52" s="593"/>
      <c r="O52" s="16"/>
      <c r="P52" s="81">
        <f t="shared" si="13"/>
        <v>0</v>
      </c>
      <c r="Q52" s="81">
        <f t="shared" si="14"/>
        <v>0</v>
      </c>
      <c r="R52" s="81">
        <f t="shared" si="15"/>
        <v>0</v>
      </c>
      <c r="S52" s="81">
        <f t="shared" si="34"/>
        <v>0</v>
      </c>
      <c r="T52" s="281">
        <f t="shared" si="17"/>
        <v>0</v>
      </c>
      <c r="U52" s="120"/>
      <c r="V52" s="195">
        <f t="shared" si="23"/>
        <v>0</v>
      </c>
    </row>
    <row r="53" spans="1:22" x14ac:dyDescent="0.25">
      <c r="A53" s="20" t="s">
        <v>49</v>
      </c>
      <c r="B53" s="20" t="s">
        <v>50</v>
      </c>
      <c r="C53" s="559">
        <v>0</v>
      </c>
      <c r="D53" s="68">
        <v>0</v>
      </c>
      <c r="E53" s="68">
        <v>0</v>
      </c>
      <c r="F53" s="68">
        <v>0</v>
      </c>
      <c r="G53" s="68"/>
      <c r="H53" s="68">
        <v>0</v>
      </c>
      <c r="I53" s="68">
        <v>0</v>
      </c>
      <c r="J53" s="68">
        <v>0</v>
      </c>
      <c r="K53" s="16"/>
      <c r="L53" s="593">
        <f t="shared" ref="L53" si="50">IF(H53&gt;0,H53/C53,0)</f>
        <v>0</v>
      </c>
      <c r="M53" s="593">
        <f t="shared" ref="M53" si="51">IF(I53&gt;0,I53/D53,0)</f>
        <v>0</v>
      </c>
      <c r="N53" s="593">
        <f t="shared" ref="N53" si="52">IF(J53&gt;0,J53/E53,0)</f>
        <v>0</v>
      </c>
      <c r="O53" s="16"/>
      <c r="P53" s="81">
        <f t="shared" si="13"/>
        <v>0</v>
      </c>
      <c r="Q53" s="81">
        <f t="shared" si="14"/>
        <v>0</v>
      </c>
      <c r="R53" s="81">
        <f t="shared" si="15"/>
        <v>0</v>
      </c>
      <c r="S53" s="81">
        <f t="shared" si="34"/>
        <v>0</v>
      </c>
      <c r="T53" s="281">
        <f t="shared" si="17"/>
        <v>0</v>
      </c>
      <c r="U53" s="120"/>
      <c r="V53" s="195">
        <f t="shared" si="23"/>
        <v>0</v>
      </c>
    </row>
    <row r="54" spans="1:22" x14ac:dyDescent="0.25">
      <c r="A54" s="20"/>
      <c r="B54" s="20" t="s">
        <v>88</v>
      </c>
      <c r="C54" s="559"/>
      <c r="D54" s="68"/>
      <c r="E54" s="68"/>
      <c r="F54" s="68"/>
      <c r="G54" s="68"/>
      <c r="H54" s="68"/>
      <c r="I54" s="68"/>
      <c r="J54" s="68"/>
      <c r="K54" s="16"/>
      <c r="L54" s="593"/>
      <c r="M54" s="593"/>
      <c r="N54" s="593"/>
      <c r="O54" s="16"/>
      <c r="P54" s="81">
        <f t="shared" si="13"/>
        <v>0</v>
      </c>
      <c r="Q54" s="81">
        <f t="shared" si="14"/>
        <v>0</v>
      </c>
      <c r="R54" s="81">
        <f t="shared" si="15"/>
        <v>0</v>
      </c>
      <c r="S54" s="81">
        <f t="shared" si="34"/>
        <v>0</v>
      </c>
      <c r="T54" s="281">
        <f t="shared" si="17"/>
        <v>0</v>
      </c>
      <c r="U54" s="120"/>
      <c r="V54" s="195">
        <f t="shared" si="23"/>
        <v>0</v>
      </c>
    </row>
    <row r="55" spans="1:22" x14ac:dyDescent="0.25">
      <c r="A55" s="20"/>
      <c r="B55" s="20" t="s">
        <v>51</v>
      </c>
      <c r="C55" s="559"/>
      <c r="D55" s="68"/>
      <c r="E55" s="68"/>
      <c r="F55" s="68"/>
      <c r="G55" s="68"/>
      <c r="H55" s="68"/>
      <c r="I55" s="68"/>
      <c r="J55" s="68"/>
      <c r="K55" s="16"/>
      <c r="L55" s="593"/>
      <c r="M55" s="593"/>
      <c r="N55" s="593"/>
      <c r="O55" s="16"/>
      <c r="P55" s="81">
        <f t="shared" si="13"/>
        <v>0</v>
      </c>
      <c r="Q55" s="81">
        <f t="shared" si="14"/>
        <v>0</v>
      </c>
      <c r="R55" s="81">
        <f t="shared" si="15"/>
        <v>0</v>
      </c>
      <c r="S55" s="81">
        <f t="shared" si="34"/>
        <v>0</v>
      </c>
      <c r="T55" s="281">
        <f t="shared" si="17"/>
        <v>0</v>
      </c>
      <c r="U55" s="120"/>
      <c r="V55" s="195">
        <f t="shared" si="23"/>
        <v>0</v>
      </c>
    </row>
    <row r="56" spans="1:22" x14ac:dyDescent="0.25">
      <c r="A56" s="20" t="s">
        <v>52</v>
      </c>
      <c r="B56" s="20" t="s">
        <v>53</v>
      </c>
      <c r="C56" s="559">
        <v>0</v>
      </c>
      <c r="D56" s="68">
        <v>0</v>
      </c>
      <c r="E56" s="68">
        <v>0</v>
      </c>
      <c r="F56" s="68">
        <v>0</v>
      </c>
      <c r="G56" s="68"/>
      <c r="H56" s="68">
        <v>0</v>
      </c>
      <c r="I56" s="68">
        <v>0</v>
      </c>
      <c r="J56" s="68">
        <v>0</v>
      </c>
      <c r="K56" s="16"/>
      <c r="L56" s="593">
        <f t="shared" ref="L56" si="53">IF(H56&gt;0,H56/C56,0)</f>
        <v>0</v>
      </c>
      <c r="M56" s="593">
        <f t="shared" ref="M56" si="54">IF(I56&gt;0,I56/D56,0)</f>
        <v>0</v>
      </c>
      <c r="N56" s="593">
        <f t="shared" ref="N56" si="55">IF(J56&gt;0,J56/E56,0)</f>
        <v>0</v>
      </c>
      <c r="O56" s="16"/>
      <c r="P56" s="81">
        <f t="shared" si="13"/>
        <v>0</v>
      </c>
      <c r="Q56" s="81">
        <f t="shared" si="14"/>
        <v>0</v>
      </c>
      <c r="R56" s="81">
        <f t="shared" si="15"/>
        <v>0</v>
      </c>
      <c r="S56" s="81">
        <f t="shared" si="34"/>
        <v>0</v>
      </c>
      <c r="T56" s="281">
        <f t="shared" si="17"/>
        <v>0</v>
      </c>
      <c r="U56" s="120"/>
      <c r="V56" s="195">
        <f t="shared" si="23"/>
        <v>0</v>
      </c>
    </row>
    <row r="57" spans="1:22" x14ac:dyDescent="0.25">
      <c r="A57" s="20"/>
      <c r="B57" s="20" t="s">
        <v>54</v>
      </c>
      <c r="C57" s="559"/>
      <c r="D57" s="68"/>
      <c r="E57" s="68"/>
      <c r="F57" s="68"/>
      <c r="G57" s="68"/>
      <c r="H57" s="68"/>
      <c r="I57" s="68"/>
      <c r="J57" s="68"/>
      <c r="K57" s="16"/>
      <c r="L57" s="593"/>
      <c r="M57" s="593"/>
      <c r="N57" s="593"/>
      <c r="O57" s="16"/>
      <c r="P57" s="81">
        <f t="shared" si="13"/>
        <v>0</v>
      </c>
      <c r="Q57" s="81">
        <f t="shared" si="14"/>
        <v>0</v>
      </c>
      <c r="R57" s="81">
        <f t="shared" si="15"/>
        <v>0</v>
      </c>
      <c r="S57" s="81">
        <f t="shared" si="34"/>
        <v>0</v>
      </c>
      <c r="T57" s="281">
        <f t="shared" si="17"/>
        <v>0</v>
      </c>
      <c r="U57" s="120"/>
      <c r="V57" s="195">
        <f t="shared" si="23"/>
        <v>0</v>
      </c>
    </row>
    <row r="58" spans="1:22" x14ac:dyDescent="0.25">
      <c r="A58" s="20" t="s">
        <v>55</v>
      </c>
      <c r="B58" s="20" t="s">
        <v>89</v>
      </c>
      <c r="C58" s="559">
        <v>120000</v>
      </c>
      <c r="D58" s="68">
        <v>120000</v>
      </c>
      <c r="E58" s="68">
        <v>120000</v>
      </c>
      <c r="F58" s="68">
        <v>100000</v>
      </c>
      <c r="G58" s="68"/>
      <c r="H58" s="68">
        <v>8250</v>
      </c>
      <c r="I58" s="68">
        <v>8250</v>
      </c>
      <c r="J58" s="68">
        <v>68250</v>
      </c>
      <c r="K58" s="16"/>
      <c r="L58" s="593">
        <f t="shared" ref="L58" si="56">IF(H58&gt;0,H58/C58,0)</f>
        <v>6.8750000000000006E-2</v>
      </c>
      <c r="M58" s="593">
        <f t="shared" ref="M58" si="57">IF(I58&gt;0,I58/D58,0)</f>
        <v>6.8750000000000006E-2</v>
      </c>
      <c r="N58" s="593">
        <f t="shared" ref="N58" si="58">IF(J58&gt;0,J58/E58,0)</f>
        <v>0.56874999999999998</v>
      </c>
      <c r="O58" s="16"/>
      <c r="P58" s="81">
        <f t="shared" si="13"/>
        <v>0</v>
      </c>
      <c r="Q58" s="81">
        <f t="shared" si="14"/>
        <v>0</v>
      </c>
      <c r="R58" s="81">
        <f t="shared" si="15"/>
        <v>0</v>
      </c>
      <c r="S58" s="81">
        <f t="shared" si="34"/>
        <v>0</v>
      </c>
      <c r="T58" s="281">
        <f t="shared" si="17"/>
        <v>0</v>
      </c>
      <c r="U58" s="120"/>
      <c r="V58" s="195">
        <f t="shared" si="23"/>
        <v>0</v>
      </c>
    </row>
    <row r="59" spans="1:22" x14ac:dyDescent="0.25">
      <c r="A59" s="20"/>
      <c r="B59" s="20" t="s">
        <v>56</v>
      </c>
      <c r="C59" s="559"/>
      <c r="D59" s="68"/>
      <c r="E59" s="68"/>
      <c r="F59" s="68"/>
      <c r="G59" s="68"/>
      <c r="H59" s="68"/>
      <c r="I59" s="68"/>
      <c r="J59" s="68"/>
      <c r="K59" s="16"/>
      <c r="L59" s="593"/>
      <c r="M59" s="593"/>
      <c r="N59" s="593"/>
      <c r="O59" s="16"/>
      <c r="P59" s="81">
        <f t="shared" si="13"/>
        <v>0</v>
      </c>
      <c r="Q59" s="81">
        <f t="shared" si="14"/>
        <v>0</v>
      </c>
      <c r="R59" s="81">
        <f t="shared" si="15"/>
        <v>0</v>
      </c>
      <c r="S59" s="81">
        <f t="shared" si="34"/>
        <v>0</v>
      </c>
      <c r="T59" s="281">
        <f t="shared" si="17"/>
        <v>0</v>
      </c>
      <c r="U59" s="120"/>
      <c r="V59" s="195">
        <f t="shared" si="23"/>
        <v>0</v>
      </c>
    </row>
    <row r="60" spans="1:22" x14ac:dyDescent="0.25">
      <c r="A60" s="20" t="s">
        <v>57</v>
      </c>
      <c r="B60" s="20" t="s">
        <v>58</v>
      </c>
      <c r="C60" s="559">
        <v>0</v>
      </c>
      <c r="D60" s="68">
        <v>0</v>
      </c>
      <c r="E60" s="68">
        <v>0</v>
      </c>
      <c r="F60" s="68"/>
      <c r="G60" s="68"/>
      <c r="H60" s="68">
        <v>0</v>
      </c>
      <c r="I60" s="68">
        <v>0</v>
      </c>
      <c r="J60" s="68">
        <v>0</v>
      </c>
      <c r="K60" s="16"/>
      <c r="L60" s="593">
        <f t="shared" ref="L60" si="59">IF(H60&gt;0,H60/C60,0)</f>
        <v>0</v>
      </c>
      <c r="M60" s="593">
        <f t="shared" ref="M60" si="60">IF(I60&gt;0,I60/D60,0)</f>
        <v>0</v>
      </c>
      <c r="N60" s="593">
        <f t="shared" ref="N60" si="61">IF(J60&gt;0,J60/E60,0)</f>
        <v>0</v>
      </c>
      <c r="O60" s="16"/>
      <c r="P60" s="81">
        <f t="shared" si="13"/>
        <v>0</v>
      </c>
      <c r="Q60" s="81">
        <f t="shared" si="14"/>
        <v>0</v>
      </c>
      <c r="R60" s="81">
        <f t="shared" si="15"/>
        <v>0</v>
      </c>
      <c r="S60" s="81">
        <f t="shared" si="34"/>
        <v>0</v>
      </c>
      <c r="T60" s="281">
        <f t="shared" si="17"/>
        <v>0</v>
      </c>
      <c r="U60" s="120"/>
      <c r="V60" s="195">
        <f t="shared" si="23"/>
        <v>0</v>
      </c>
    </row>
    <row r="61" spans="1:22" ht="26.4" x14ac:dyDescent="0.25">
      <c r="A61" s="20"/>
      <c r="B61" s="20" t="s">
        <v>59</v>
      </c>
      <c r="C61" s="559"/>
      <c r="D61" s="68"/>
      <c r="E61" s="68"/>
      <c r="F61" s="68"/>
      <c r="G61" s="68"/>
      <c r="H61" s="68"/>
      <c r="I61" s="68"/>
      <c r="J61" s="68"/>
      <c r="K61" s="16"/>
      <c r="L61" s="593"/>
      <c r="M61" s="593"/>
      <c r="N61" s="593"/>
      <c r="O61" s="16"/>
      <c r="P61" s="81">
        <f t="shared" si="13"/>
        <v>0</v>
      </c>
      <c r="Q61" s="81">
        <f t="shared" si="14"/>
        <v>0</v>
      </c>
      <c r="R61" s="81">
        <f t="shared" si="15"/>
        <v>0</v>
      </c>
      <c r="S61" s="81">
        <f t="shared" si="34"/>
        <v>0</v>
      </c>
      <c r="T61" s="281">
        <f t="shared" si="17"/>
        <v>0</v>
      </c>
      <c r="U61" s="120"/>
      <c r="V61" s="195">
        <f t="shared" si="23"/>
        <v>0</v>
      </c>
    </row>
    <row r="62" spans="1:22" x14ac:dyDescent="0.25">
      <c r="A62" s="20" t="s">
        <v>60</v>
      </c>
      <c r="B62" s="20" t="s">
        <v>61</v>
      </c>
      <c r="C62" s="559">
        <v>1450000</v>
      </c>
      <c r="D62" s="68">
        <v>1450000</v>
      </c>
      <c r="E62" s="68">
        <v>1350000</v>
      </c>
      <c r="F62" s="68">
        <v>1250000</v>
      </c>
      <c r="G62" s="68"/>
      <c r="H62" s="68">
        <v>709910</v>
      </c>
      <c r="I62" s="68">
        <v>899910</v>
      </c>
      <c r="J62" s="68">
        <v>1134910</v>
      </c>
      <c r="K62" s="16"/>
      <c r="L62" s="593">
        <f t="shared" ref="L62" si="62">IF(H62&gt;0,H62/C62,0)</f>
        <v>0.48959310344827583</v>
      </c>
      <c r="M62" s="593">
        <f t="shared" ref="M62" si="63">IF(I62&gt;0,I62/D62,0)</f>
        <v>0.62062758620689651</v>
      </c>
      <c r="N62" s="593">
        <f t="shared" ref="N62" si="64">IF(J62&gt;0,J62/E62,0)</f>
        <v>0.84067407407407413</v>
      </c>
      <c r="O62" s="16"/>
      <c r="P62" s="81">
        <f t="shared" si="13"/>
        <v>0</v>
      </c>
      <c r="Q62" s="81">
        <f t="shared" si="14"/>
        <v>-100000</v>
      </c>
      <c r="R62" s="81">
        <f t="shared" si="15"/>
        <v>0</v>
      </c>
      <c r="S62" s="81">
        <f t="shared" si="34"/>
        <v>-100000</v>
      </c>
      <c r="T62" s="281">
        <f t="shared" si="17"/>
        <v>-6.8965517241379309E-2</v>
      </c>
      <c r="U62" s="120"/>
      <c r="V62" s="195">
        <f t="shared" si="23"/>
        <v>0</v>
      </c>
    </row>
    <row r="63" spans="1:22" ht="27" customHeight="1" x14ac:dyDescent="0.25">
      <c r="A63" s="20"/>
      <c r="B63" s="20" t="s">
        <v>100</v>
      </c>
      <c r="C63" s="559"/>
      <c r="D63" s="68"/>
      <c r="E63" s="68"/>
      <c r="F63" s="68"/>
      <c r="G63" s="68"/>
      <c r="H63" s="68"/>
      <c r="I63" s="68"/>
      <c r="J63" s="68"/>
      <c r="K63" s="16"/>
      <c r="L63" s="593"/>
      <c r="M63" s="593"/>
      <c r="N63" s="593"/>
      <c r="O63" s="16"/>
      <c r="P63" s="81">
        <f t="shared" si="13"/>
        <v>0</v>
      </c>
      <c r="Q63" s="81">
        <f t="shared" si="14"/>
        <v>0</v>
      </c>
      <c r="R63" s="81">
        <f t="shared" si="15"/>
        <v>0</v>
      </c>
      <c r="S63" s="81">
        <f t="shared" si="34"/>
        <v>0</v>
      </c>
      <c r="T63" s="281">
        <f t="shared" si="17"/>
        <v>0</v>
      </c>
      <c r="U63" s="120"/>
      <c r="V63" s="195">
        <f t="shared" si="23"/>
        <v>0</v>
      </c>
    </row>
    <row r="64" spans="1:22" x14ac:dyDescent="0.25">
      <c r="A64" s="20" t="s">
        <v>62</v>
      </c>
      <c r="B64" s="20" t="s">
        <v>63</v>
      </c>
      <c r="C64" s="559">
        <v>1400000</v>
      </c>
      <c r="D64" s="68">
        <v>1400000</v>
      </c>
      <c r="E64" s="68">
        <v>1400000</v>
      </c>
      <c r="F64" s="68">
        <v>1400000</v>
      </c>
      <c r="G64" s="68"/>
      <c r="H64" s="68">
        <v>494158</v>
      </c>
      <c r="I64" s="68">
        <v>783805</v>
      </c>
      <c r="J64" s="68">
        <v>1361757</v>
      </c>
      <c r="K64" s="16"/>
      <c r="L64" s="593">
        <f t="shared" ref="L64" si="65">IF(H64&gt;0,H64/C64,0)</f>
        <v>0.35297000000000001</v>
      </c>
      <c r="M64" s="593">
        <f t="shared" ref="M64" si="66">IF(I64&gt;0,I64/D64,0)</f>
        <v>0.55986071428571427</v>
      </c>
      <c r="N64" s="593">
        <f t="shared" ref="N64" si="67">IF(J64&gt;0,J64/E64,0)</f>
        <v>0.97268357142857143</v>
      </c>
      <c r="O64" s="16"/>
      <c r="P64" s="81">
        <f t="shared" si="13"/>
        <v>0</v>
      </c>
      <c r="Q64" s="81">
        <f t="shared" si="14"/>
        <v>0</v>
      </c>
      <c r="R64" s="81">
        <f t="shared" si="15"/>
        <v>0</v>
      </c>
      <c r="S64" s="81">
        <f t="shared" si="34"/>
        <v>0</v>
      </c>
      <c r="T64" s="281">
        <f t="shared" si="17"/>
        <v>0</v>
      </c>
      <c r="U64" s="120"/>
      <c r="V64" s="195">
        <f t="shared" si="23"/>
        <v>0</v>
      </c>
    </row>
    <row r="65" spans="1:22" ht="39.6" x14ac:dyDescent="0.25">
      <c r="A65" s="20"/>
      <c r="B65" s="20" t="s">
        <v>64</v>
      </c>
      <c r="C65" s="559"/>
      <c r="D65" s="68"/>
      <c r="E65" s="68"/>
      <c r="F65" s="68"/>
      <c r="G65" s="68"/>
      <c r="H65" s="68"/>
      <c r="I65" s="68"/>
      <c r="J65" s="68"/>
      <c r="K65" s="16"/>
      <c r="L65" s="593"/>
      <c r="M65" s="593"/>
      <c r="N65" s="593"/>
      <c r="O65" s="16"/>
      <c r="P65" s="81">
        <f t="shared" si="13"/>
        <v>0</v>
      </c>
      <c r="Q65" s="81">
        <f t="shared" si="14"/>
        <v>0</v>
      </c>
      <c r="R65" s="81">
        <f t="shared" si="15"/>
        <v>0</v>
      </c>
      <c r="S65" s="81">
        <f t="shared" si="34"/>
        <v>0</v>
      </c>
      <c r="T65" s="281">
        <f t="shared" si="17"/>
        <v>0</v>
      </c>
      <c r="U65" s="120"/>
      <c r="V65" s="195">
        <f t="shared" si="23"/>
        <v>0</v>
      </c>
    </row>
    <row r="66" spans="1:22" x14ac:dyDescent="0.25">
      <c r="A66" s="39" t="s">
        <v>65</v>
      </c>
      <c r="B66" s="39" t="s">
        <v>66</v>
      </c>
      <c r="C66" s="374">
        <f>SUM(C67:C70)</f>
        <v>800000</v>
      </c>
      <c r="D66" s="374">
        <f t="shared" ref="D66:J66" si="68">SUM(D67:D70)</f>
        <v>800000</v>
      </c>
      <c r="E66" s="374">
        <f t="shared" si="68"/>
        <v>800000</v>
      </c>
      <c r="F66" s="374">
        <f t="shared" si="68"/>
        <v>509000</v>
      </c>
      <c r="G66" s="374"/>
      <c r="H66" s="374">
        <f t="shared" si="68"/>
        <v>76005</v>
      </c>
      <c r="I66" s="374">
        <f t="shared" si="68"/>
        <v>120685</v>
      </c>
      <c r="J66" s="374">
        <f t="shared" si="68"/>
        <v>350017</v>
      </c>
      <c r="K66" s="16"/>
      <c r="L66" s="593">
        <f t="shared" ref="L66:L67" si="69">IF(H66&gt;0,H66/C66,0)</f>
        <v>9.500625E-2</v>
      </c>
      <c r="M66" s="593">
        <f t="shared" ref="M66:M67" si="70">IF(I66&gt;0,I66/D66,0)</f>
        <v>0.15085625</v>
      </c>
      <c r="N66" s="593">
        <f t="shared" ref="N66:N67" si="71">IF(J66&gt;0,J66/E66,0)</f>
        <v>0.43752124999999997</v>
      </c>
      <c r="O66" s="16"/>
      <c r="P66" s="81">
        <f t="shared" si="13"/>
        <v>0</v>
      </c>
      <c r="Q66" s="81">
        <f t="shared" si="14"/>
        <v>0</v>
      </c>
      <c r="R66" s="81">
        <f t="shared" si="15"/>
        <v>0</v>
      </c>
      <c r="S66" s="81">
        <f t="shared" si="34"/>
        <v>0</v>
      </c>
      <c r="T66" s="281">
        <f t="shared" si="17"/>
        <v>0</v>
      </c>
      <c r="U66" s="120"/>
      <c r="V66" s="195">
        <f t="shared" si="23"/>
        <v>0</v>
      </c>
    </row>
    <row r="67" spans="1:22" x14ac:dyDescent="0.25">
      <c r="A67" s="20" t="s">
        <v>67</v>
      </c>
      <c r="B67" s="20" t="s">
        <v>68</v>
      </c>
      <c r="C67" s="559">
        <v>800000</v>
      </c>
      <c r="D67" s="68">
        <v>800000</v>
      </c>
      <c r="E67" s="68">
        <v>800000</v>
      </c>
      <c r="F67" s="68">
        <v>509000</v>
      </c>
      <c r="G67" s="68"/>
      <c r="H67" s="68">
        <v>76005</v>
      </c>
      <c r="I67" s="68">
        <v>120685</v>
      </c>
      <c r="J67" s="68">
        <v>350017</v>
      </c>
      <c r="K67" s="16"/>
      <c r="L67" s="593">
        <f t="shared" si="69"/>
        <v>9.500625E-2</v>
      </c>
      <c r="M67" s="593">
        <f t="shared" si="70"/>
        <v>0.15085625</v>
      </c>
      <c r="N67" s="593">
        <f t="shared" si="71"/>
        <v>0.43752124999999997</v>
      </c>
      <c r="O67" s="16"/>
      <c r="P67" s="81">
        <f t="shared" si="13"/>
        <v>0</v>
      </c>
      <c r="Q67" s="81">
        <f t="shared" si="14"/>
        <v>0</v>
      </c>
      <c r="R67" s="81">
        <f t="shared" si="15"/>
        <v>0</v>
      </c>
      <c r="S67" s="81">
        <f t="shared" si="34"/>
        <v>0</v>
      </c>
      <c r="T67" s="281">
        <f t="shared" si="17"/>
        <v>0</v>
      </c>
      <c r="U67" s="120"/>
      <c r="V67" s="195">
        <f t="shared" si="23"/>
        <v>0</v>
      </c>
    </row>
    <row r="68" spans="1:22" ht="39.6" x14ac:dyDescent="0.25">
      <c r="A68" s="20"/>
      <c r="B68" s="20" t="s">
        <v>69</v>
      </c>
      <c r="C68" s="559"/>
      <c r="D68" s="68"/>
      <c r="E68" s="68"/>
      <c r="F68" s="68"/>
      <c r="G68" s="68"/>
      <c r="H68" s="68"/>
      <c r="I68" s="68"/>
      <c r="J68" s="68"/>
      <c r="K68" s="16"/>
      <c r="L68" s="593"/>
      <c r="M68" s="593"/>
      <c r="N68" s="593"/>
      <c r="O68" s="16"/>
      <c r="P68" s="81">
        <f t="shared" si="13"/>
        <v>0</v>
      </c>
      <c r="Q68" s="81">
        <f t="shared" si="14"/>
        <v>0</v>
      </c>
      <c r="R68" s="81">
        <f t="shared" si="15"/>
        <v>0</v>
      </c>
      <c r="S68" s="81">
        <f t="shared" si="34"/>
        <v>0</v>
      </c>
      <c r="T68" s="281">
        <f t="shared" si="17"/>
        <v>0</v>
      </c>
      <c r="U68" s="120"/>
      <c r="V68" s="195">
        <f t="shared" si="23"/>
        <v>0</v>
      </c>
    </row>
    <row r="69" spans="1:22" x14ac:dyDescent="0.25">
      <c r="A69" s="20" t="s">
        <v>70</v>
      </c>
      <c r="B69" s="20" t="s">
        <v>98</v>
      </c>
      <c r="C69" s="559">
        <v>0</v>
      </c>
      <c r="D69" s="68">
        <v>0</v>
      </c>
      <c r="E69" s="68">
        <v>0</v>
      </c>
      <c r="F69" s="68">
        <v>0</v>
      </c>
      <c r="G69" s="68"/>
      <c r="H69" s="68">
        <v>0</v>
      </c>
      <c r="I69" s="68">
        <v>0</v>
      </c>
      <c r="J69" s="68">
        <v>0</v>
      </c>
      <c r="K69" s="16"/>
      <c r="L69" s="593">
        <f t="shared" ref="L69" si="72">IF(H69&gt;0,H69/C69,0)</f>
        <v>0</v>
      </c>
      <c r="M69" s="593">
        <f t="shared" ref="M69" si="73">IF(I69&gt;0,I69/D69,0)</f>
        <v>0</v>
      </c>
      <c r="N69" s="593">
        <f t="shared" ref="N69" si="74">IF(J69&gt;0,J69/E69,0)</f>
        <v>0</v>
      </c>
      <c r="O69" s="16"/>
      <c r="P69" s="81">
        <f t="shared" si="13"/>
        <v>0</v>
      </c>
      <c r="Q69" s="81">
        <f t="shared" si="14"/>
        <v>0</v>
      </c>
      <c r="R69" s="81">
        <f t="shared" si="15"/>
        <v>0</v>
      </c>
      <c r="S69" s="81">
        <f t="shared" si="34"/>
        <v>0</v>
      </c>
      <c r="T69" s="281">
        <f t="shared" si="17"/>
        <v>0</v>
      </c>
      <c r="U69" s="120"/>
      <c r="V69" s="195">
        <f t="shared" si="23"/>
        <v>0</v>
      </c>
    </row>
    <row r="70" spans="1:22" ht="26.7" customHeight="1" x14ac:dyDescent="0.25">
      <c r="A70" s="20"/>
      <c r="B70" s="20" t="s">
        <v>71</v>
      </c>
      <c r="C70" s="559"/>
      <c r="D70" s="68"/>
      <c r="E70" s="68"/>
      <c r="F70" s="68"/>
      <c r="G70" s="68"/>
      <c r="H70" s="68"/>
      <c r="I70" s="68"/>
      <c r="J70" s="68"/>
      <c r="K70" s="16"/>
      <c r="L70" s="593"/>
      <c r="M70" s="593"/>
      <c r="N70" s="593"/>
      <c r="O70" s="16"/>
      <c r="P70" s="81">
        <f t="shared" si="13"/>
        <v>0</v>
      </c>
      <c r="Q70" s="81">
        <f t="shared" si="14"/>
        <v>0</v>
      </c>
      <c r="R70" s="81">
        <f t="shared" si="15"/>
        <v>0</v>
      </c>
      <c r="S70" s="81">
        <f t="shared" si="34"/>
        <v>0</v>
      </c>
      <c r="T70" s="281">
        <f t="shared" si="17"/>
        <v>0</v>
      </c>
      <c r="U70" s="120"/>
      <c r="V70" s="195">
        <f t="shared" si="23"/>
        <v>0</v>
      </c>
    </row>
    <row r="71" spans="1:22" x14ac:dyDescent="0.25">
      <c r="A71" s="20" t="s">
        <v>72</v>
      </c>
      <c r="B71" s="20" t="s">
        <v>73</v>
      </c>
      <c r="C71" s="374">
        <f>SUM(C72:C81)</f>
        <v>2200000</v>
      </c>
      <c r="D71" s="374">
        <f t="shared" ref="D71:J71" si="75">SUM(D72:D81)</f>
        <v>2200000</v>
      </c>
      <c r="E71" s="374">
        <f t="shared" si="75"/>
        <v>2200000</v>
      </c>
      <c r="F71" s="374">
        <f t="shared" si="75"/>
        <v>2250000</v>
      </c>
      <c r="G71" s="374"/>
      <c r="H71" s="374">
        <f t="shared" si="75"/>
        <v>883273</v>
      </c>
      <c r="I71" s="374">
        <f t="shared" si="75"/>
        <v>1570687</v>
      </c>
      <c r="J71" s="374">
        <f t="shared" si="75"/>
        <v>1913352</v>
      </c>
      <c r="K71" s="16"/>
      <c r="L71" s="593">
        <f t="shared" ref="L71:L72" si="76">IF(H71&gt;0,H71/C71,0)</f>
        <v>0.40148772727272725</v>
      </c>
      <c r="M71" s="593">
        <f t="shared" ref="M71:M72" si="77">IF(I71&gt;0,I71/D71,0)</f>
        <v>0.71394863636363637</v>
      </c>
      <c r="N71" s="593">
        <f t="shared" ref="N71:N72" si="78">IF(J71&gt;0,J71/E71,0)</f>
        <v>0.86970545454545456</v>
      </c>
      <c r="O71" s="16"/>
      <c r="P71" s="81">
        <f t="shared" si="13"/>
        <v>0</v>
      </c>
      <c r="Q71" s="81">
        <f t="shared" si="14"/>
        <v>0</v>
      </c>
      <c r="R71" s="81">
        <f t="shared" si="15"/>
        <v>0</v>
      </c>
      <c r="S71" s="81">
        <f t="shared" si="34"/>
        <v>0</v>
      </c>
      <c r="T71" s="281">
        <f t="shared" si="17"/>
        <v>0</v>
      </c>
      <c r="U71" s="120"/>
      <c r="V71" s="195">
        <f t="shared" si="23"/>
        <v>0</v>
      </c>
    </row>
    <row r="72" spans="1:22" x14ac:dyDescent="0.25">
      <c r="A72" s="20" t="s">
        <v>74</v>
      </c>
      <c r="B72" s="20" t="s">
        <v>75</v>
      </c>
      <c r="C72" s="559">
        <v>1500000</v>
      </c>
      <c r="D72" s="175">
        <v>1300000</v>
      </c>
      <c r="E72" s="68">
        <v>1300000</v>
      </c>
      <c r="F72" s="68">
        <v>1350000</v>
      </c>
      <c r="G72" s="68"/>
      <c r="H72" s="68">
        <v>570864</v>
      </c>
      <c r="I72" s="68">
        <v>947129</v>
      </c>
      <c r="J72" s="68">
        <v>1288786</v>
      </c>
      <c r="K72" s="16"/>
      <c r="L72" s="593">
        <f t="shared" si="76"/>
        <v>0.38057600000000003</v>
      </c>
      <c r="M72" s="593">
        <f t="shared" si="77"/>
        <v>0.72856076923076918</v>
      </c>
      <c r="N72" s="593">
        <f t="shared" si="78"/>
        <v>0.99137384615384616</v>
      </c>
      <c r="O72" s="16"/>
      <c r="P72" s="81">
        <f t="shared" si="13"/>
        <v>-200000</v>
      </c>
      <c r="Q72" s="81">
        <f t="shared" si="14"/>
        <v>0</v>
      </c>
      <c r="R72" s="81">
        <f t="shared" si="15"/>
        <v>0</v>
      </c>
      <c r="S72" s="81">
        <f t="shared" si="34"/>
        <v>-200000</v>
      </c>
      <c r="T72" s="281">
        <f t="shared" si="17"/>
        <v>-0.13333333333333333</v>
      </c>
      <c r="U72" s="120"/>
      <c r="V72" s="195">
        <f t="shared" si="23"/>
        <v>0</v>
      </c>
    </row>
    <row r="73" spans="1:22" x14ac:dyDescent="0.25">
      <c r="A73" s="20"/>
      <c r="B73" s="20" t="s">
        <v>76</v>
      </c>
      <c r="C73" s="559"/>
      <c r="D73" s="68"/>
      <c r="E73" s="68"/>
      <c r="F73" s="68"/>
      <c r="G73" s="68"/>
      <c r="H73" s="68"/>
      <c r="I73" s="68"/>
      <c r="J73" s="68"/>
      <c r="K73" s="16"/>
      <c r="L73" s="593"/>
      <c r="M73" s="593"/>
      <c r="N73" s="593"/>
      <c r="O73" s="16"/>
      <c r="P73" s="81">
        <f t="shared" si="13"/>
        <v>0</v>
      </c>
      <c r="Q73" s="81">
        <f t="shared" si="14"/>
        <v>0</v>
      </c>
      <c r="R73" s="81">
        <f t="shared" si="15"/>
        <v>0</v>
      </c>
      <c r="S73" s="81">
        <f t="shared" si="34"/>
        <v>0</v>
      </c>
      <c r="T73" s="281">
        <f t="shared" si="17"/>
        <v>0</v>
      </c>
      <c r="U73" s="120"/>
      <c r="V73" s="195">
        <f t="shared" si="23"/>
        <v>0</v>
      </c>
    </row>
    <row r="74" spans="1:22" x14ac:dyDescent="0.25">
      <c r="A74" s="20" t="s">
        <v>77</v>
      </c>
      <c r="B74" s="20" t="s">
        <v>78</v>
      </c>
      <c r="C74" s="559">
        <v>0</v>
      </c>
      <c r="D74" s="68">
        <v>0</v>
      </c>
      <c r="E74" s="68">
        <v>0</v>
      </c>
      <c r="F74" s="68">
        <v>0</v>
      </c>
      <c r="G74" s="68"/>
      <c r="H74" s="68">
        <v>0</v>
      </c>
      <c r="I74" s="68">
        <v>0</v>
      </c>
      <c r="J74" s="68">
        <v>0</v>
      </c>
      <c r="K74" s="16"/>
      <c r="L74" s="593">
        <f t="shared" ref="L74" si="79">IF(H74&gt;0,H74/C74,0)</f>
        <v>0</v>
      </c>
      <c r="M74" s="593">
        <f t="shared" ref="M74" si="80">IF(I74&gt;0,I74/D74,0)</f>
        <v>0</v>
      </c>
      <c r="N74" s="593">
        <f t="shared" ref="N74" si="81">IF(J74&gt;0,J74/E74,0)</f>
        <v>0</v>
      </c>
      <c r="O74" s="16"/>
      <c r="P74" s="81">
        <f t="shared" si="13"/>
        <v>0</v>
      </c>
      <c r="Q74" s="81">
        <f t="shared" si="14"/>
        <v>0</v>
      </c>
      <c r="R74" s="81">
        <f t="shared" si="15"/>
        <v>0</v>
      </c>
      <c r="S74" s="81">
        <f t="shared" si="34"/>
        <v>0</v>
      </c>
      <c r="T74" s="281">
        <f t="shared" si="17"/>
        <v>0</v>
      </c>
      <c r="U74" s="120"/>
      <c r="V74" s="195">
        <f t="shared" si="23"/>
        <v>0</v>
      </c>
    </row>
    <row r="75" spans="1:22" ht="26.4" x14ac:dyDescent="0.25">
      <c r="A75" s="20"/>
      <c r="B75" s="20" t="s">
        <v>99</v>
      </c>
      <c r="C75" s="559"/>
      <c r="D75" s="68"/>
      <c r="E75" s="68"/>
      <c r="F75" s="68"/>
      <c r="G75" s="68"/>
      <c r="H75" s="68"/>
      <c r="I75" s="68"/>
      <c r="J75" s="68"/>
      <c r="K75" s="16"/>
      <c r="L75" s="593"/>
      <c r="M75" s="593"/>
      <c r="N75" s="593"/>
      <c r="O75" s="16"/>
      <c r="P75" s="81">
        <f t="shared" si="13"/>
        <v>0</v>
      </c>
      <c r="Q75" s="81">
        <f t="shared" si="14"/>
        <v>0</v>
      </c>
      <c r="R75" s="81">
        <f t="shared" si="15"/>
        <v>0</v>
      </c>
      <c r="S75" s="81">
        <f t="shared" si="34"/>
        <v>0</v>
      </c>
      <c r="T75" s="281">
        <f t="shared" si="17"/>
        <v>0</v>
      </c>
      <c r="U75" s="120"/>
      <c r="V75" s="195">
        <f t="shared" si="23"/>
        <v>0</v>
      </c>
    </row>
    <row r="76" spans="1:22" x14ac:dyDescent="0.25">
      <c r="A76" s="20" t="s">
        <v>79</v>
      </c>
      <c r="B76" s="20" t="s">
        <v>80</v>
      </c>
      <c r="C76" s="559"/>
      <c r="D76" s="68"/>
      <c r="E76" s="68"/>
      <c r="F76" s="68"/>
      <c r="G76" s="68"/>
      <c r="H76" s="68"/>
      <c r="I76" s="68"/>
      <c r="J76" s="68"/>
      <c r="K76" s="16"/>
      <c r="L76" s="593"/>
      <c r="M76" s="593"/>
      <c r="N76" s="593"/>
      <c r="O76" s="16"/>
      <c r="P76" s="81">
        <f t="shared" si="13"/>
        <v>0</v>
      </c>
      <c r="Q76" s="81">
        <f t="shared" si="14"/>
        <v>0</v>
      </c>
      <c r="R76" s="81">
        <f t="shared" si="15"/>
        <v>0</v>
      </c>
      <c r="S76" s="81">
        <f t="shared" si="34"/>
        <v>0</v>
      </c>
      <c r="T76" s="281">
        <f t="shared" si="17"/>
        <v>0</v>
      </c>
      <c r="U76" s="120"/>
      <c r="V76" s="195">
        <f t="shared" si="23"/>
        <v>0</v>
      </c>
    </row>
    <row r="77" spans="1:22" ht="26.4" x14ac:dyDescent="0.25">
      <c r="A77" s="20"/>
      <c r="B77" s="20" t="s">
        <v>104</v>
      </c>
      <c r="C77" s="559"/>
      <c r="D77" s="68"/>
      <c r="E77" s="68"/>
      <c r="F77" s="68"/>
      <c r="G77" s="68"/>
      <c r="H77" s="68"/>
      <c r="I77" s="68"/>
      <c r="J77" s="68"/>
      <c r="K77" s="16"/>
      <c r="L77" s="593"/>
      <c r="M77" s="593"/>
      <c r="N77" s="593"/>
      <c r="O77" s="16"/>
      <c r="P77" s="81">
        <f t="shared" ref="P77:P80" si="82">+(D77-C77)*P$10</f>
        <v>0</v>
      </c>
      <c r="Q77" s="81">
        <f t="shared" ref="Q77:Q80" si="83">+(E77-D77)*Q$10</f>
        <v>0</v>
      </c>
      <c r="R77" s="81">
        <f t="shared" ref="R77:R80" si="84">+(F77-E77)*R$10</f>
        <v>0</v>
      </c>
      <c r="S77" s="81">
        <f t="shared" si="34"/>
        <v>0</v>
      </c>
      <c r="T77" s="281">
        <f t="shared" ref="T77:T101" si="85">IF(C77=0,0,+S77/C77)</f>
        <v>0</v>
      </c>
      <c r="U77" s="120"/>
      <c r="V77" s="195">
        <f t="shared" ref="V77:V80" si="86">+S77-E77+C77</f>
        <v>0</v>
      </c>
    </row>
    <row r="78" spans="1:22" x14ac:dyDescent="0.25">
      <c r="A78" s="20" t="s">
        <v>82</v>
      </c>
      <c r="B78" s="20" t="s">
        <v>83</v>
      </c>
      <c r="C78" s="559"/>
      <c r="D78" s="68"/>
      <c r="E78" s="68"/>
      <c r="F78" s="68"/>
      <c r="G78" s="68"/>
      <c r="H78" s="68"/>
      <c r="I78" s="68"/>
      <c r="J78" s="68"/>
      <c r="K78" s="16"/>
      <c r="L78" s="593"/>
      <c r="M78" s="593"/>
      <c r="N78" s="593"/>
      <c r="O78" s="16"/>
      <c r="P78" s="81">
        <f t="shared" si="82"/>
        <v>0</v>
      </c>
      <c r="Q78" s="81">
        <f t="shared" si="83"/>
        <v>0</v>
      </c>
      <c r="R78" s="81">
        <f t="shared" si="84"/>
        <v>0</v>
      </c>
      <c r="S78" s="81">
        <f t="shared" si="34"/>
        <v>0</v>
      </c>
      <c r="T78" s="281">
        <f t="shared" si="85"/>
        <v>0</v>
      </c>
      <c r="U78" s="120"/>
      <c r="V78" s="195">
        <f t="shared" si="86"/>
        <v>0</v>
      </c>
    </row>
    <row r="79" spans="1:22" x14ac:dyDescent="0.25">
      <c r="A79" s="20"/>
      <c r="B79" s="20" t="s">
        <v>84</v>
      </c>
      <c r="C79" s="559"/>
      <c r="D79" s="68"/>
      <c r="E79" s="68"/>
      <c r="F79" s="68"/>
      <c r="G79" s="68"/>
      <c r="H79" s="68"/>
      <c r="I79" s="68"/>
      <c r="J79" s="68"/>
      <c r="K79" s="16"/>
      <c r="L79" s="593"/>
      <c r="M79" s="593"/>
      <c r="N79" s="593"/>
      <c r="O79" s="16"/>
      <c r="P79" s="81">
        <f t="shared" si="82"/>
        <v>0</v>
      </c>
      <c r="Q79" s="81">
        <f t="shared" si="83"/>
        <v>0</v>
      </c>
      <c r="R79" s="81">
        <f t="shared" si="84"/>
        <v>0</v>
      </c>
      <c r="S79" s="81">
        <f t="shared" si="34"/>
        <v>0</v>
      </c>
      <c r="T79" s="281">
        <f t="shared" si="85"/>
        <v>0</v>
      </c>
      <c r="U79" s="120"/>
      <c r="V79" s="195">
        <f t="shared" si="86"/>
        <v>0</v>
      </c>
    </row>
    <row r="80" spans="1:22" x14ac:dyDescent="0.25">
      <c r="A80" s="20" t="s">
        <v>85</v>
      </c>
      <c r="B80" s="20" t="s">
        <v>86</v>
      </c>
      <c r="C80" s="559">
        <v>700000</v>
      </c>
      <c r="D80" s="68">
        <v>900000</v>
      </c>
      <c r="E80" s="68">
        <v>900000</v>
      </c>
      <c r="F80" s="68">
        <v>900000</v>
      </c>
      <c r="G80" s="68"/>
      <c r="H80" s="68">
        <v>312409</v>
      </c>
      <c r="I80" s="68">
        <v>623558</v>
      </c>
      <c r="J80" s="68">
        <v>624566</v>
      </c>
      <c r="K80" s="16"/>
      <c r="L80" s="593">
        <f t="shared" ref="L80" si="87">IF(H80&gt;0,H80/C80,0)</f>
        <v>0.44629857142857143</v>
      </c>
      <c r="M80" s="593">
        <f t="shared" ref="M80" si="88">IF(I80&gt;0,I80/D80,0)</f>
        <v>0.69284222222222225</v>
      </c>
      <c r="N80" s="593">
        <f t="shared" ref="N80" si="89">IF(J80&gt;0,J80/E80,0)</f>
        <v>0.69396222222222226</v>
      </c>
      <c r="O80" s="16"/>
      <c r="P80" s="81">
        <f t="shared" si="82"/>
        <v>200000</v>
      </c>
      <c r="Q80" s="81">
        <f t="shared" si="83"/>
        <v>0</v>
      </c>
      <c r="R80" s="81">
        <f t="shared" si="84"/>
        <v>0</v>
      </c>
      <c r="S80" s="81">
        <f t="shared" si="34"/>
        <v>200000</v>
      </c>
      <c r="T80" s="281">
        <f t="shared" si="85"/>
        <v>0.2857142857142857</v>
      </c>
      <c r="U80" s="120"/>
      <c r="V80" s="195">
        <f t="shared" si="86"/>
        <v>0</v>
      </c>
    </row>
    <row r="81" spans="1:24" ht="54.6" customHeight="1" x14ac:dyDescent="0.25">
      <c r="A81" s="20"/>
      <c r="B81" s="20" t="s">
        <v>90</v>
      </c>
      <c r="C81" s="559"/>
      <c r="D81" s="68"/>
      <c r="E81" s="68"/>
      <c r="F81" s="68"/>
      <c r="G81" s="68"/>
      <c r="H81" s="68"/>
      <c r="I81" s="68"/>
      <c r="J81" s="68"/>
      <c r="K81" s="16"/>
      <c r="L81" s="593"/>
      <c r="M81" s="593"/>
      <c r="N81" s="593"/>
      <c r="O81" s="16"/>
      <c r="P81" s="81">
        <f>+(D81-C81)*P$10</f>
        <v>0</v>
      </c>
      <c r="Q81" s="81">
        <f>+(E81-D81)*Q$10</f>
        <v>0</v>
      </c>
      <c r="R81" s="81">
        <f>+(F81-E81)*R$10</f>
        <v>0</v>
      </c>
      <c r="S81" s="81">
        <f t="shared" si="34"/>
        <v>0</v>
      </c>
      <c r="T81" s="281">
        <f t="shared" si="85"/>
        <v>0</v>
      </c>
      <c r="U81" s="120"/>
      <c r="V81" s="195">
        <f t="shared" ref="V81:V82" si="90">+S81-E81+C81</f>
        <v>0</v>
      </c>
    </row>
    <row r="82" spans="1:24" x14ac:dyDescent="0.25">
      <c r="A82" s="20"/>
      <c r="B82" s="20"/>
      <c r="C82" s="720"/>
      <c r="D82" s="68"/>
      <c r="E82" s="68"/>
      <c r="F82" s="68"/>
      <c r="G82" s="68"/>
      <c r="H82" s="68"/>
      <c r="I82" s="68"/>
      <c r="J82" s="68"/>
      <c r="K82" s="16"/>
      <c r="L82" s="593">
        <f t="shared" ref="L82:L84" si="91">IF(H82&gt;0,H82/C82,0)</f>
        <v>0</v>
      </c>
      <c r="M82" s="593">
        <f t="shared" ref="M82:M84" si="92">IF(I82&gt;0,I82/D82,0)</f>
        <v>0</v>
      </c>
      <c r="N82" s="593">
        <f t="shared" ref="N82:N84" si="93">IF(J82&gt;0,J82/E82,0)</f>
        <v>0</v>
      </c>
      <c r="O82" s="16"/>
      <c r="P82" s="81">
        <f t="shared" ref="P82" si="94">+(D82-C82)*P$10</f>
        <v>0</v>
      </c>
      <c r="Q82" s="81">
        <f t="shared" ref="Q82" si="95">+(E82-D82)*Q$10</f>
        <v>0</v>
      </c>
      <c r="R82" s="81">
        <f t="shared" ref="R82" si="96">+(F82-E82)*R$10</f>
        <v>0</v>
      </c>
      <c r="S82" s="81">
        <f t="shared" si="34"/>
        <v>0</v>
      </c>
      <c r="T82" s="281">
        <f t="shared" si="85"/>
        <v>0</v>
      </c>
      <c r="U82" s="120"/>
      <c r="V82" s="195">
        <f t="shared" si="90"/>
        <v>0</v>
      </c>
    </row>
    <row r="83" spans="1:24" s="42" customFormat="1" x14ac:dyDescent="0.25">
      <c r="A83" s="3" t="s">
        <v>154</v>
      </c>
      <c r="B83" s="3" t="s">
        <v>155</v>
      </c>
      <c r="C83" s="193">
        <f>SUM(C84)</f>
        <v>2500000</v>
      </c>
      <c r="D83" s="90">
        <f>SUM(D84)</f>
        <v>2500000</v>
      </c>
      <c r="E83" s="90">
        <f>SUM(E84)</f>
        <v>2500000</v>
      </c>
      <c r="F83" s="90">
        <f>SUM(F84)</f>
        <v>2500000</v>
      </c>
      <c r="G83" s="90"/>
      <c r="H83" s="90">
        <f>SUM(H84)</f>
        <v>811750</v>
      </c>
      <c r="I83" s="90">
        <f>+I84</f>
        <v>811750</v>
      </c>
      <c r="J83" s="90">
        <f>+J84</f>
        <v>811750</v>
      </c>
      <c r="K83" s="32"/>
      <c r="L83" s="602">
        <f t="shared" si="91"/>
        <v>0.32469999999999999</v>
      </c>
      <c r="M83" s="602">
        <f t="shared" si="92"/>
        <v>0.32469999999999999</v>
      </c>
      <c r="N83" s="602">
        <f t="shared" si="93"/>
        <v>0.32469999999999999</v>
      </c>
      <c r="O83" s="32"/>
      <c r="P83" s="298">
        <f t="shared" ref="P83:P85" si="97">+(D83-C83)*P$10</f>
        <v>0</v>
      </c>
      <c r="Q83" s="298">
        <f t="shared" ref="Q83:Q85" si="98">+(E83-D83)*Q$10</f>
        <v>0</v>
      </c>
      <c r="R83" s="298">
        <f t="shared" ref="R83:R85" si="99">+(F83-E83)*R$10</f>
        <v>0</v>
      </c>
      <c r="S83" s="298">
        <f t="shared" si="34"/>
        <v>0</v>
      </c>
      <c r="T83" s="282">
        <f t="shared" ref="T83:T85" si="100">IF(C83=0,0,+S83/C83)</f>
        <v>0</v>
      </c>
      <c r="U83" s="120"/>
      <c r="V83" s="195">
        <f t="shared" ref="V83:V85" si="101">+S83-E83+C83</f>
        <v>0</v>
      </c>
    </row>
    <row r="84" spans="1:24" x14ac:dyDescent="0.25">
      <c r="A84" s="482"/>
      <c r="B84" s="482" t="s">
        <v>457</v>
      </c>
      <c r="C84" s="117">
        <v>2500000</v>
      </c>
      <c r="D84" s="68">
        <v>2500000</v>
      </c>
      <c r="E84" s="68">
        <v>2500000</v>
      </c>
      <c r="F84" s="68">
        <v>2500000</v>
      </c>
      <c r="G84" s="68"/>
      <c r="H84" s="68">
        <v>811750</v>
      </c>
      <c r="I84" s="175">
        <v>811750</v>
      </c>
      <c r="J84" s="68">
        <v>811750</v>
      </c>
      <c r="K84" s="16"/>
      <c r="L84" s="593">
        <f t="shared" si="91"/>
        <v>0.32469999999999999</v>
      </c>
      <c r="M84" s="593">
        <f t="shared" si="92"/>
        <v>0.32469999999999999</v>
      </c>
      <c r="N84" s="593">
        <f t="shared" si="93"/>
        <v>0.32469999999999999</v>
      </c>
      <c r="O84" s="16"/>
      <c r="P84" s="81">
        <f t="shared" si="97"/>
        <v>0</v>
      </c>
      <c r="Q84" s="81">
        <f t="shared" si="98"/>
        <v>0</v>
      </c>
      <c r="R84" s="81">
        <f t="shared" si="99"/>
        <v>0</v>
      </c>
      <c r="S84" s="81">
        <f t="shared" si="34"/>
        <v>0</v>
      </c>
      <c r="T84" s="281">
        <f t="shared" si="100"/>
        <v>0</v>
      </c>
      <c r="U84" s="120"/>
      <c r="V84" s="195">
        <f t="shared" si="101"/>
        <v>0</v>
      </c>
    </row>
    <row r="85" spans="1:24" x14ac:dyDescent="0.25">
      <c r="A85" s="20"/>
      <c r="B85" s="20"/>
      <c r="C85" s="117"/>
      <c r="D85" s="68"/>
      <c r="E85" s="68"/>
      <c r="F85" s="68"/>
      <c r="G85" s="68"/>
      <c r="H85" s="68"/>
      <c r="I85" s="68"/>
      <c r="J85" s="68"/>
      <c r="K85" s="16"/>
      <c r="L85" s="593" t="e">
        <f t="shared" ref="L85" si="102">+H85/C85</f>
        <v>#DIV/0!</v>
      </c>
      <c r="M85" s="593" t="e">
        <f t="shared" ref="M85:M88" si="103">+I85/D85</f>
        <v>#DIV/0!</v>
      </c>
      <c r="N85" s="593" t="e">
        <f t="shared" ref="N85" si="104">+J85/E85</f>
        <v>#DIV/0!</v>
      </c>
      <c r="O85" s="16"/>
      <c r="P85" s="81">
        <f t="shared" si="97"/>
        <v>0</v>
      </c>
      <c r="Q85" s="81">
        <f t="shared" si="98"/>
        <v>0</v>
      </c>
      <c r="R85" s="81">
        <f t="shared" si="99"/>
        <v>0</v>
      </c>
      <c r="S85" s="81">
        <f t="shared" si="34"/>
        <v>0</v>
      </c>
      <c r="T85" s="281">
        <f t="shared" si="100"/>
        <v>0</v>
      </c>
      <c r="U85" s="120"/>
      <c r="V85" s="195">
        <f t="shared" si="101"/>
        <v>0</v>
      </c>
    </row>
    <row r="86" spans="1:24" s="42" customFormat="1" x14ac:dyDescent="0.25">
      <c r="A86" s="3" t="s">
        <v>169</v>
      </c>
      <c r="B86" s="3" t="s">
        <v>170</v>
      </c>
      <c r="C86" s="193">
        <f>SUM(C87)</f>
        <v>0</v>
      </c>
      <c r="D86" s="90">
        <f>SUM(D87)</f>
        <v>0</v>
      </c>
      <c r="E86" s="90">
        <f>SUM(E87)</f>
        <v>0</v>
      </c>
      <c r="F86" s="90">
        <f>SUM(F87)</f>
        <v>0</v>
      </c>
      <c r="G86" s="90"/>
      <c r="H86" s="90">
        <f>SUM(H87)</f>
        <v>0</v>
      </c>
      <c r="I86" s="90">
        <f>+I87</f>
        <v>0</v>
      </c>
      <c r="J86" s="90">
        <f>+J87</f>
        <v>0</v>
      </c>
      <c r="K86" s="32"/>
      <c r="L86" s="602">
        <f t="shared" ref="L86:L87" si="105">IF(H86&gt;0,H86/C86,0)</f>
        <v>0</v>
      </c>
      <c r="M86" s="602">
        <f t="shared" ref="M86:M87" si="106">IF(I86&gt;0,I86/D86,0)</f>
        <v>0</v>
      </c>
      <c r="N86" s="602">
        <f t="shared" ref="N86:N87" si="107">IF(J86&gt;0,J86/E86,0)</f>
        <v>0</v>
      </c>
      <c r="O86" s="32"/>
      <c r="P86" s="298">
        <f t="shared" ref="P86:P88" si="108">+(D86-C86)*P$10</f>
        <v>0</v>
      </c>
      <c r="Q86" s="298">
        <f t="shared" ref="Q86:Q88" si="109">+(E86-D86)*Q$10</f>
        <v>0</v>
      </c>
      <c r="R86" s="298">
        <f t="shared" ref="R86:R88" si="110">+(F86-E86)*R$10</f>
        <v>0</v>
      </c>
      <c r="S86" s="298">
        <f t="shared" si="34"/>
        <v>0</v>
      </c>
      <c r="T86" s="282">
        <f t="shared" ref="T86:T88" si="111">IF(C86=0,0,+S86/C86)</f>
        <v>0</v>
      </c>
      <c r="U86" s="120"/>
      <c r="V86" s="195">
        <f t="shared" ref="V86:V88" si="112">+S86-E86+C86</f>
        <v>0</v>
      </c>
    </row>
    <row r="87" spans="1:24" x14ac:dyDescent="0.25">
      <c r="A87" s="482"/>
      <c r="B87" s="482"/>
      <c r="C87" s="117"/>
      <c r="D87" s="68"/>
      <c r="E87" s="68"/>
      <c r="F87" s="68"/>
      <c r="G87" s="68"/>
      <c r="H87" s="68"/>
      <c r="I87" s="175"/>
      <c r="J87" s="68"/>
      <c r="K87" s="16"/>
      <c r="L87" s="593">
        <f t="shared" si="105"/>
        <v>0</v>
      </c>
      <c r="M87" s="593">
        <f t="shared" si="106"/>
        <v>0</v>
      </c>
      <c r="N87" s="593">
        <f t="shared" si="107"/>
        <v>0</v>
      </c>
      <c r="O87" s="16"/>
      <c r="P87" s="81">
        <f t="shared" si="108"/>
        <v>0</v>
      </c>
      <c r="Q87" s="81">
        <f t="shared" si="109"/>
        <v>0</v>
      </c>
      <c r="R87" s="81">
        <f t="shared" si="110"/>
        <v>0</v>
      </c>
      <c r="S87" s="81">
        <f t="shared" si="34"/>
        <v>0</v>
      </c>
      <c r="T87" s="281">
        <f t="shared" si="111"/>
        <v>0</v>
      </c>
      <c r="U87" s="120"/>
      <c r="V87" s="195">
        <f t="shared" si="112"/>
        <v>0</v>
      </c>
    </row>
    <row r="88" spans="1:24" hidden="1" x14ac:dyDescent="0.25">
      <c r="A88" s="20"/>
      <c r="B88" s="20"/>
      <c r="C88" s="117"/>
      <c r="D88" s="68"/>
      <c r="E88" s="68"/>
      <c r="F88" s="68"/>
      <c r="G88" s="68"/>
      <c r="H88" s="68"/>
      <c r="I88" s="68"/>
      <c r="J88" s="68"/>
      <c r="K88" s="16"/>
      <c r="L88" s="593" t="e">
        <f t="shared" ref="L88" si="113">+H88/C88</f>
        <v>#DIV/0!</v>
      </c>
      <c r="M88" s="593" t="e">
        <f t="shared" si="103"/>
        <v>#DIV/0!</v>
      </c>
      <c r="N88" s="593" t="e">
        <f t="shared" ref="N88" si="114">+J88/E88</f>
        <v>#DIV/0!</v>
      </c>
      <c r="O88" s="16"/>
      <c r="P88" s="81">
        <f t="shared" si="108"/>
        <v>0</v>
      </c>
      <c r="Q88" s="81">
        <f t="shared" si="109"/>
        <v>0</v>
      </c>
      <c r="R88" s="81">
        <f t="shared" si="110"/>
        <v>0</v>
      </c>
      <c r="S88" s="81">
        <f t="shared" si="34"/>
        <v>0</v>
      </c>
      <c r="T88" s="281">
        <f t="shared" si="111"/>
        <v>0</v>
      </c>
      <c r="U88" s="120"/>
      <c r="V88" s="195">
        <f t="shared" si="112"/>
        <v>0</v>
      </c>
    </row>
    <row r="89" spans="1:24" ht="18" customHeight="1" x14ac:dyDescent="0.25">
      <c r="A89" s="5"/>
      <c r="B89" s="471" t="s">
        <v>371</v>
      </c>
      <c r="C89" s="478">
        <f>C13+C29+C32+C83+C86</f>
        <v>154833000</v>
      </c>
      <c r="D89" s="478">
        <f>D13+D29+D32+D83+D86</f>
        <v>154833000</v>
      </c>
      <c r="E89" s="478">
        <f>E13+E29+E32+E83+E86</f>
        <v>154833000</v>
      </c>
      <c r="F89" s="478">
        <f>F13+F29+F32+F83+F86</f>
        <v>154833000</v>
      </c>
      <c r="G89" s="478"/>
      <c r="H89" s="478">
        <f>H13+H29+H32+H83+H86</f>
        <v>77266080</v>
      </c>
      <c r="I89" s="478">
        <f>I13+I29+I32+I83+I86</f>
        <v>113695413</v>
      </c>
      <c r="J89" s="478">
        <f>J13+J29+J32+J83+J86</f>
        <v>151919572</v>
      </c>
      <c r="K89" s="6"/>
      <c r="L89" s="590">
        <f t="shared" ref="L89" si="115">IF(H89&gt;0,H89/C89,0)</f>
        <v>0.49902850167599933</v>
      </c>
      <c r="M89" s="590">
        <f t="shared" ref="M89" si="116">IF(I89&gt;0,I89/D89,0)</f>
        <v>0.73430995330452808</v>
      </c>
      <c r="N89" s="590">
        <f t="shared" ref="N89" si="117">IF(J89&gt;0,J89/E89,0)</f>
        <v>0.9811834169718342</v>
      </c>
      <c r="O89" s="6"/>
      <c r="P89" s="478">
        <f>+(D89-C89)*P$10</f>
        <v>0</v>
      </c>
      <c r="Q89" s="478">
        <f>+(E89-D89)*Q$10</f>
        <v>0</v>
      </c>
      <c r="R89" s="478">
        <f>+(F89-E89)*R$10</f>
        <v>0</v>
      </c>
      <c r="S89" s="478">
        <f t="shared" si="34"/>
        <v>0</v>
      </c>
      <c r="T89" s="282">
        <f t="shared" si="85"/>
        <v>0</v>
      </c>
      <c r="U89" s="120"/>
      <c r="V89" s="195">
        <f t="shared" ref="V89:V104" si="118">+S89-E89+C89</f>
        <v>0</v>
      </c>
    </row>
    <row r="90" spans="1:24" ht="10.35" customHeight="1" x14ac:dyDescent="0.25"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05"/>
      <c r="M90" s="605"/>
      <c r="N90" s="605"/>
      <c r="O90" s="98"/>
      <c r="P90" s="98"/>
      <c r="Q90" s="98"/>
      <c r="R90" s="98"/>
      <c r="S90" s="98"/>
      <c r="T90" s="98"/>
      <c r="U90" s="22"/>
      <c r="V90" s="195">
        <f t="shared" si="118"/>
        <v>0</v>
      </c>
      <c r="W90" s="122"/>
      <c r="X90" s="122"/>
    </row>
    <row r="91" spans="1:24" ht="10.35" customHeight="1" x14ac:dyDescent="0.25">
      <c r="A91" s="466"/>
      <c r="B91" s="466"/>
      <c r="C91" s="467"/>
      <c r="D91" s="468"/>
      <c r="E91" s="468"/>
      <c r="F91" s="468"/>
      <c r="G91" s="468"/>
      <c r="H91" s="468"/>
      <c r="I91" s="468"/>
      <c r="J91" s="468"/>
      <c r="K91" s="468"/>
      <c r="L91" s="606"/>
      <c r="M91" s="606"/>
      <c r="N91" s="606"/>
      <c r="O91" s="468"/>
      <c r="P91" s="468"/>
      <c r="Q91" s="468"/>
      <c r="R91" s="468"/>
      <c r="S91" s="468"/>
      <c r="T91" s="468"/>
      <c r="U91" s="469"/>
      <c r="V91" s="470"/>
      <c r="W91" s="122"/>
      <c r="X91" s="122"/>
    </row>
    <row r="92" spans="1:24" ht="10.35" customHeight="1" x14ac:dyDescent="0.25"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05"/>
      <c r="M92" s="605"/>
      <c r="N92" s="605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4" s="42" customFormat="1" x14ac:dyDescent="0.25">
      <c r="A93" s="51" t="s">
        <v>237</v>
      </c>
      <c r="B93" s="48" t="s">
        <v>238</v>
      </c>
      <c r="C93" s="292">
        <f>C94</f>
        <v>0</v>
      </c>
      <c r="D93" s="290">
        <f>D94</f>
        <v>0</v>
      </c>
      <c r="E93" s="290">
        <f>E94</f>
        <v>0</v>
      </c>
      <c r="F93" s="290"/>
      <c r="G93" s="290"/>
      <c r="H93" s="290">
        <f>+H94</f>
        <v>0</v>
      </c>
      <c r="I93" s="290">
        <f>+I94</f>
        <v>0</v>
      </c>
      <c r="J93" s="290"/>
      <c r="K93" s="52"/>
      <c r="L93" s="602">
        <f t="shared" ref="L93:L104" si="119">IF(H93&gt;0,H93/C93,0)</f>
        <v>0</v>
      </c>
      <c r="M93" s="602">
        <f t="shared" ref="M93:M104" si="120">IF(I93&gt;0,I93/D93,0)</f>
        <v>0</v>
      </c>
      <c r="N93" s="602">
        <f t="shared" ref="N93:N104" si="121">IF(J93&gt;0,J93/E93,0)</f>
        <v>0</v>
      </c>
      <c r="O93" s="52"/>
      <c r="P93" s="297">
        <f t="shared" ref="P93:P104" si="122">+(D93-C93)*P$10</f>
        <v>0</v>
      </c>
      <c r="Q93" s="297">
        <f t="shared" ref="Q93:Q104" si="123">+(E93-D93)*Q$10</f>
        <v>0</v>
      </c>
      <c r="R93" s="297">
        <f t="shared" ref="R93:R104" si="124">+(F93-E93)*R$10</f>
        <v>0</v>
      </c>
      <c r="S93" s="297">
        <f t="shared" ref="S93:S104" si="125">+P93*P$10+Q93*Q$10+R93*R$10</f>
        <v>0</v>
      </c>
      <c r="T93" s="282">
        <f t="shared" si="85"/>
        <v>0</v>
      </c>
      <c r="U93" s="120"/>
      <c r="V93" s="195">
        <f t="shared" si="118"/>
        <v>0</v>
      </c>
    </row>
    <row r="94" spans="1:24" s="50" customFormat="1" x14ac:dyDescent="0.25">
      <c r="A94" s="45" t="s">
        <v>256</v>
      </c>
      <c r="B94" s="45" t="s">
        <v>383</v>
      </c>
      <c r="C94" s="293">
        <v>0</v>
      </c>
      <c r="D94" s="294">
        <v>0</v>
      </c>
      <c r="E94" s="294">
        <v>0</v>
      </c>
      <c r="F94" s="294">
        <v>0</v>
      </c>
      <c r="G94" s="294"/>
      <c r="H94" s="294"/>
      <c r="I94" s="294"/>
      <c r="J94" s="294"/>
      <c r="K94" s="49"/>
      <c r="L94" s="593">
        <f t="shared" si="119"/>
        <v>0</v>
      </c>
      <c r="M94" s="593">
        <f t="shared" si="120"/>
        <v>0</v>
      </c>
      <c r="N94" s="593">
        <f t="shared" si="121"/>
        <v>0</v>
      </c>
      <c r="O94" s="49"/>
      <c r="P94" s="81">
        <f t="shared" si="122"/>
        <v>0</v>
      </c>
      <c r="Q94" s="81">
        <f t="shared" si="123"/>
        <v>0</v>
      </c>
      <c r="R94" s="81">
        <f t="shared" si="124"/>
        <v>0</v>
      </c>
      <c r="S94" s="81">
        <f t="shared" si="125"/>
        <v>0</v>
      </c>
      <c r="T94" s="281">
        <f t="shared" si="85"/>
        <v>0</v>
      </c>
      <c r="U94" s="120"/>
      <c r="V94" s="195">
        <f t="shared" si="118"/>
        <v>0</v>
      </c>
    </row>
    <row r="95" spans="1:24" s="42" customFormat="1" x14ac:dyDescent="0.25">
      <c r="A95" s="3" t="s">
        <v>278</v>
      </c>
      <c r="B95" s="3" t="s">
        <v>279</v>
      </c>
      <c r="C95" s="193">
        <f>C96+C97+C98</f>
        <v>10000</v>
      </c>
      <c r="D95" s="67">
        <f>+D96+D98</f>
        <v>10000</v>
      </c>
      <c r="E95" s="67">
        <f>+E96+E98</f>
        <v>10000</v>
      </c>
      <c r="F95" s="67">
        <f>+F96+F98</f>
        <v>10000</v>
      </c>
      <c r="G95" s="67"/>
      <c r="H95" s="67">
        <f>+H96+H98</f>
        <v>1038</v>
      </c>
      <c r="I95" s="67">
        <f>+I96+I98</f>
        <v>953352</v>
      </c>
      <c r="J95" s="67">
        <f>+J96+J98</f>
        <v>2927</v>
      </c>
      <c r="K95" s="6"/>
      <c r="L95" s="602">
        <f t="shared" si="119"/>
        <v>0.1038</v>
      </c>
      <c r="M95" s="602">
        <f t="shared" si="120"/>
        <v>95.3352</v>
      </c>
      <c r="N95" s="602">
        <f t="shared" si="121"/>
        <v>0.29270000000000002</v>
      </c>
      <c r="O95" s="6"/>
      <c r="P95" s="271">
        <f t="shared" si="122"/>
        <v>0</v>
      </c>
      <c r="Q95" s="271">
        <f t="shared" si="123"/>
        <v>0</v>
      </c>
      <c r="R95" s="271">
        <f t="shared" si="124"/>
        <v>0</v>
      </c>
      <c r="S95" s="271">
        <f t="shared" si="125"/>
        <v>0</v>
      </c>
      <c r="T95" s="282">
        <f t="shared" si="85"/>
        <v>0</v>
      </c>
      <c r="U95" s="120"/>
      <c r="V95" s="195">
        <f t="shared" si="118"/>
        <v>0</v>
      </c>
    </row>
    <row r="96" spans="1:24" x14ac:dyDescent="0.25">
      <c r="A96" s="45" t="s">
        <v>281</v>
      </c>
      <c r="B96" s="45" t="s">
        <v>384</v>
      </c>
      <c r="C96" s="293">
        <v>0</v>
      </c>
      <c r="D96" s="145">
        <v>0</v>
      </c>
      <c r="E96" s="145">
        <v>0</v>
      </c>
      <c r="F96" s="145">
        <v>0</v>
      </c>
      <c r="G96" s="145"/>
      <c r="H96" s="145">
        <v>0</v>
      </c>
      <c r="I96" s="145">
        <f>+H96</f>
        <v>0</v>
      </c>
      <c r="J96" s="145">
        <v>0</v>
      </c>
      <c r="K96" s="41"/>
      <c r="L96" s="593">
        <f t="shared" si="119"/>
        <v>0</v>
      </c>
      <c r="M96" s="593">
        <f t="shared" si="120"/>
        <v>0</v>
      </c>
      <c r="N96" s="593">
        <f t="shared" si="121"/>
        <v>0</v>
      </c>
      <c r="O96" s="41"/>
      <c r="P96" s="81">
        <f t="shared" si="122"/>
        <v>0</v>
      </c>
      <c r="Q96" s="81">
        <f t="shared" si="123"/>
        <v>0</v>
      </c>
      <c r="R96" s="81">
        <f t="shared" si="124"/>
        <v>0</v>
      </c>
      <c r="S96" s="81">
        <f t="shared" si="125"/>
        <v>0</v>
      </c>
      <c r="T96" s="281">
        <f t="shared" si="85"/>
        <v>0</v>
      </c>
      <c r="U96" s="120"/>
      <c r="V96" s="195">
        <f t="shared" si="118"/>
        <v>0</v>
      </c>
    </row>
    <row r="97" spans="1:22" x14ac:dyDescent="0.25">
      <c r="A97" s="45" t="s">
        <v>292</v>
      </c>
      <c r="B97" s="20" t="s">
        <v>293</v>
      </c>
      <c r="C97" s="293"/>
      <c r="D97" s="145"/>
      <c r="E97" s="145"/>
      <c r="F97" s="145"/>
      <c r="G97" s="145"/>
      <c r="H97" s="145"/>
      <c r="I97" s="145"/>
      <c r="J97" s="145"/>
      <c r="K97" s="41"/>
      <c r="L97" s="593">
        <f t="shared" si="119"/>
        <v>0</v>
      </c>
      <c r="M97" s="593">
        <f t="shared" si="120"/>
        <v>0</v>
      </c>
      <c r="N97" s="593">
        <f t="shared" si="121"/>
        <v>0</v>
      </c>
      <c r="O97" s="41"/>
      <c r="P97" s="81"/>
      <c r="Q97" s="81"/>
      <c r="R97" s="81"/>
      <c r="S97" s="81">
        <f t="shared" si="125"/>
        <v>0</v>
      </c>
      <c r="T97" s="281"/>
      <c r="U97" s="120"/>
      <c r="V97" s="195"/>
    </row>
    <row r="98" spans="1:22" ht="26.4" x14ac:dyDescent="0.25">
      <c r="A98" s="482" t="s">
        <v>454</v>
      </c>
      <c r="B98" s="482" t="s">
        <v>456</v>
      </c>
      <c r="C98" s="117">
        <v>10000</v>
      </c>
      <c r="D98" s="68">
        <v>10000</v>
      </c>
      <c r="E98" s="68">
        <v>10000</v>
      </c>
      <c r="F98" s="68">
        <v>10000</v>
      </c>
      <c r="G98" s="68"/>
      <c r="H98" s="68">
        <f>71+967</f>
        <v>1038</v>
      </c>
      <c r="I98" s="68">
        <f>2042+951310</f>
        <v>953352</v>
      </c>
      <c r="J98" s="68">
        <v>2927</v>
      </c>
      <c r="K98" s="16"/>
      <c r="L98" s="593">
        <f t="shared" si="119"/>
        <v>0.1038</v>
      </c>
      <c r="M98" s="593">
        <f t="shared" si="120"/>
        <v>95.3352</v>
      </c>
      <c r="N98" s="593">
        <f t="shared" si="121"/>
        <v>0.29270000000000002</v>
      </c>
      <c r="O98" s="16"/>
      <c r="P98" s="81">
        <f t="shared" si="122"/>
        <v>0</v>
      </c>
      <c r="Q98" s="81">
        <f t="shared" si="123"/>
        <v>0</v>
      </c>
      <c r="R98" s="81">
        <f t="shared" si="124"/>
        <v>0</v>
      </c>
      <c r="S98" s="81">
        <f t="shared" si="125"/>
        <v>0</v>
      </c>
      <c r="T98" s="281">
        <f t="shared" si="85"/>
        <v>0</v>
      </c>
      <c r="U98" s="120"/>
      <c r="V98" s="195">
        <f t="shared" si="118"/>
        <v>0</v>
      </c>
    </row>
    <row r="99" spans="1:22" s="42" customFormat="1" x14ac:dyDescent="0.25">
      <c r="A99" s="3" t="s">
        <v>314</v>
      </c>
      <c r="B99" s="3" t="s">
        <v>315</v>
      </c>
      <c r="C99" s="193">
        <f>+C100</f>
        <v>0</v>
      </c>
      <c r="D99" s="193">
        <f t="shared" ref="D99:F99" si="126">+D100</f>
        <v>0</v>
      </c>
      <c r="E99" s="193">
        <f t="shared" si="126"/>
        <v>0</v>
      </c>
      <c r="F99" s="193">
        <f t="shared" si="126"/>
        <v>0</v>
      </c>
      <c r="G99" s="67"/>
      <c r="H99" s="193">
        <f t="shared" ref="H99:J99" si="127">+H100</f>
        <v>0</v>
      </c>
      <c r="I99" s="193">
        <f t="shared" si="127"/>
        <v>0</v>
      </c>
      <c r="J99" s="193">
        <f t="shared" si="127"/>
        <v>951310</v>
      </c>
      <c r="K99" s="6"/>
      <c r="L99" s="602"/>
      <c r="M99" s="602"/>
      <c r="N99" s="602"/>
      <c r="O99" s="6"/>
      <c r="P99" s="271"/>
      <c r="Q99" s="271"/>
      <c r="R99" s="271"/>
      <c r="S99" s="271"/>
      <c r="T99" s="282"/>
      <c r="U99" s="120"/>
      <c r="V99" s="195"/>
    </row>
    <row r="100" spans="1:22" x14ac:dyDescent="0.25">
      <c r="A100" s="482" t="s">
        <v>513</v>
      </c>
      <c r="B100" s="482" t="s">
        <v>514</v>
      </c>
      <c r="C100" s="117">
        <v>0</v>
      </c>
      <c r="D100" s="117">
        <v>0</v>
      </c>
      <c r="E100" s="117">
        <v>0</v>
      </c>
      <c r="F100" s="117">
        <v>0</v>
      </c>
      <c r="G100" s="96"/>
      <c r="H100" s="96">
        <v>0</v>
      </c>
      <c r="I100" s="96">
        <v>0</v>
      </c>
      <c r="J100" s="96">
        <v>951310</v>
      </c>
      <c r="K100" s="731"/>
      <c r="L100" s="593"/>
      <c r="M100" s="593"/>
      <c r="N100" s="593"/>
      <c r="O100" s="731"/>
      <c r="P100" s="732"/>
      <c r="Q100" s="732"/>
      <c r="R100" s="732"/>
      <c r="S100" s="732"/>
      <c r="T100" s="281"/>
      <c r="U100" s="120"/>
      <c r="V100" s="195"/>
    </row>
    <row r="101" spans="1:22" s="42" customFormat="1" x14ac:dyDescent="0.25">
      <c r="A101" s="3" t="s">
        <v>327</v>
      </c>
      <c r="B101" s="3" t="s">
        <v>328</v>
      </c>
      <c r="C101" s="193">
        <f>+C102+C103</f>
        <v>154823000</v>
      </c>
      <c r="D101" s="90">
        <f>SUM(D102:D103)</f>
        <v>154823000</v>
      </c>
      <c r="E101" s="90">
        <f>SUM(E102:E103)</f>
        <v>154823000</v>
      </c>
      <c r="F101" s="90">
        <f>SUM(F102)</f>
        <v>154823000</v>
      </c>
      <c r="G101" s="90"/>
      <c r="H101" s="90">
        <f>SUM(H102:H103)</f>
        <v>79130219</v>
      </c>
      <c r="I101" s="90">
        <f>SUM(I102:I103)</f>
        <v>115156375</v>
      </c>
      <c r="J101" s="90">
        <f>+J102</f>
        <v>152412069</v>
      </c>
      <c r="K101" s="32"/>
      <c r="L101" s="602">
        <f t="shared" si="119"/>
        <v>0.51110118651621528</v>
      </c>
      <c r="M101" s="602">
        <f t="shared" si="120"/>
        <v>0.74379371927943527</v>
      </c>
      <c r="N101" s="602">
        <f t="shared" si="121"/>
        <v>0.98442782403131313</v>
      </c>
      <c r="O101" s="32"/>
      <c r="P101" s="298">
        <f t="shared" si="122"/>
        <v>0</v>
      </c>
      <c r="Q101" s="298">
        <f t="shared" si="123"/>
        <v>0</v>
      </c>
      <c r="R101" s="298">
        <f t="shared" si="124"/>
        <v>0</v>
      </c>
      <c r="S101" s="298">
        <f t="shared" si="125"/>
        <v>0</v>
      </c>
      <c r="T101" s="282">
        <f t="shared" si="85"/>
        <v>0</v>
      </c>
      <c r="U101" s="120"/>
      <c r="V101" s="195">
        <f t="shared" si="118"/>
        <v>0</v>
      </c>
    </row>
    <row r="102" spans="1:22" x14ac:dyDescent="0.25">
      <c r="A102" s="44" t="s">
        <v>353</v>
      </c>
      <c r="B102" s="20" t="s">
        <v>380</v>
      </c>
      <c r="C102" s="117">
        <f>+C106</f>
        <v>154823000</v>
      </c>
      <c r="D102" s="68">
        <v>154823000</v>
      </c>
      <c r="E102" s="68">
        <v>154823000</v>
      </c>
      <c r="F102" s="68">
        <v>154823000</v>
      </c>
      <c r="G102" s="68"/>
      <c r="H102" s="68">
        <v>79130219</v>
      </c>
      <c r="I102" s="175">
        <v>115156375</v>
      </c>
      <c r="J102" s="68">
        <v>152412069</v>
      </c>
      <c r="K102" s="16"/>
      <c r="L102" s="593">
        <f t="shared" si="119"/>
        <v>0.51110118651621528</v>
      </c>
      <c r="M102" s="593">
        <f t="shared" si="120"/>
        <v>0.74379371927943527</v>
      </c>
      <c r="N102" s="593">
        <f t="shared" si="121"/>
        <v>0.98442782403131313</v>
      </c>
      <c r="O102" s="16"/>
      <c r="P102" s="81">
        <f t="shared" si="122"/>
        <v>0</v>
      </c>
      <c r="Q102" s="81">
        <f t="shared" si="123"/>
        <v>0</v>
      </c>
      <c r="R102" s="81">
        <f t="shared" si="124"/>
        <v>0</v>
      </c>
      <c r="S102" s="81">
        <f t="shared" si="125"/>
        <v>0</v>
      </c>
      <c r="T102" s="281">
        <f t="shared" ref="T102:T104" si="128">IF(C102=0,0,+S102/C102)</f>
        <v>0</v>
      </c>
      <c r="U102" s="120"/>
      <c r="V102" s="195">
        <f t="shared" si="118"/>
        <v>0</v>
      </c>
    </row>
    <row r="103" spans="1:22" ht="14.4" x14ac:dyDescent="0.3">
      <c r="A103" s="20" t="s">
        <v>341</v>
      </c>
      <c r="B103" s="20" t="s">
        <v>342</v>
      </c>
      <c r="C103" s="712">
        <v>0</v>
      </c>
      <c r="D103" s="68">
        <v>0</v>
      </c>
      <c r="E103" s="68">
        <v>0</v>
      </c>
      <c r="F103" s="68">
        <v>0</v>
      </c>
      <c r="G103" s="68"/>
      <c r="H103" s="68">
        <v>0</v>
      </c>
      <c r="I103" s="68">
        <v>0</v>
      </c>
      <c r="J103" s="68">
        <v>0</v>
      </c>
      <c r="K103" s="16"/>
      <c r="L103" s="593">
        <f t="shared" si="119"/>
        <v>0</v>
      </c>
      <c r="M103" s="593">
        <f t="shared" si="120"/>
        <v>0</v>
      </c>
      <c r="N103" s="593">
        <f t="shared" si="121"/>
        <v>0</v>
      </c>
      <c r="O103" s="16"/>
      <c r="P103" s="81">
        <f t="shared" si="122"/>
        <v>0</v>
      </c>
      <c r="Q103" s="81">
        <f t="shared" si="123"/>
        <v>0</v>
      </c>
      <c r="R103" s="81">
        <f t="shared" si="124"/>
        <v>0</v>
      </c>
      <c r="S103" s="81">
        <f t="shared" si="125"/>
        <v>0</v>
      </c>
      <c r="T103" s="281">
        <f t="shared" si="128"/>
        <v>0</v>
      </c>
      <c r="U103" s="120"/>
      <c r="V103" s="195">
        <f t="shared" si="118"/>
        <v>0</v>
      </c>
    </row>
    <row r="104" spans="1:22" ht="18" customHeight="1" x14ac:dyDescent="0.25">
      <c r="A104" s="5"/>
      <c r="B104" s="471" t="s">
        <v>370</v>
      </c>
      <c r="C104" s="484">
        <f>+C93+C95+C99+C101</f>
        <v>154833000</v>
      </c>
      <c r="D104" s="484">
        <f t="shared" ref="D104:F104" si="129">+D93+D95+D99+D101</f>
        <v>154833000</v>
      </c>
      <c r="E104" s="484">
        <f t="shared" si="129"/>
        <v>154833000</v>
      </c>
      <c r="F104" s="484">
        <f t="shared" si="129"/>
        <v>154833000</v>
      </c>
      <c r="G104" s="484"/>
      <c r="H104" s="484">
        <f t="shared" ref="H104:J104" si="130">+H93+H95+H99+H101</f>
        <v>79131257</v>
      </c>
      <c r="I104" s="484">
        <f t="shared" si="130"/>
        <v>116109727</v>
      </c>
      <c r="J104" s="484">
        <f t="shared" si="130"/>
        <v>153366306</v>
      </c>
      <c r="K104" s="10"/>
      <c r="L104" s="602">
        <f t="shared" si="119"/>
        <v>0.51107488067789164</v>
      </c>
      <c r="M104" s="602">
        <f t="shared" si="120"/>
        <v>0.74990297288045826</v>
      </c>
      <c r="N104" s="602">
        <f t="shared" si="121"/>
        <v>0.99052725194241542</v>
      </c>
      <c r="O104" s="10"/>
      <c r="P104" s="483">
        <f t="shared" si="122"/>
        <v>0</v>
      </c>
      <c r="Q104" s="483">
        <f t="shared" si="123"/>
        <v>0</v>
      </c>
      <c r="R104" s="483">
        <f t="shared" si="124"/>
        <v>0</v>
      </c>
      <c r="S104" s="483">
        <f t="shared" si="125"/>
        <v>0</v>
      </c>
      <c r="T104" s="282">
        <f t="shared" si="128"/>
        <v>0</v>
      </c>
      <c r="U104" s="120"/>
      <c r="V104" s="195">
        <f t="shared" si="118"/>
        <v>0</v>
      </c>
    </row>
    <row r="105" spans="1:22" x14ac:dyDescent="0.25">
      <c r="C105" s="98"/>
      <c r="D105" s="98"/>
      <c r="E105" s="98"/>
      <c r="F105" s="98"/>
      <c r="G105" s="98"/>
      <c r="H105" s="98"/>
      <c r="I105" s="98"/>
      <c r="J105" s="98"/>
      <c r="L105" s="603"/>
      <c r="M105" s="603"/>
      <c r="N105" s="603"/>
      <c r="P105" s="276"/>
      <c r="Q105" s="276"/>
      <c r="R105" s="276"/>
      <c r="S105" s="276"/>
      <c r="T105" s="122"/>
      <c r="U105" s="295"/>
    </row>
    <row r="106" spans="1:22" x14ac:dyDescent="0.25">
      <c r="C106" s="98">
        <f>+C89-C93-C95-C103</f>
        <v>154823000</v>
      </c>
      <c r="D106" s="98"/>
      <c r="E106" s="98"/>
      <c r="F106" s="98"/>
      <c r="G106" s="98"/>
      <c r="H106" s="98"/>
      <c r="I106" s="98"/>
      <c r="J106" s="98"/>
      <c r="L106" s="607"/>
      <c r="M106" s="607"/>
      <c r="N106" s="607"/>
      <c r="P106" s="276"/>
      <c r="Q106" s="276"/>
      <c r="R106" s="276"/>
      <c r="S106" s="276"/>
      <c r="T106" s="122"/>
      <c r="U106" s="295"/>
    </row>
    <row r="107" spans="1:22" x14ac:dyDescent="0.25">
      <c r="L107" s="605"/>
      <c r="M107" s="605"/>
      <c r="N107" s="605"/>
      <c r="P107" s="276"/>
      <c r="Q107" s="276"/>
      <c r="R107" s="276"/>
      <c r="S107" s="276"/>
      <c r="U107" s="9"/>
    </row>
    <row r="108" spans="1:22" x14ac:dyDescent="0.25">
      <c r="L108" s="605"/>
      <c r="M108" s="605"/>
      <c r="N108" s="605"/>
      <c r="P108" s="276"/>
      <c r="Q108" s="276"/>
      <c r="R108" s="276"/>
      <c r="S108" s="276"/>
      <c r="U108" s="9"/>
    </row>
    <row r="109" spans="1:22" x14ac:dyDescent="0.25">
      <c r="A109" s="560"/>
      <c r="B109" s="59" t="s">
        <v>466</v>
      </c>
      <c r="C109" s="567" t="e">
        <f>+#REF!</f>
        <v>#REF!</v>
      </c>
      <c r="D109" s="98" t="e">
        <f>+C109-C106</f>
        <v>#REF!</v>
      </c>
      <c r="L109" s="605"/>
      <c r="M109" s="605"/>
      <c r="N109" s="605"/>
      <c r="P109" s="276"/>
      <c r="Q109" s="276"/>
      <c r="R109" s="276"/>
      <c r="S109" s="276"/>
      <c r="U109" s="9"/>
    </row>
    <row r="110" spans="1:22" x14ac:dyDescent="0.25">
      <c r="L110" s="605"/>
      <c r="M110" s="605"/>
      <c r="N110" s="605"/>
      <c r="P110" s="276"/>
      <c r="Q110" s="276"/>
      <c r="R110" s="276"/>
      <c r="S110" s="276"/>
      <c r="U110" s="9"/>
    </row>
    <row r="111" spans="1:22" x14ac:dyDescent="0.25">
      <c r="L111" s="605"/>
      <c r="M111" s="605"/>
      <c r="N111" s="605"/>
      <c r="P111" s="276"/>
      <c r="Q111" s="276"/>
      <c r="R111" s="276"/>
      <c r="S111" s="276"/>
    </row>
    <row r="112" spans="1:22" x14ac:dyDescent="0.25">
      <c r="L112" s="605"/>
      <c r="M112" s="605"/>
      <c r="N112" s="605"/>
      <c r="P112" s="276"/>
      <c r="Q112" s="276"/>
      <c r="R112" s="276"/>
      <c r="S112" s="276"/>
    </row>
    <row r="113" spans="12:21" x14ac:dyDescent="0.25">
      <c r="L113" s="605"/>
      <c r="M113" s="605"/>
      <c r="N113" s="605"/>
      <c r="P113" s="276"/>
      <c r="Q113" s="276"/>
      <c r="R113" s="276"/>
      <c r="S113" s="276"/>
      <c r="U113" s="2"/>
    </row>
    <row r="114" spans="12:21" x14ac:dyDescent="0.25">
      <c r="P114" s="276"/>
      <c r="Q114" s="276"/>
      <c r="R114" s="276"/>
      <c r="S114" s="276"/>
    </row>
  </sheetData>
  <mergeCells count="5">
    <mergeCell ref="C9:F9"/>
    <mergeCell ref="H9:N9"/>
    <mergeCell ref="P9:T9"/>
    <mergeCell ref="H10:J10"/>
    <mergeCell ref="L10:N10"/>
  </mergeCells>
  <phoneticPr fontId="3" type="noConversion"/>
  <printOptions horizontalCentered="1"/>
  <pageMargins left="0" right="0" top="0.59055118110236227" bottom="0" header="0.51181102362204722" footer="0.51181102362204722"/>
  <pageSetup paperSize="9" scale="35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13"/>
  <sheetViews>
    <sheetView zoomScaleNormal="100" zoomScaleSheetLayoutView="75" workbookViewId="0">
      <selection activeCell="R10" sqref="R10"/>
    </sheetView>
  </sheetViews>
  <sheetFormatPr defaultRowHeight="13.2" x14ac:dyDescent="0.25"/>
  <cols>
    <col min="1" max="1" width="6.6640625" style="13" bestFit="1" customWidth="1"/>
    <col min="2" max="2" width="53.44140625" style="13" customWidth="1"/>
    <col min="3" max="5" width="15.5546875" style="13" customWidth="1"/>
    <col min="6" max="6" width="14.77734375" style="13" customWidth="1"/>
    <col min="7" max="7" width="1.21875" style="13" customWidth="1"/>
    <col min="8" max="9" width="15.5546875" style="13" customWidth="1"/>
    <col min="10" max="10" width="15.33203125" style="13" customWidth="1"/>
    <col min="11" max="11" width="0.6640625" style="13" customWidth="1"/>
    <col min="12" max="12" width="12.77734375" style="13" customWidth="1"/>
    <col min="13" max="13" width="12.44140625" style="13" customWidth="1"/>
    <col min="14" max="14" width="12.109375" style="13" customWidth="1"/>
    <col min="15" max="15" width="0.6640625" style="13" customWidth="1"/>
    <col min="16" max="17" width="14.5546875" style="13" customWidth="1"/>
    <col min="18" max="18" width="14.88671875" style="13" customWidth="1"/>
    <col min="19" max="19" width="15.5546875" style="13" customWidth="1"/>
    <col min="21" max="21" width="0.6640625" customWidth="1"/>
    <col min="22" max="22" width="3.44140625" customWidth="1"/>
  </cols>
  <sheetData>
    <row r="1" spans="1:26" ht="24.6" x14ac:dyDescent="0.4">
      <c r="A1" s="299" t="s">
        <v>418</v>
      </c>
      <c r="B1" s="227"/>
      <c r="C1" s="227"/>
      <c r="D1" s="227"/>
      <c r="E1" s="718"/>
      <c r="F1" s="227"/>
      <c r="G1" s="226"/>
      <c r="H1" s="225"/>
      <c r="I1" s="225"/>
      <c r="J1" s="224" t="str">
        <f>+'1. Sülysáp összesen'!J1</f>
        <v>2021. ÉVI KÖLTSÉGVETÉS MÓDOSÍTÁSA</v>
      </c>
      <c r="K1" s="229"/>
      <c r="L1" s="229"/>
      <c r="M1" s="225"/>
      <c r="N1" s="225"/>
      <c r="O1" s="229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x14ac:dyDescent="0.25">
      <c r="A2" s="122"/>
      <c r="B2" s="122"/>
      <c r="C2" s="554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268"/>
      <c r="B4" s="267"/>
      <c r="C4" s="88"/>
      <c r="D4" s="88"/>
      <c r="E4" s="88"/>
      <c r="F4" s="88"/>
      <c r="G4" s="88"/>
      <c r="H4" s="88"/>
      <c r="I4" s="88"/>
      <c r="J4" s="88"/>
      <c r="K4" s="88"/>
      <c r="L4" s="267"/>
      <c r="M4" s="267"/>
      <c r="N4" s="267"/>
      <c r="O4" s="88"/>
      <c r="P4" s="88"/>
      <c r="Q4" s="88"/>
      <c r="R4" s="88"/>
      <c r="S4" s="88"/>
      <c r="T4" s="88"/>
      <c r="U4" s="267"/>
      <c r="V4" s="253"/>
      <c r="W4" s="122"/>
      <c r="X4" s="122"/>
    </row>
    <row r="5" spans="1:26" ht="20.100000000000001" customHeight="1" x14ac:dyDescent="0.3">
      <c r="A5" s="249"/>
      <c r="B5" s="249" t="s">
        <v>371</v>
      </c>
      <c r="C5" s="250">
        <f>+C89</f>
        <v>30373000</v>
      </c>
      <c r="D5" s="250">
        <f t="shared" ref="D5:E5" si="0">+D89</f>
        <v>30373000</v>
      </c>
      <c r="E5" s="250">
        <f t="shared" si="0"/>
        <v>31573000</v>
      </c>
      <c r="F5" s="250">
        <f>+F89</f>
        <v>35849514</v>
      </c>
      <c r="G5" s="250"/>
      <c r="H5" s="250">
        <f>+H89</f>
        <v>12124842</v>
      </c>
      <c r="I5" s="250">
        <f t="shared" ref="I5:J5" si="1">+I89</f>
        <v>22038072</v>
      </c>
      <c r="J5" s="250">
        <f t="shared" si="1"/>
        <v>34036296</v>
      </c>
      <c r="K5" s="89"/>
      <c r="L5" s="641">
        <f t="shared" ref="L5:N6" si="2">IF(H5&gt;0,H5/C5,0)</f>
        <v>0.39919803773087942</v>
      </c>
      <c r="M5" s="641">
        <f t="shared" si="2"/>
        <v>0.7255810094491818</v>
      </c>
      <c r="N5" s="641">
        <f t="shared" si="2"/>
        <v>1.0780190669242706</v>
      </c>
      <c r="O5" s="89"/>
      <c r="P5" s="250">
        <f>+P89</f>
        <v>0</v>
      </c>
      <c r="Q5" s="250">
        <f>+Q89</f>
        <v>1200000</v>
      </c>
      <c r="R5" s="250">
        <f>+R89</f>
        <v>0</v>
      </c>
      <c r="S5" s="250">
        <f>+S89</f>
        <v>1200000</v>
      </c>
      <c r="T5" s="133">
        <f>IF(C5=0,0,+S5/C5)</f>
        <v>3.9508774240279196E-2</v>
      </c>
      <c r="U5" s="118"/>
      <c r="V5" s="198">
        <f t="shared" ref="V5:V7" si="3">+S5-E5+C5</f>
        <v>0</v>
      </c>
      <c r="W5" s="122"/>
      <c r="X5" s="122"/>
    </row>
    <row r="6" spans="1:26" ht="20.100000000000001" customHeight="1" x14ac:dyDescent="0.3">
      <c r="A6" s="251"/>
      <c r="B6" s="251" t="s">
        <v>370</v>
      </c>
      <c r="C6" s="252">
        <f>+C106</f>
        <v>30373000</v>
      </c>
      <c r="D6" s="252">
        <f t="shared" ref="D6:J6" si="4">+D106</f>
        <v>30373000</v>
      </c>
      <c r="E6" s="252">
        <f t="shared" si="4"/>
        <v>31573000</v>
      </c>
      <c r="F6" s="252">
        <f t="shared" si="4"/>
        <v>35849514</v>
      </c>
      <c r="G6" s="252"/>
      <c r="H6" s="252">
        <f t="shared" si="4"/>
        <v>13883937</v>
      </c>
      <c r="I6" s="252">
        <f t="shared" si="4"/>
        <v>35819767</v>
      </c>
      <c r="J6" s="252">
        <f t="shared" si="4"/>
        <v>41130115</v>
      </c>
      <c r="K6" s="67"/>
      <c r="L6" s="641">
        <f t="shared" si="2"/>
        <v>0.45711444374938265</v>
      </c>
      <c r="M6" s="641">
        <f t="shared" si="2"/>
        <v>1.1793292397853357</v>
      </c>
      <c r="N6" s="641">
        <f t="shared" si="2"/>
        <v>1.3026989833085232</v>
      </c>
      <c r="O6" s="67"/>
      <c r="P6" s="252">
        <f>+P106</f>
        <v>0</v>
      </c>
      <c r="Q6" s="252">
        <f t="shared" ref="Q6:S6" si="5">+Q106</f>
        <v>1200000</v>
      </c>
      <c r="R6" s="252">
        <f t="shared" si="5"/>
        <v>0</v>
      </c>
      <c r="S6" s="252">
        <f t="shared" si="5"/>
        <v>1200000</v>
      </c>
      <c r="T6" s="31">
        <f>IF(C6=0,0,+S6/C6)</f>
        <v>3.9508774240279196E-2</v>
      </c>
      <c r="U6" s="118"/>
      <c r="V6" s="198">
        <f t="shared" si="3"/>
        <v>0</v>
      </c>
      <c r="W6" s="122"/>
      <c r="X6" s="122"/>
    </row>
    <row r="7" spans="1:26" ht="20.100000000000001" customHeight="1" x14ac:dyDescent="0.3">
      <c r="A7" s="251"/>
      <c r="B7" s="251" t="s">
        <v>402</v>
      </c>
      <c r="C7" s="252">
        <f>+C6-C5</f>
        <v>0</v>
      </c>
      <c r="D7" s="252">
        <f t="shared" ref="D7:H7" si="6">+D6-D5</f>
        <v>0</v>
      </c>
      <c r="E7" s="252">
        <f t="shared" si="6"/>
        <v>0</v>
      </c>
      <c r="F7" s="252">
        <f t="shared" si="6"/>
        <v>0</v>
      </c>
      <c r="G7" s="252"/>
      <c r="H7" s="252">
        <f t="shared" si="6"/>
        <v>1759095</v>
      </c>
      <c r="I7" s="252">
        <f>+I6-I5</f>
        <v>13781695</v>
      </c>
      <c r="J7" s="252">
        <f t="shared" ref="J7" si="7">+J6-J5</f>
        <v>7093819</v>
      </c>
      <c r="K7" s="67"/>
      <c r="L7" s="641"/>
      <c r="M7" s="641"/>
      <c r="N7" s="641"/>
      <c r="O7" s="67"/>
      <c r="P7" s="252">
        <f t="shared" ref="P7:S7" si="8">+P6-P5</f>
        <v>0</v>
      </c>
      <c r="Q7" s="252">
        <f t="shared" si="8"/>
        <v>0</v>
      </c>
      <c r="R7" s="252">
        <f t="shared" si="8"/>
        <v>0</v>
      </c>
      <c r="S7" s="252">
        <f t="shared" si="8"/>
        <v>0</v>
      </c>
      <c r="T7" s="31">
        <f>IF(C7=0,0,+S7/C7)</f>
        <v>0</v>
      </c>
      <c r="U7" s="118"/>
      <c r="V7" s="198">
        <f t="shared" si="3"/>
        <v>0</v>
      </c>
      <c r="W7" s="122"/>
      <c r="X7" s="122"/>
    </row>
    <row r="8" spans="1:26" x14ac:dyDescent="0.25">
      <c r="A8" s="235"/>
      <c r="B8" s="236"/>
      <c r="C8" s="611"/>
      <c r="D8" s="612"/>
      <c r="E8" s="612"/>
      <c r="F8" s="612"/>
      <c r="G8" s="613"/>
      <c r="H8" s="613"/>
      <c r="I8" s="613"/>
      <c r="J8" s="613"/>
      <c r="K8" s="613"/>
      <c r="L8" s="137"/>
      <c r="M8" s="137"/>
      <c r="N8" s="137"/>
      <c r="O8" s="94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785" t="s">
        <v>401</v>
      </c>
      <c r="D9" s="793"/>
      <c r="E9" s="793"/>
      <c r="F9" s="794"/>
      <c r="G9" s="154"/>
      <c r="H9" s="785" t="s">
        <v>400</v>
      </c>
      <c r="I9" s="793"/>
      <c r="J9" s="793"/>
      <c r="K9" s="793"/>
      <c r="L9" s="793"/>
      <c r="M9" s="793"/>
      <c r="N9" s="794"/>
      <c r="O9" s="154"/>
      <c r="P9" s="785" t="s">
        <v>397</v>
      </c>
      <c r="Q9" s="793"/>
      <c r="R9" s="793"/>
      <c r="S9" s="793"/>
      <c r="T9" s="794"/>
      <c r="U9" s="199"/>
      <c r="V9" s="195"/>
      <c r="W9" s="122"/>
      <c r="X9" s="122"/>
    </row>
    <row r="10" spans="1:26" x14ac:dyDescent="0.25">
      <c r="A10" s="268"/>
      <c r="B10" s="267"/>
      <c r="C10" s="233"/>
      <c r="D10" s="88"/>
      <c r="E10" s="88"/>
      <c r="F10" s="234"/>
      <c r="G10" s="134"/>
      <c r="H10" s="782" t="s">
        <v>413</v>
      </c>
      <c r="I10" s="795"/>
      <c r="J10" s="796"/>
      <c r="K10" s="134"/>
      <c r="L10" s="782" t="s">
        <v>412</v>
      </c>
      <c r="M10" s="795"/>
      <c r="N10" s="796"/>
      <c r="O10" s="134"/>
      <c r="P10" s="128">
        <f>+' 2. Önk. Bevételek'!P8</f>
        <v>1</v>
      </c>
      <c r="Q10" s="128">
        <f>+' 2. Önk. Bevételek'!Q8</f>
        <v>1</v>
      </c>
      <c r="R10" s="128"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6" ht="63.6" customHeight="1" x14ac:dyDescent="0.25">
      <c r="A11" s="27" t="s">
        <v>366</v>
      </c>
      <c r="B11" s="27" t="s">
        <v>364</v>
      </c>
      <c r="C11" s="520" t="s">
        <v>485</v>
      </c>
      <c r="D11" s="358" t="s">
        <v>486</v>
      </c>
      <c r="E11" s="358" t="s">
        <v>487</v>
      </c>
      <c r="F11" s="521" t="s">
        <v>488</v>
      </c>
      <c r="G11" s="358"/>
      <c r="H11" s="494" t="s">
        <v>498</v>
      </c>
      <c r="I11" s="359" t="s">
        <v>499</v>
      </c>
      <c r="J11" s="359" t="s">
        <v>500</v>
      </c>
      <c r="K11" s="358"/>
      <c r="L11" s="360" t="s">
        <v>501</v>
      </c>
      <c r="M11" s="360" t="s">
        <v>502</v>
      </c>
      <c r="N11" s="495" t="s">
        <v>503</v>
      </c>
      <c r="O11" s="358"/>
      <c r="P11" s="494" t="s">
        <v>495</v>
      </c>
      <c r="Q11" s="359" t="s">
        <v>496</v>
      </c>
      <c r="R11" s="359" t="s">
        <v>497</v>
      </c>
      <c r="S11" s="359" t="s">
        <v>398</v>
      </c>
      <c r="T11" s="495" t="s">
        <v>399</v>
      </c>
      <c r="U11" s="28"/>
      <c r="V11" s="132" t="s">
        <v>403</v>
      </c>
      <c r="W11" s="122"/>
      <c r="X11" s="122"/>
    </row>
    <row r="12" spans="1:26" ht="12.75" customHeight="1" x14ac:dyDescent="0.25">
      <c r="A12" s="14"/>
      <c r="B12" s="20"/>
      <c r="C12" s="221"/>
      <c r="D12" s="221"/>
      <c r="E12" s="221"/>
      <c r="F12" s="221"/>
      <c r="G12" s="221"/>
      <c r="H12" s="221"/>
      <c r="I12" s="221"/>
      <c r="J12" s="221"/>
      <c r="K12" s="221"/>
      <c r="L12" s="136"/>
      <c r="M12" s="136"/>
      <c r="N12" s="136"/>
      <c r="O12" s="221"/>
      <c r="P12" s="221"/>
      <c r="Q12" s="221"/>
      <c r="R12" s="221"/>
      <c r="S12" s="221"/>
    </row>
    <row r="13" spans="1:26" ht="12.75" customHeight="1" x14ac:dyDescent="0.25">
      <c r="A13" s="7" t="s">
        <v>0</v>
      </c>
      <c r="B13" s="5" t="s">
        <v>3</v>
      </c>
      <c r="C13" s="216">
        <f>SUM(C14:C28)</f>
        <v>17395000</v>
      </c>
      <c r="D13" s="216">
        <f t="shared" ref="D13:J13" si="9">SUM(D14:D28)</f>
        <v>17395000</v>
      </c>
      <c r="E13" s="216">
        <f t="shared" si="9"/>
        <v>17463610</v>
      </c>
      <c r="F13" s="216">
        <f t="shared" si="9"/>
        <v>17463610</v>
      </c>
      <c r="G13" s="216"/>
      <c r="H13" s="216">
        <f t="shared" si="9"/>
        <v>8277795</v>
      </c>
      <c r="I13" s="216">
        <f t="shared" si="9"/>
        <v>12661664</v>
      </c>
      <c r="J13" s="216">
        <f t="shared" si="9"/>
        <v>16890474</v>
      </c>
      <c r="K13" s="216"/>
      <c r="L13" s="85">
        <f t="shared" ref="L13:L28" si="10">IF(H13&gt;0,H13/C13,0)</f>
        <v>0.4758720896809428</v>
      </c>
      <c r="M13" s="85">
        <f t="shared" ref="M13:M28" si="11">IF(I13&gt;0,I13/D13,0)</f>
        <v>0.72789100316182809</v>
      </c>
      <c r="N13" s="85">
        <f t="shared" ref="N13:N28" si="12">IF(J13&gt;0,J13/E13,0)</f>
        <v>0.96718112692621971</v>
      </c>
      <c r="O13" s="216"/>
      <c r="P13" s="216">
        <f t="shared" ref="P13:P14" si="13">+(D13-C13)*P$10</f>
        <v>0</v>
      </c>
      <c r="Q13" s="216">
        <f t="shared" ref="Q13:Q14" si="14">+(E13-D13)*Q$10</f>
        <v>68610</v>
      </c>
      <c r="R13" s="216">
        <f t="shared" ref="R13:R14" si="15">+(F13-E13)*R$10</f>
        <v>0</v>
      </c>
      <c r="S13" s="216">
        <f>+P13*P$10+Q13*Q$10+R13*R$10</f>
        <v>68610</v>
      </c>
      <c r="T13" s="281">
        <f>IF(C13=0,0,+S13/C13)</f>
        <v>3.9442368496694453E-3</v>
      </c>
      <c r="U13" s="120"/>
      <c r="V13" s="195">
        <f>+S13-E13+C13</f>
        <v>0</v>
      </c>
    </row>
    <row r="14" spans="1:26" ht="12.75" customHeight="1" x14ac:dyDescent="0.25">
      <c r="A14" s="14" t="s">
        <v>1</v>
      </c>
      <c r="B14" s="20"/>
      <c r="C14" s="221"/>
      <c r="D14" s="221"/>
      <c r="E14" s="221"/>
      <c r="F14" s="221"/>
      <c r="G14" s="221"/>
      <c r="H14" s="221"/>
      <c r="I14" s="221"/>
      <c r="J14" s="221"/>
      <c r="K14" s="221"/>
      <c r="L14" s="136">
        <f t="shared" si="10"/>
        <v>0</v>
      </c>
      <c r="M14" s="136">
        <f t="shared" si="11"/>
        <v>0</v>
      </c>
      <c r="N14" s="136">
        <f t="shared" si="12"/>
        <v>0</v>
      </c>
      <c r="O14" s="221"/>
      <c r="P14" s="302">
        <f t="shared" si="13"/>
        <v>0</v>
      </c>
      <c r="Q14" s="302">
        <f t="shared" si="14"/>
        <v>0</v>
      </c>
      <c r="R14" s="302">
        <f t="shared" si="15"/>
        <v>0</v>
      </c>
      <c r="S14" s="302">
        <f t="shared" ref="S14:S77" si="16">+P14*P$10+Q14*Q$10+R14*R$10</f>
        <v>0</v>
      </c>
      <c r="T14" s="281">
        <f>IF(C14=0,0,+S14/C14)</f>
        <v>0</v>
      </c>
      <c r="U14" s="120"/>
      <c r="V14" s="195">
        <f>+S14-E14+C14</f>
        <v>0</v>
      </c>
    </row>
    <row r="15" spans="1:26" ht="12.75" customHeight="1" x14ac:dyDescent="0.25">
      <c r="A15" s="14" t="s">
        <v>2</v>
      </c>
      <c r="B15" s="482" t="s">
        <v>356</v>
      </c>
      <c r="C15" s="221">
        <v>16893000</v>
      </c>
      <c r="D15" s="221">
        <v>16815714</v>
      </c>
      <c r="E15" s="221">
        <v>16815714</v>
      </c>
      <c r="F15" s="221">
        <v>16230961</v>
      </c>
      <c r="G15" s="221"/>
      <c r="H15" s="221">
        <v>8071792</v>
      </c>
      <c r="I15" s="221">
        <v>12132544</v>
      </c>
      <c r="J15" s="221">
        <v>15742314</v>
      </c>
      <c r="K15" s="221"/>
      <c r="L15" s="137">
        <f t="shared" si="10"/>
        <v>0.4778187414905582</v>
      </c>
      <c r="M15" s="137">
        <f t="shared" si="11"/>
        <v>0.72150037756350993</v>
      </c>
      <c r="N15" s="137">
        <f t="shared" si="12"/>
        <v>0.93616684965027352</v>
      </c>
      <c r="O15" s="221"/>
      <c r="P15" s="302">
        <f t="shared" ref="P15:P23" si="17">+(D15-C15)*P$10</f>
        <v>-77286</v>
      </c>
      <c r="Q15" s="302">
        <f t="shared" ref="Q15:Q23" si="18">+(E15-D15)*Q$10</f>
        <v>0</v>
      </c>
      <c r="R15" s="302">
        <f t="shared" ref="R15:R23" si="19">+(F15-E15)*R$10</f>
        <v>0</v>
      </c>
      <c r="S15" s="302">
        <f t="shared" si="16"/>
        <v>-77286</v>
      </c>
      <c r="T15" s="281">
        <f t="shared" ref="T15:T23" si="20">IF(C15=0,0,+S15/C15)</f>
        <v>-4.5750310779612861E-3</v>
      </c>
      <c r="U15" s="120"/>
      <c r="V15" s="195">
        <f t="shared" ref="V15:V23" si="21">+S15-E15+C15</f>
        <v>0</v>
      </c>
    </row>
    <row r="16" spans="1:26" ht="28.8" customHeight="1" x14ac:dyDescent="0.25">
      <c r="A16" s="482" t="s">
        <v>507</v>
      </c>
      <c r="B16" s="482" t="s">
        <v>508</v>
      </c>
      <c r="C16" s="221"/>
      <c r="D16" s="221">
        <f>77286+0</f>
        <v>77286</v>
      </c>
      <c r="E16" s="221">
        <v>77286</v>
      </c>
      <c r="F16" s="221">
        <v>411407</v>
      </c>
      <c r="G16" s="221"/>
      <c r="H16" s="221">
        <v>77286</v>
      </c>
      <c r="I16" s="221">
        <v>77286</v>
      </c>
      <c r="J16" s="221">
        <v>411407</v>
      </c>
      <c r="K16" s="221"/>
      <c r="L16" s="136" t="e">
        <f t="shared" si="10"/>
        <v>#DIV/0!</v>
      </c>
      <c r="M16" s="136">
        <f t="shared" si="11"/>
        <v>1</v>
      </c>
      <c r="N16" s="136">
        <f t="shared" si="12"/>
        <v>5.3231762544315915</v>
      </c>
      <c r="O16" s="221"/>
      <c r="P16" s="302">
        <f t="shared" si="17"/>
        <v>77286</v>
      </c>
      <c r="Q16" s="302">
        <f t="shared" si="18"/>
        <v>0</v>
      </c>
      <c r="R16" s="302">
        <f t="shared" si="19"/>
        <v>0</v>
      </c>
      <c r="S16" s="302">
        <f t="shared" si="16"/>
        <v>77286</v>
      </c>
      <c r="T16" s="281">
        <f t="shared" si="20"/>
        <v>0</v>
      </c>
      <c r="U16" s="120"/>
      <c r="V16" s="195">
        <f t="shared" si="21"/>
        <v>0</v>
      </c>
    </row>
    <row r="17" spans="1:22" ht="12.75" customHeight="1" x14ac:dyDescent="0.25">
      <c r="A17" s="14" t="s">
        <v>11</v>
      </c>
      <c r="B17" s="20" t="s">
        <v>4</v>
      </c>
      <c r="C17" s="221"/>
      <c r="D17" s="221">
        <v>0</v>
      </c>
      <c r="E17" s="221"/>
      <c r="F17" s="221"/>
      <c r="G17" s="221"/>
      <c r="H17" s="221"/>
      <c r="I17" s="221"/>
      <c r="J17" s="221"/>
      <c r="K17" s="221"/>
      <c r="L17" s="136">
        <f t="shared" si="10"/>
        <v>0</v>
      </c>
      <c r="M17" s="136">
        <f t="shared" si="11"/>
        <v>0</v>
      </c>
      <c r="N17" s="136">
        <f t="shared" si="12"/>
        <v>0</v>
      </c>
      <c r="O17" s="221"/>
      <c r="P17" s="302">
        <f t="shared" si="17"/>
        <v>0</v>
      </c>
      <c r="Q17" s="302">
        <f t="shared" si="18"/>
        <v>0</v>
      </c>
      <c r="R17" s="302">
        <f t="shared" si="19"/>
        <v>0</v>
      </c>
      <c r="S17" s="302">
        <f t="shared" si="16"/>
        <v>0</v>
      </c>
      <c r="T17" s="281">
        <f t="shared" si="20"/>
        <v>0</v>
      </c>
      <c r="U17" s="120"/>
      <c r="V17" s="195">
        <f t="shared" si="21"/>
        <v>0</v>
      </c>
    </row>
    <row r="18" spans="1:22" ht="12.75" customHeight="1" x14ac:dyDescent="0.25">
      <c r="A18" s="529" t="s">
        <v>376</v>
      </c>
      <c r="B18" s="20" t="s">
        <v>5</v>
      </c>
      <c r="C18" s="221"/>
      <c r="D18" s="221"/>
      <c r="E18" s="221"/>
      <c r="F18" s="221"/>
      <c r="G18" s="221"/>
      <c r="H18" s="221"/>
      <c r="I18" s="221"/>
      <c r="J18" s="221"/>
      <c r="K18" s="221"/>
      <c r="L18" s="136">
        <f t="shared" si="10"/>
        <v>0</v>
      </c>
      <c r="M18" s="136">
        <f t="shared" si="11"/>
        <v>0</v>
      </c>
      <c r="N18" s="136">
        <f t="shared" si="12"/>
        <v>0</v>
      </c>
      <c r="O18" s="221"/>
      <c r="P18" s="302">
        <f t="shared" si="17"/>
        <v>0</v>
      </c>
      <c r="Q18" s="302">
        <f t="shared" si="18"/>
        <v>0</v>
      </c>
      <c r="R18" s="302">
        <f t="shared" si="19"/>
        <v>0</v>
      </c>
      <c r="S18" s="302">
        <f t="shared" si="16"/>
        <v>0</v>
      </c>
      <c r="T18" s="281">
        <f t="shared" si="20"/>
        <v>0</v>
      </c>
      <c r="U18" s="120"/>
      <c r="V18" s="195">
        <f t="shared" si="21"/>
        <v>0</v>
      </c>
    </row>
    <row r="19" spans="1:22" ht="12.75" customHeight="1" x14ac:dyDescent="0.25">
      <c r="A19" s="14" t="s">
        <v>12</v>
      </c>
      <c r="B19" s="482" t="s">
        <v>505</v>
      </c>
      <c r="C19" s="530"/>
      <c r="D19" s="221"/>
      <c r="E19" s="221"/>
      <c r="F19" s="221"/>
      <c r="G19" s="221"/>
      <c r="H19" s="221"/>
      <c r="I19" s="221"/>
      <c r="J19" s="221"/>
      <c r="K19" s="221"/>
      <c r="L19" s="137">
        <f t="shared" si="10"/>
        <v>0</v>
      </c>
      <c r="M19" s="137">
        <f t="shared" si="11"/>
        <v>0</v>
      </c>
      <c r="N19" s="137">
        <f t="shared" si="12"/>
        <v>0</v>
      </c>
      <c r="O19" s="221"/>
      <c r="P19" s="302">
        <f t="shared" si="17"/>
        <v>0</v>
      </c>
      <c r="Q19" s="302">
        <f t="shared" si="18"/>
        <v>0</v>
      </c>
      <c r="R19" s="302">
        <f t="shared" si="19"/>
        <v>0</v>
      </c>
      <c r="S19" s="302">
        <f t="shared" si="16"/>
        <v>0</v>
      </c>
      <c r="T19" s="281">
        <f t="shared" si="20"/>
        <v>0</v>
      </c>
      <c r="U19" s="120"/>
      <c r="V19" s="195">
        <f t="shared" si="21"/>
        <v>0</v>
      </c>
    </row>
    <row r="20" spans="1:22" ht="12.75" customHeight="1" x14ac:dyDescent="0.25">
      <c r="A20" s="14" t="s">
        <v>13</v>
      </c>
      <c r="B20" s="20" t="s">
        <v>7</v>
      </c>
      <c r="C20" s="221"/>
      <c r="D20" s="221"/>
      <c r="E20" s="221"/>
      <c r="F20" s="221"/>
      <c r="G20" s="221"/>
      <c r="H20" s="221"/>
      <c r="I20" s="221"/>
      <c r="J20" s="221"/>
      <c r="K20" s="221"/>
      <c r="L20" s="136">
        <f t="shared" si="10"/>
        <v>0</v>
      </c>
      <c r="M20" s="136">
        <f t="shared" si="11"/>
        <v>0</v>
      </c>
      <c r="N20" s="136">
        <f t="shared" si="12"/>
        <v>0</v>
      </c>
      <c r="O20" s="221"/>
      <c r="P20" s="302">
        <f t="shared" si="17"/>
        <v>0</v>
      </c>
      <c r="Q20" s="302">
        <f t="shared" si="18"/>
        <v>0</v>
      </c>
      <c r="R20" s="302">
        <f t="shared" si="19"/>
        <v>0</v>
      </c>
      <c r="S20" s="302">
        <f t="shared" si="16"/>
        <v>0</v>
      </c>
      <c r="T20" s="281">
        <f t="shared" si="20"/>
        <v>0</v>
      </c>
      <c r="U20" s="120"/>
      <c r="V20" s="195">
        <f t="shared" si="21"/>
        <v>0</v>
      </c>
    </row>
    <row r="21" spans="1:22" ht="12.75" customHeight="1" x14ac:dyDescent="0.25">
      <c r="A21" s="14" t="s">
        <v>14</v>
      </c>
      <c r="B21" s="20" t="s">
        <v>8</v>
      </c>
      <c r="C21" s="221">
        <v>50000</v>
      </c>
      <c r="D21" s="221">
        <v>50000</v>
      </c>
      <c r="E21" s="221">
        <v>50000</v>
      </c>
      <c r="F21" s="221">
        <v>50000</v>
      </c>
      <c r="G21" s="221"/>
      <c r="H21" s="221">
        <v>0</v>
      </c>
      <c r="I21" s="221">
        <v>0</v>
      </c>
      <c r="J21" s="221">
        <v>21310</v>
      </c>
      <c r="K21" s="221"/>
      <c r="L21" s="137">
        <f t="shared" si="10"/>
        <v>0</v>
      </c>
      <c r="M21" s="137">
        <f t="shared" si="11"/>
        <v>0</v>
      </c>
      <c r="N21" s="137">
        <f t="shared" si="12"/>
        <v>0.42620000000000002</v>
      </c>
      <c r="O21" s="221"/>
      <c r="P21" s="302">
        <f t="shared" si="17"/>
        <v>0</v>
      </c>
      <c r="Q21" s="302">
        <f t="shared" si="18"/>
        <v>0</v>
      </c>
      <c r="R21" s="302">
        <f t="shared" si="19"/>
        <v>0</v>
      </c>
      <c r="S21" s="302">
        <f t="shared" si="16"/>
        <v>0</v>
      </c>
      <c r="T21" s="281">
        <f t="shared" si="20"/>
        <v>0</v>
      </c>
      <c r="U21" s="120"/>
      <c r="V21" s="195">
        <f t="shared" si="21"/>
        <v>0</v>
      </c>
    </row>
    <row r="22" spans="1:22" ht="12.75" customHeight="1" x14ac:dyDescent="0.25">
      <c r="A22" s="14" t="s">
        <v>15</v>
      </c>
      <c r="B22" s="20" t="s">
        <v>9</v>
      </c>
      <c r="C22" s="221"/>
      <c r="D22" s="221"/>
      <c r="E22" s="221"/>
      <c r="F22" s="221"/>
      <c r="G22" s="221"/>
      <c r="H22" s="221"/>
      <c r="I22" s="221"/>
      <c r="J22" s="221"/>
      <c r="K22" s="221"/>
      <c r="L22" s="136">
        <f t="shared" si="10"/>
        <v>0</v>
      </c>
      <c r="M22" s="136">
        <f t="shared" si="11"/>
        <v>0</v>
      </c>
      <c r="N22" s="136">
        <f t="shared" si="12"/>
        <v>0</v>
      </c>
      <c r="O22" s="221"/>
      <c r="P22" s="302">
        <f t="shared" si="17"/>
        <v>0</v>
      </c>
      <c r="Q22" s="302">
        <f t="shared" si="18"/>
        <v>0</v>
      </c>
      <c r="R22" s="302">
        <f t="shared" si="19"/>
        <v>0</v>
      </c>
      <c r="S22" s="302">
        <f t="shared" si="16"/>
        <v>0</v>
      </c>
      <c r="T22" s="281">
        <f t="shared" si="20"/>
        <v>0</v>
      </c>
      <c r="U22" s="120"/>
      <c r="V22" s="195">
        <f t="shared" si="21"/>
        <v>0</v>
      </c>
    </row>
    <row r="23" spans="1:22" ht="12.75" customHeight="1" x14ac:dyDescent="0.25">
      <c r="A23" s="14" t="s">
        <v>16</v>
      </c>
      <c r="B23" s="20" t="s">
        <v>10</v>
      </c>
      <c r="C23" s="221">
        <f>452000</f>
        <v>452000</v>
      </c>
      <c r="D23" s="221">
        <v>452000</v>
      </c>
      <c r="E23" s="221">
        <v>452000</v>
      </c>
      <c r="F23" s="221">
        <v>647452</v>
      </c>
      <c r="G23" s="221"/>
      <c r="H23" s="221">
        <v>128717</v>
      </c>
      <c r="I23" s="221">
        <v>399282</v>
      </c>
      <c r="J23" s="221">
        <v>647290</v>
      </c>
      <c r="K23" s="221"/>
      <c r="L23" s="137">
        <f t="shared" si="10"/>
        <v>0.2847721238938053</v>
      </c>
      <c r="M23" s="137">
        <f t="shared" si="11"/>
        <v>0.8833672566371682</v>
      </c>
      <c r="N23" s="137">
        <f t="shared" si="12"/>
        <v>1.4320575221238938</v>
      </c>
      <c r="O23" s="221"/>
      <c r="P23" s="302">
        <f t="shared" si="17"/>
        <v>0</v>
      </c>
      <c r="Q23" s="302">
        <f t="shared" si="18"/>
        <v>0</v>
      </c>
      <c r="R23" s="302">
        <f t="shared" si="19"/>
        <v>0</v>
      </c>
      <c r="S23" s="302">
        <f t="shared" si="16"/>
        <v>0</v>
      </c>
      <c r="T23" s="281">
        <f t="shared" si="20"/>
        <v>0</v>
      </c>
      <c r="U23" s="120"/>
      <c r="V23" s="195">
        <f t="shared" si="21"/>
        <v>0</v>
      </c>
    </row>
    <row r="24" spans="1:22" ht="12.75" customHeight="1" x14ac:dyDescent="0.25">
      <c r="A24" s="14" t="s">
        <v>17</v>
      </c>
      <c r="B24" s="20"/>
      <c r="C24" s="221"/>
      <c r="D24" s="221"/>
      <c r="E24" s="221"/>
      <c r="F24" s="221"/>
      <c r="G24" s="221"/>
      <c r="H24" s="221"/>
      <c r="I24" s="221"/>
      <c r="J24" s="221"/>
      <c r="K24" s="221"/>
      <c r="L24" s="136">
        <f t="shared" si="10"/>
        <v>0</v>
      </c>
      <c r="M24" s="136">
        <f t="shared" si="11"/>
        <v>0</v>
      </c>
      <c r="N24" s="136">
        <f t="shared" si="12"/>
        <v>0</v>
      </c>
      <c r="O24" s="221"/>
      <c r="P24" s="302">
        <f t="shared" ref="P24:P67" si="22">+(D24-C24)*P$10</f>
        <v>0</v>
      </c>
      <c r="Q24" s="302">
        <f t="shared" ref="Q24:Q67" si="23">+(E24-D24)*Q$10</f>
        <v>0</v>
      </c>
      <c r="R24" s="302">
        <f t="shared" ref="R24:R67" si="24">+(F24-E24)*R$10</f>
        <v>0</v>
      </c>
      <c r="S24" s="302">
        <f t="shared" si="16"/>
        <v>0</v>
      </c>
      <c r="T24" s="281">
        <f t="shared" ref="T24:T47" si="25">IF(C24=0,0,+S24/C24)</f>
        <v>0</v>
      </c>
      <c r="U24" s="120"/>
      <c r="V24" s="195">
        <f t="shared" ref="V24:V47" si="26">+S24-E24+C24</f>
        <v>0</v>
      </c>
    </row>
    <row r="25" spans="1:22" ht="12.75" customHeight="1" x14ac:dyDescent="0.25">
      <c r="A25" s="14" t="s">
        <v>18</v>
      </c>
      <c r="B25" s="482" t="s">
        <v>458</v>
      </c>
      <c r="C25" s="221"/>
      <c r="D25" s="221"/>
      <c r="E25" s="221"/>
      <c r="F25" s="221"/>
      <c r="G25" s="221"/>
      <c r="H25" s="221"/>
      <c r="I25" s="221"/>
      <c r="J25" s="221"/>
      <c r="K25" s="221"/>
      <c r="L25" s="136">
        <f t="shared" si="10"/>
        <v>0</v>
      </c>
      <c r="M25" s="136">
        <f t="shared" si="11"/>
        <v>0</v>
      </c>
      <c r="N25" s="136">
        <f t="shared" si="12"/>
        <v>0</v>
      </c>
      <c r="O25" s="221"/>
      <c r="P25" s="302">
        <f t="shared" si="22"/>
        <v>0</v>
      </c>
      <c r="Q25" s="302">
        <f t="shared" si="23"/>
        <v>0</v>
      </c>
      <c r="R25" s="302">
        <f t="shared" si="24"/>
        <v>0</v>
      </c>
      <c r="S25" s="302">
        <f t="shared" si="16"/>
        <v>0</v>
      </c>
      <c r="T25" s="281">
        <f t="shared" si="25"/>
        <v>0</v>
      </c>
      <c r="U25" s="120"/>
      <c r="V25" s="195">
        <f t="shared" si="26"/>
        <v>0</v>
      </c>
    </row>
    <row r="26" spans="1:22" ht="12.75" customHeight="1" x14ac:dyDescent="0.25">
      <c r="A26" s="14" t="s">
        <v>20</v>
      </c>
      <c r="B26" s="20" t="s">
        <v>21</v>
      </c>
      <c r="C26" s="221"/>
      <c r="D26" s="221"/>
      <c r="E26" s="221"/>
      <c r="F26" s="221"/>
      <c r="G26" s="221"/>
      <c r="H26" s="221"/>
      <c r="I26" s="221"/>
      <c r="J26" s="221"/>
      <c r="K26" s="221"/>
      <c r="L26" s="136">
        <f t="shared" si="10"/>
        <v>0</v>
      </c>
      <c r="M26" s="136">
        <f t="shared" si="11"/>
        <v>0</v>
      </c>
      <c r="N26" s="136">
        <f t="shared" si="12"/>
        <v>0</v>
      </c>
      <c r="O26" s="221"/>
      <c r="P26" s="302">
        <f t="shared" si="22"/>
        <v>0</v>
      </c>
      <c r="Q26" s="302">
        <f t="shared" si="23"/>
        <v>0</v>
      </c>
      <c r="R26" s="302">
        <f t="shared" si="24"/>
        <v>0</v>
      </c>
      <c r="S26" s="302">
        <f t="shared" si="16"/>
        <v>0</v>
      </c>
      <c r="T26" s="281">
        <f t="shared" si="25"/>
        <v>0</v>
      </c>
      <c r="U26" s="120"/>
      <c r="V26" s="195">
        <f t="shared" si="26"/>
        <v>0</v>
      </c>
    </row>
    <row r="27" spans="1:22" ht="12.75" customHeight="1" x14ac:dyDescent="0.25">
      <c r="A27" s="14" t="s">
        <v>22</v>
      </c>
      <c r="B27" s="20" t="s">
        <v>23</v>
      </c>
      <c r="C27" s="221">
        <v>0</v>
      </c>
      <c r="D27" s="221">
        <v>0</v>
      </c>
      <c r="E27" s="221">
        <v>68610</v>
      </c>
      <c r="F27" s="221">
        <v>123790</v>
      </c>
      <c r="G27" s="221"/>
      <c r="H27" s="221">
        <v>0</v>
      </c>
      <c r="I27" s="221">
        <v>52552</v>
      </c>
      <c r="J27" s="221">
        <v>68153</v>
      </c>
      <c r="K27" s="221"/>
      <c r="L27" s="136">
        <f t="shared" si="10"/>
        <v>0</v>
      </c>
      <c r="M27" s="136" t="e">
        <f t="shared" si="11"/>
        <v>#DIV/0!</v>
      </c>
      <c r="N27" s="136">
        <f t="shared" si="12"/>
        <v>0.99333916338726136</v>
      </c>
      <c r="O27" s="221"/>
      <c r="P27" s="302">
        <f t="shared" si="22"/>
        <v>0</v>
      </c>
      <c r="Q27" s="302">
        <f t="shared" si="23"/>
        <v>68610</v>
      </c>
      <c r="R27" s="302">
        <f t="shared" si="24"/>
        <v>0</v>
      </c>
      <c r="S27" s="302">
        <f t="shared" si="16"/>
        <v>68610</v>
      </c>
      <c r="T27" s="281">
        <f t="shared" si="25"/>
        <v>0</v>
      </c>
      <c r="U27" s="120"/>
      <c r="V27" s="195">
        <f t="shared" si="26"/>
        <v>0</v>
      </c>
    </row>
    <row r="28" spans="1:22" ht="12.75" customHeight="1" x14ac:dyDescent="0.25">
      <c r="A28" s="14"/>
      <c r="B28" s="14"/>
      <c r="C28" s="221"/>
      <c r="D28" s="221"/>
      <c r="E28" s="221"/>
      <c r="F28" s="221"/>
      <c r="G28" s="221"/>
      <c r="H28" s="221"/>
      <c r="I28" s="221"/>
      <c r="J28" s="221"/>
      <c r="K28" s="221"/>
      <c r="L28" s="152">
        <f t="shared" si="10"/>
        <v>0</v>
      </c>
      <c r="M28" s="152">
        <f t="shared" si="11"/>
        <v>0</v>
      </c>
      <c r="N28" s="152">
        <f t="shared" si="12"/>
        <v>0</v>
      </c>
      <c r="O28" s="221"/>
      <c r="P28" s="302">
        <f t="shared" si="22"/>
        <v>0</v>
      </c>
      <c r="Q28" s="302">
        <f t="shared" si="23"/>
        <v>0</v>
      </c>
      <c r="R28" s="302">
        <f t="shared" si="24"/>
        <v>0</v>
      </c>
      <c r="S28" s="302">
        <f t="shared" si="16"/>
        <v>0</v>
      </c>
      <c r="T28" s="281">
        <f t="shared" si="25"/>
        <v>0</v>
      </c>
      <c r="U28" s="120"/>
      <c r="V28" s="195">
        <f t="shared" si="26"/>
        <v>0</v>
      </c>
    </row>
    <row r="29" spans="1:22" ht="12.75" customHeight="1" x14ac:dyDescent="0.25">
      <c r="A29" s="7" t="s">
        <v>24</v>
      </c>
      <c r="B29" s="5" t="s">
        <v>25</v>
      </c>
      <c r="C29" s="216">
        <f>SUM(C30:C31)</f>
        <v>2700000</v>
      </c>
      <c r="D29" s="216">
        <f t="shared" ref="D29:J29" si="27">SUM(D30:D31)</f>
        <v>2700000</v>
      </c>
      <c r="E29" s="216">
        <f t="shared" si="27"/>
        <v>2700000</v>
      </c>
      <c r="F29" s="216">
        <f t="shared" si="27"/>
        <v>2700000</v>
      </c>
      <c r="G29" s="216"/>
      <c r="H29" s="216">
        <f t="shared" si="27"/>
        <v>1337882</v>
      </c>
      <c r="I29" s="216">
        <f t="shared" si="27"/>
        <v>2009235</v>
      </c>
      <c r="J29" s="216">
        <f t="shared" si="27"/>
        <v>2619895</v>
      </c>
      <c r="K29" s="216"/>
      <c r="L29" s="85">
        <f t="shared" ref="L29:L30" si="28">IF(H29&gt;0,H29/C29,0)</f>
        <v>0.49551185185185187</v>
      </c>
      <c r="M29" s="85">
        <f t="shared" ref="M29:M30" si="29">IF(I29&gt;0,I29/D29,0)</f>
        <v>0.74416111111111116</v>
      </c>
      <c r="N29" s="85">
        <f t="shared" ref="N29:N30" si="30">IF(J29&gt;0,J29/E29,0)</f>
        <v>0.97033148148148152</v>
      </c>
      <c r="O29" s="216"/>
      <c r="P29" s="216">
        <f t="shared" ref="P29:P30" si="31">+(D29-C29)*P$10</f>
        <v>0</v>
      </c>
      <c r="Q29" s="216">
        <f t="shared" ref="Q29:Q30" si="32">+(E29-D29)*Q$10</f>
        <v>0</v>
      </c>
      <c r="R29" s="216">
        <f t="shared" ref="R29:R30" si="33">+(F29-E29)*R$10</f>
        <v>0</v>
      </c>
      <c r="S29" s="216">
        <f t="shared" si="16"/>
        <v>0</v>
      </c>
      <c r="T29" s="281">
        <f t="shared" si="25"/>
        <v>0</v>
      </c>
      <c r="U29" s="120"/>
      <c r="V29" s="195">
        <f t="shared" si="26"/>
        <v>0</v>
      </c>
    </row>
    <row r="30" spans="1:22" ht="12.75" customHeight="1" x14ac:dyDescent="0.25">
      <c r="A30" s="14"/>
      <c r="B30" s="20" t="s">
        <v>26</v>
      </c>
      <c r="C30" s="221">
        <f>2700000</f>
        <v>2700000</v>
      </c>
      <c r="D30" s="221">
        <v>2700000</v>
      </c>
      <c r="E30" s="221">
        <v>2700000</v>
      </c>
      <c r="F30" s="221">
        <v>2700000</v>
      </c>
      <c r="G30" s="221"/>
      <c r="H30" s="221">
        <v>1337882</v>
      </c>
      <c r="I30" s="221">
        <v>2009235</v>
      </c>
      <c r="J30" s="221">
        <v>2619895</v>
      </c>
      <c r="K30" s="221"/>
      <c r="L30" s="137">
        <f t="shared" si="28"/>
        <v>0.49551185185185187</v>
      </c>
      <c r="M30" s="137">
        <f t="shared" si="29"/>
        <v>0.74416111111111116</v>
      </c>
      <c r="N30" s="137">
        <f t="shared" si="30"/>
        <v>0.97033148148148152</v>
      </c>
      <c r="O30" s="221"/>
      <c r="P30" s="302">
        <f t="shared" si="31"/>
        <v>0</v>
      </c>
      <c r="Q30" s="302">
        <f t="shared" si="32"/>
        <v>0</v>
      </c>
      <c r="R30" s="302">
        <f t="shared" si="33"/>
        <v>0</v>
      </c>
      <c r="S30" s="302">
        <f t="shared" si="16"/>
        <v>0</v>
      </c>
      <c r="T30" s="281">
        <f t="shared" si="25"/>
        <v>0</v>
      </c>
      <c r="U30" s="120"/>
      <c r="V30" s="195">
        <f t="shared" si="26"/>
        <v>0</v>
      </c>
    </row>
    <row r="31" spans="1:22" ht="12.75" customHeight="1" x14ac:dyDescent="0.25">
      <c r="A31" s="14"/>
      <c r="B31" s="14"/>
      <c r="C31" s="221"/>
      <c r="D31" s="221"/>
      <c r="E31" s="221"/>
      <c r="F31" s="221"/>
      <c r="G31" s="221"/>
      <c r="H31" s="221"/>
      <c r="I31" s="221"/>
      <c r="J31" s="221"/>
      <c r="K31" s="221"/>
      <c r="L31" s="152"/>
      <c r="M31" s="152"/>
      <c r="N31" s="152"/>
      <c r="O31" s="221"/>
      <c r="P31" s="302">
        <f t="shared" si="22"/>
        <v>0</v>
      </c>
      <c r="Q31" s="302">
        <f t="shared" si="23"/>
        <v>0</v>
      </c>
      <c r="R31" s="302">
        <f t="shared" si="24"/>
        <v>0</v>
      </c>
      <c r="S31" s="302">
        <f t="shared" si="16"/>
        <v>0</v>
      </c>
      <c r="T31" s="281">
        <f t="shared" si="25"/>
        <v>0</v>
      </c>
      <c r="U31" s="120"/>
      <c r="V31" s="195">
        <f t="shared" si="26"/>
        <v>0</v>
      </c>
    </row>
    <row r="32" spans="1:22" ht="12.75" customHeight="1" x14ac:dyDescent="0.25">
      <c r="A32" s="7" t="s">
        <v>27</v>
      </c>
      <c r="B32" s="5" t="s">
        <v>28</v>
      </c>
      <c r="C32" s="216">
        <f>+C33+C48+C41+C66+C71</f>
        <v>10128000</v>
      </c>
      <c r="D32" s="216">
        <f>+D33+D48+D41+D66+D71</f>
        <v>10128000</v>
      </c>
      <c r="E32" s="216">
        <f>+E33+E41+E48+E66+E71</f>
        <v>10830890</v>
      </c>
      <c r="F32" s="216">
        <f>+F33+F41+F48+F66+F71</f>
        <v>15093404</v>
      </c>
      <c r="G32" s="216"/>
      <c r="H32" s="216">
        <f t="shared" ref="H32" si="34">+H33+H48+H66+H71</f>
        <v>2483295</v>
      </c>
      <c r="I32" s="216">
        <f>+I33+I41+I48+I66+I71</f>
        <v>7341303</v>
      </c>
      <c r="J32" s="216">
        <f>+J33+J41+J48+J66+J71</f>
        <v>13943046</v>
      </c>
      <c r="K32" s="216"/>
      <c r="L32" s="85">
        <f t="shared" ref="L32:L45" si="35">IF(H32&gt;0,H32/C32,0)</f>
        <v>0.24519105450236967</v>
      </c>
      <c r="M32" s="85">
        <f t="shared" ref="M32:M45" si="36">IF(I32&gt;0,I32/D32,0)</f>
        <v>0.724852191943128</v>
      </c>
      <c r="N32" s="85">
        <f t="shared" ref="N32:N45" si="37">IF(J32&gt;0,J32/E32,0)</f>
        <v>1.2873407448510694</v>
      </c>
      <c r="O32" s="216"/>
      <c r="P32" s="216">
        <f t="shared" ref="P32:P48" si="38">+(D32-C32)*P$10</f>
        <v>0</v>
      </c>
      <c r="Q32" s="216">
        <f t="shared" ref="Q32:Q48" si="39">+(E32-D32)*Q$10</f>
        <v>702890</v>
      </c>
      <c r="R32" s="216">
        <f t="shared" ref="R32:R48" si="40">+(F32-E32)*R$10</f>
        <v>0</v>
      </c>
      <c r="S32" s="216">
        <f t="shared" si="16"/>
        <v>702890</v>
      </c>
      <c r="T32" s="281">
        <f t="shared" si="25"/>
        <v>6.9400671406003159E-2</v>
      </c>
      <c r="U32" s="120"/>
      <c r="V32" s="195">
        <f t="shared" si="26"/>
        <v>0</v>
      </c>
    </row>
    <row r="33" spans="1:22" ht="12.75" customHeight="1" x14ac:dyDescent="0.25">
      <c r="A33" s="38" t="s">
        <v>29</v>
      </c>
      <c r="B33" s="39" t="s">
        <v>30</v>
      </c>
      <c r="C33" s="278">
        <f>SUM(C34:C40)</f>
        <v>3060000</v>
      </c>
      <c r="D33" s="278">
        <f t="shared" ref="D33:J33" si="41">SUM(D34:D40)</f>
        <v>3020000</v>
      </c>
      <c r="E33" s="278">
        <f t="shared" si="41"/>
        <v>4217930</v>
      </c>
      <c r="F33" s="278">
        <f t="shared" si="41"/>
        <v>5081327</v>
      </c>
      <c r="G33" s="278"/>
      <c r="H33" s="278">
        <f t="shared" si="41"/>
        <v>794235</v>
      </c>
      <c r="I33" s="278">
        <f t="shared" si="41"/>
        <v>2470371</v>
      </c>
      <c r="J33" s="278">
        <f t="shared" si="41"/>
        <v>4749944</v>
      </c>
      <c r="K33" s="221"/>
      <c r="L33" s="152">
        <f t="shared" si="35"/>
        <v>0.25955392156862744</v>
      </c>
      <c r="M33" s="152">
        <f t="shared" si="36"/>
        <v>0.81800364238410594</v>
      </c>
      <c r="N33" s="152">
        <f t="shared" si="37"/>
        <v>1.1261315384560673</v>
      </c>
      <c r="O33" s="221"/>
      <c r="P33" s="221">
        <f t="shared" si="38"/>
        <v>-40000</v>
      </c>
      <c r="Q33" s="221">
        <f t="shared" si="39"/>
        <v>1197930</v>
      </c>
      <c r="R33" s="221">
        <f t="shared" si="40"/>
        <v>0</v>
      </c>
      <c r="S33" s="221">
        <f t="shared" si="16"/>
        <v>1157930</v>
      </c>
      <c r="T33" s="281">
        <f t="shared" si="25"/>
        <v>0.37840849673202615</v>
      </c>
      <c r="U33" s="120"/>
      <c r="V33" s="195">
        <f t="shared" si="26"/>
        <v>0</v>
      </c>
    </row>
    <row r="34" spans="1:22" ht="12.75" customHeight="1" x14ac:dyDescent="0.25">
      <c r="A34" s="14" t="s">
        <v>31</v>
      </c>
      <c r="B34" s="20" t="s">
        <v>33</v>
      </c>
      <c r="C34" s="530">
        <v>1760000</v>
      </c>
      <c r="D34" s="221">
        <v>1720000</v>
      </c>
      <c r="E34" s="221">
        <v>1720000</v>
      </c>
      <c r="F34" s="221">
        <v>1736000</v>
      </c>
      <c r="G34" s="221"/>
      <c r="H34" s="221">
        <v>21638</v>
      </c>
      <c r="I34" s="221">
        <v>736963</v>
      </c>
      <c r="J34" s="221">
        <v>1671763</v>
      </c>
      <c r="K34" s="221"/>
      <c r="L34" s="137">
        <f t="shared" si="35"/>
        <v>1.2294318181818182E-2</v>
      </c>
      <c r="M34" s="137">
        <f t="shared" si="36"/>
        <v>0.42846686046511628</v>
      </c>
      <c r="N34" s="137">
        <f t="shared" si="37"/>
        <v>0.97195523255813954</v>
      </c>
      <c r="O34" s="221"/>
      <c r="P34" s="302">
        <f t="shared" si="38"/>
        <v>-40000</v>
      </c>
      <c r="Q34" s="302">
        <f t="shared" si="39"/>
        <v>0</v>
      </c>
      <c r="R34" s="302">
        <f t="shared" si="40"/>
        <v>0</v>
      </c>
      <c r="S34" s="302">
        <f t="shared" si="16"/>
        <v>-40000</v>
      </c>
      <c r="T34" s="281">
        <f t="shared" si="25"/>
        <v>-2.2727272727272728E-2</v>
      </c>
      <c r="U34" s="120"/>
      <c r="V34" s="195">
        <f t="shared" si="26"/>
        <v>0</v>
      </c>
    </row>
    <row r="35" spans="1:22" ht="15.75" customHeight="1" x14ac:dyDescent="0.25">
      <c r="A35" s="14"/>
      <c r="B35" s="20" t="s">
        <v>87</v>
      </c>
      <c r="C35" s="530"/>
      <c r="D35" s="221"/>
      <c r="E35" s="221"/>
      <c r="F35" s="221"/>
      <c r="G35" s="221"/>
      <c r="H35" s="221"/>
      <c r="I35" s="221"/>
      <c r="J35" s="221"/>
      <c r="K35" s="221"/>
      <c r="L35" s="137">
        <f t="shared" si="35"/>
        <v>0</v>
      </c>
      <c r="M35" s="137">
        <f t="shared" si="36"/>
        <v>0</v>
      </c>
      <c r="N35" s="137">
        <f t="shared" si="37"/>
        <v>0</v>
      </c>
      <c r="O35" s="221"/>
      <c r="P35" s="221">
        <f t="shared" si="38"/>
        <v>0</v>
      </c>
      <c r="Q35" s="221">
        <f t="shared" si="39"/>
        <v>0</v>
      </c>
      <c r="R35" s="221">
        <f t="shared" si="40"/>
        <v>0</v>
      </c>
      <c r="S35" s="221">
        <f t="shared" si="16"/>
        <v>0</v>
      </c>
      <c r="T35" s="281">
        <f t="shared" si="25"/>
        <v>0</v>
      </c>
      <c r="U35" s="120"/>
      <c r="V35" s="195">
        <f t="shared" si="26"/>
        <v>0</v>
      </c>
    </row>
    <row r="36" spans="1:22" ht="12.75" customHeight="1" x14ac:dyDescent="0.25">
      <c r="A36" s="14" t="s">
        <v>32</v>
      </c>
      <c r="B36" s="20" t="s">
        <v>34</v>
      </c>
      <c r="C36" s="723">
        <v>1300000</v>
      </c>
      <c r="D36" s="221">
        <v>1300000</v>
      </c>
      <c r="E36" s="221">
        <f>2243930+254000</f>
        <v>2497930</v>
      </c>
      <c r="F36" s="221">
        <f>3091327+254000</f>
        <v>3345327</v>
      </c>
      <c r="G36" s="221"/>
      <c r="H36" s="221">
        <v>772597</v>
      </c>
      <c r="I36" s="221">
        <f>1479408+254000</f>
        <v>1733408</v>
      </c>
      <c r="J36" s="221">
        <f>2824181+254000</f>
        <v>3078181</v>
      </c>
      <c r="K36" s="221"/>
      <c r="L36" s="137">
        <f t="shared" si="35"/>
        <v>0.59430538461538462</v>
      </c>
      <c r="M36" s="137">
        <f t="shared" si="36"/>
        <v>1.3333907692307692</v>
      </c>
      <c r="N36" s="137">
        <f t="shared" si="37"/>
        <v>1.2322927383873847</v>
      </c>
      <c r="O36" s="221"/>
      <c r="P36" s="302">
        <f t="shared" si="38"/>
        <v>0</v>
      </c>
      <c r="Q36" s="302">
        <f t="shared" si="39"/>
        <v>1197930</v>
      </c>
      <c r="R36" s="302">
        <f t="shared" si="40"/>
        <v>0</v>
      </c>
      <c r="S36" s="302">
        <f t="shared" si="16"/>
        <v>1197930</v>
      </c>
      <c r="T36" s="281">
        <f t="shared" si="25"/>
        <v>0.92148461538461535</v>
      </c>
      <c r="U36" s="120"/>
      <c r="V36" s="195">
        <f t="shared" si="26"/>
        <v>0</v>
      </c>
    </row>
    <row r="37" spans="1:22" ht="12.75" customHeight="1" x14ac:dyDescent="0.25">
      <c r="A37" s="14"/>
      <c r="B37" s="20" t="s">
        <v>103</v>
      </c>
      <c r="C37" s="530"/>
      <c r="D37" s="221"/>
      <c r="E37" s="221"/>
      <c r="F37" s="221"/>
      <c r="G37" s="221"/>
      <c r="H37" s="221"/>
      <c r="I37" s="221"/>
      <c r="J37" s="221"/>
      <c r="K37" s="221"/>
      <c r="L37" s="137">
        <f t="shared" si="35"/>
        <v>0</v>
      </c>
      <c r="M37" s="137">
        <f t="shared" si="36"/>
        <v>0</v>
      </c>
      <c r="N37" s="137">
        <f t="shared" si="37"/>
        <v>0</v>
      </c>
      <c r="O37" s="221"/>
      <c r="P37" s="221">
        <f t="shared" si="38"/>
        <v>0</v>
      </c>
      <c r="Q37" s="221">
        <f t="shared" si="39"/>
        <v>0</v>
      </c>
      <c r="R37" s="221">
        <f t="shared" si="40"/>
        <v>0</v>
      </c>
      <c r="S37" s="221">
        <f t="shared" si="16"/>
        <v>0</v>
      </c>
      <c r="T37" s="281">
        <f t="shared" si="25"/>
        <v>0</v>
      </c>
      <c r="U37" s="120"/>
      <c r="V37" s="195">
        <f t="shared" si="26"/>
        <v>0</v>
      </c>
    </row>
    <row r="38" spans="1:22" ht="12.75" customHeight="1" x14ac:dyDescent="0.25">
      <c r="A38" s="14"/>
      <c r="B38" s="20" t="s">
        <v>93</v>
      </c>
      <c r="C38" s="530"/>
      <c r="D38" s="221"/>
      <c r="E38" s="221"/>
      <c r="F38" s="221"/>
      <c r="G38" s="221"/>
      <c r="H38" s="221"/>
      <c r="I38" s="221"/>
      <c r="J38" s="221"/>
      <c r="K38" s="221"/>
      <c r="L38" s="137">
        <f t="shared" si="35"/>
        <v>0</v>
      </c>
      <c r="M38" s="137">
        <f t="shared" si="36"/>
        <v>0</v>
      </c>
      <c r="N38" s="137">
        <f t="shared" si="37"/>
        <v>0</v>
      </c>
      <c r="O38" s="221"/>
      <c r="P38" s="221">
        <f t="shared" si="38"/>
        <v>0</v>
      </c>
      <c r="Q38" s="221">
        <f t="shared" si="39"/>
        <v>0</v>
      </c>
      <c r="R38" s="221">
        <f t="shared" si="40"/>
        <v>0</v>
      </c>
      <c r="S38" s="221">
        <f t="shared" si="16"/>
        <v>0</v>
      </c>
      <c r="T38" s="281">
        <f t="shared" si="25"/>
        <v>0</v>
      </c>
      <c r="U38" s="120"/>
      <c r="V38" s="195">
        <f t="shared" si="26"/>
        <v>0</v>
      </c>
    </row>
    <row r="39" spans="1:22" ht="12.75" customHeight="1" x14ac:dyDescent="0.25">
      <c r="A39" s="14"/>
      <c r="B39" s="20" t="s">
        <v>92</v>
      </c>
      <c r="C39" s="530"/>
      <c r="D39" s="221"/>
      <c r="E39" s="221"/>
      <c r="F39" s="221"/>
      <c r="G39" s="221"/>
      <c r="H39" s="221"/>
      <c r="I39" s="221"/>
      <c r="J39" s="221"/>
      <c r="K39" s="221"/>
      <c r="L39" s="137">
        <f t="shared" si="35"/>
        <v>0</v>
      </c>
      <c r="M39" s="137">
        <f t="shared" si="36"/>
        <v>0</v>
      </c>
      <c r="N39" s="137">
        <f t="shared" si="37"/>
        <v>0</v>
      </c>
      <c r="O39" s="221"/>
      <c r="P39" s="221">
        <f t="shared" si="38"/>
        <v>0</v>
      </c>
      <c r="Q39" s="221">
        <f t="shared" si="39"/>
        <v>0</v>
      </c>
      <c r="R39" s="221">
        <f t="shared" si="40"/>
        <v>0</v>
      </c>
      <c r="S39" s="221">
        <f t="shared" si="16"/>
        <v>0</v>
      </c>
      <c r="T39" s="281">
        <f t="shared" si="25"/>
        <v>0</v>
      </c>
      <c r="U39" s="120"/>
      <c r="V39" s="195">
        <f t="shared" si="26"/>
        <v>0</v>
      </c>
    </row>
    <row r="40" spans="1:22" ht="12.75" customHeight="1" x14ac:dyDescent="0.25">
      <c r="A40" s="14"/>
      <c r="B40" s="20" t="s">
        <v>91</v>
      </c>
      <c r="C40" s="530"/>
      <c r="D40" s="221"/>
      <c r="E40" s="221"/>
      <c r="F40" s="221"/>
      <c r="G40" s="221"/>
      <c r="H40" s="221"/>
      <c r="I40" s="221"/>
      <c r="J40" s="221"/>
      <c r="K40" s="221"/>
      <c r="L40" s="137">
        <f t="shared" si="35"/>
        <v>0</v>
      </c>
      <c r="M40" s="137">
        <f t="shared" si="36"/>
        <v>0</v>
      </c>
      <c r="N40" s="137">
        <f t="shared" si="37"/>
        <v>0</v>
      </c>
      <c r="O40" s="221"/>
      <c r="P40" s="221">
        <f t="shared" si="38"/>
        <v>0</v>
      </c>
      <c r="Q40" s="221">
        <f t="shared" si="39"/>
        <v>0</v>
      </c>
      <c r="R40" s="221">
        <f t="shared" si="40"/>
        <v>0</v>
      </c>
      <c r="S40" s="221">
        <f t="shared" si="16"/>
        <v>0</v>
      </c>
      <c r="T40" s="281">
        <f t="shared" si="25"/>
        <v>0</v>
      </c>
      <c r="U40" s="120"/>
      <c r="V40" s="195">
        <f t="shared" si="26"/>
        <v>0</v>
      </c>
    </row>
    <row r="41" spans="1:22" ht="12.75" customHeight="1" x14ac:dyDescent="0.25">
      <c r="A41" s="38" t="s">
        <v>35</v>
      </c>
      <c r="B41" s="39" t="s">
        <v>36</v>
      </c>
      <c r="C41" s="278">
        <f>SUM(C42:C47)</f>
        <v>300000</v>
      </c>
      <c r="D41" s="278">
        <f t="shared" ref="D41:J41" si="42">SUM(D42:D47)</f>
        <v>300000</v>
      </c>
      <c r="E41" s="278">
        <f t="shared" si="42"/>
        <v>124460</v>
      </c>
      <c r="F41" s="278">
        <f t="shared" si="42"/>
        <v>124460</v>
      </c>
      <c r="G41" s="278"/>
      <c r="H41" s="278">
        <f t="shared" si="42"/>
        <v>0</v>
      </c>
      <c r="I41" s="278">
        <f t="shared" si="42"/>
        <v>124460</v>
      </c>
      <c r="J41" s="278">
        <f t="shared" si="42"/>
        <v>124460</v>
      </c>
      <c r="K41" s="221"/>
      <c r="L41" s="137">
        <f t="shared" si="35"/>
        <v>0</v>
      </c>
      <c r="M41" s="137">
        <f t="shared" si="36"/>
        <v>0.41486666666666666</v>
      </c>
      <c r="N41" s="137">
        <f t="shared" si="37"/>
        <v>1</v>
      </c>
      <c r="O41" s="221"/>
      <c r="P41" s="221">
        <f t="shared" si="38"/>
        <v>0</v>
      </c>
      <c r="Q41" s="221">
        <f t="shared" si="39"/>
        <v>-175540</v>
      </c>
      <c r="R41" s="221">
        <f t="shared" si="40"/>
        <v>0</v>
      </c>
      <c r="S41" s="221">
        <f t="shared" si="16"/>
        <v>-175540</v>
      </c>
      <c r="T41" s="281">
        <f t="shared" si="25"/>
        <v>-0.58513333333333328</v>
      </c>
      <c r="U41" s="120"/>
      <c r="V41" s="195">
        <f t="shared" si="26"/>
        <v>0</v>
      </c>
    </row>
    <row r="42" spans="1:22" ht="12.75" customHeight="1" x14ac:dyDescent="0.25">
      <c r="A42" s="14" t="s">
        <v>37</v>
      </c>
      <c r="B42" s="20" t="s">
        <v>38</v>
      </c>
      <c r="C42" s="530">
        <v>300000</v>
      </c>
      <c r="D42" s="221">
        <v>300000</v>
      </c>
      <c r="E42" s="221">
        <v>124460</v>
      </c>
      <c r="F42" s="221">
        <v>124460</v>
      </c>
      <c r="G42" s="221"/>
      <c r="H42" s="221">
        <v>0</v>
      </c>
      <c r="I42" s="221">
        <v>124460</v>
      </c>
      <c r="J42" s="221">
        <v>124460</v>
      </c>
      <c r="K42" s="221"/>
      <c r="L42" s="137">
        <f t="shared" si="35"/>
        <v>0</v>
      </c>
      <c r="M42" s="137">
        <f t="shared" si="36"/>
        <v>0.41486666666666666</v>
      </c>
      <c r="N42" s="137">
        <f t="shared" si="37"/>
        <v>1</v>
      </c>
      <c r="O42" s="221"/>
      <c r="P42" s="221">
        <f t="shared" si="38"/>
        <v>0</v>
      </c>
      <c r="Q42" s="221">
        <f t="shared" si="39"/>
        <v>-175540</v>
      </c>
      <c r="R42" s="221">
        <f t="shared" si="40"/>
        <v>0</v>
      </c>
      <c r="S42" s="221">
        <f t="shared" si="16"/>
        <v>-175540</v>
      </c>
      <c r="T42" s="281">
        <f t="shared" si="25"/>
        <v>-0.58513333333333328</v>
      </c>
      <c r="U42" s="120"/>
      <c r="V42" s="195">
        <f t="shared" si="26"/>
        <v>0</v>
      </c>
    </row>
    <row r="43" spans="1:22" ht="12.75" customHeight="1" x14ac:dyDescent="0.25">
      <c r="A43" s="14"/>
      <c r="B43" s="20" t="s">
        <v>39</v>
      </c>
      <c r="C43" s="530"/>
      <c r="D43" s="221"/>
      <c r="E43" s="221"/>
      <c r="F43" s="221"/>
      <c r="G43" s="221"/>
      <c r="H43" s="221"/>
      <c r="I43" s="221"/>
      <c r="J43" s="221"/>
      <c r="K43" s="221"/>
      <c r="L43" s="137">
        <f t="shared" si="35"/>
        <v>0</v>
      </c>
      <c r="M43" s="137">
        <f t="shared" si="36"/>
        <v>0</v>
      </c>
      <c r="N43" s="137">
        <f t="shared" si="37"/>
        <v>0</v>
      </c>
      <c r="O43" s="221"/>
      <c r="P43" s="221">
        <f t="shared" si="38"/>
        <v>0</v>
      </c>
      <c r="Q43" s="221">
        <f t="shared" si="39"/>
        <v>0</v>
      </c>
      <c r="R43" s="221">
        <f t="shared" si="40"/>
        <v>0</v>
      </c>
      <c r="S43" s="221">
        <f t="shared" si="16"/>
        <v>0</v>
      </c>
      <c r="T43" s="281">
        <f t="shared" si="25"/>
        <v>0</v>
      </c>
      <c r="U43" s="120"/>
      <c r="V43" s="195">
        <f t="shared" si="26"/>
        <v>0</v>
      </c>
    </row>
    <row r="44" spans="1:22" ht="12.75" customHeight="1" x14ac:dyDescent="0.25">
      <c r="A44" s="14"/>
      <c r="B44" s="20" t="s">
        <v>40</v>
      </c>
      <c r="C44" s="530"/>
      <c r="D44" s="221"/>
      <c r="E44" s="221"/>
      <c r="F44" s="221"/>
      <c r="G44" s="221"/>
      <c r="H44" s="221"/>
      <c r="I44" s="221"/>
      <c r="J44" s="221"/>
      <c r="K44" s="221"/>
      <c r="L44" s="137">
        <f t="shared" si="35"/>
        <v>0</v>
      </c>
      <c r="M44" s="137">
        <f t="shared" si="36"/>
        <v>0</v>
      </c>
      <c r="N44" s="137">
        <f t="shared" si="37"/>
        <v>0</v>
      </c>
      <c r="O44" s="221"/>
      <c r="P44" s="221">
        <f t="shared" si="38"/>
        <v>0</v>
      </c>
      <c r="Q44" s="221">
        <f t="shared" si="39"/>
        <v>0</v>
      </c>
      <c r="R44" s="221">
        <f t="shared" si="40"/>
        <v>0</v>
      </c>
      <c r="S44" s="221">
        <f t="shared" si="16"/>
        <v>0</v>
      </c>
      <c r="T44" s="281">
        <f t="shared" si="25"/>
        <v>0</v>
      </c>
      <c r="U44" s="120"/>
      <c r="V44" s="195">
        <f t="shared" si="26"/>
        <v>0</v>
      </c>
    </row>
    <row r="45" spans="1:22" ht="12.75" customHeight="1" x14ac:dyDescent="0.25">
      <c r="A45" s="14"/>
      <c r="B45" s="20" t="s">
        <v>41</v>
      </c>
      <c r="C45" s="530"/>
      <c r="D45" s="221"/>
      <c r="E45" s="221"/>
      <c r="F45" s="221"/>
      <c r="G45" s="221"/>
      <c r="H45" s="221"/>
      <c r="I45" s="221"/>
      <c r="J45" s="221"/>
      <c r="K45" s="221"/>
      <c r="L45" s="137">
        <f t="shared" si="35"/>
        <v>0</v>
      </c>
      <c r="M45" s="137">
        <f t="shared" si="36"/>
        <v>0</v>
      </c>
      <c r="N45" s="137">
        <f t="shared" si="37"/>
        <v>0</v>
      </c>
      <c r="O45" s="221"/>
      <c r="P45" s="221">
        <f t="shared" si="38"/>
        <v>0</v>
      </c>
      <c r="Q45" s="221">
        <f t="shared" si="39"/>
        <v>0</v>
      </c>
      <c r="R45" s="221">
        <f t="shared" si="40"/>
        <v>0</v>
      </c>
      <c r="S45" s="221">
        <f t="shared" si="16"/>
        <v>0</v>
      </c>
      <c r="T45" s="281">
        <f t="shared" si="25"/>
        <v>0</v>
      </c>
      <c r="U45" s="120"/>
      <c r="V45" s="195">
        <f t="shared" si="26"/>
        <v>0</v>
      </c>
    </row>
    <row r="46" spans="1:22" ht="12.75" customHeight="1" x14ac:dyDescent="0.25">
      <c r="A46" s="14" t="s">
        <v>42</v>
      </c>
      <c r="B46" s="20" t="s">
        <v>43</v>
      </c>
      <c r="C46" s="530">
        <v>0</v>
      </c>
      <c r="D46" s="221">
        <v>0</v>
      </c>
      <c r="E46" s="221">
        <v>0</v>
      </c>
      <c r="F46" s="221">
        <v>0</v>
      </c>
      <c r="G46" s="221"/>
      <c r="H46" s="221">
        <v>0</v>
      </c>
      <c r="I46" s="221">
        <v>0</v>
      </c>
      <c r="J46" s="221">
        <v>0</v>
      </c>
      <c r="K46" s="221"/>
      <c r="L46" s="137">
        <f t="shared" ref="L46:L80" si="43">IF(H46&gt;0,H46/C46,0)</f>
        <v>0</v>
      </c>
      <c r="M46" s="137">
        <f t="shared" ref="M46:M80" si="44">IF(I46&gt;0,I46/D46,0)</f>
        <v>0</v>
      </c>
      <c r="N46" s="137">
        <f t="shared" ref="N46:N80" si="45">IF(J46&gt;0,J46/E46,0)</f>
        <v>0</v>
      </c>
      <c r="O46" s="221"/>
      <c r="P46" s="221">
        <f t="shared" si="38"/>
        <v>0</v>
      </c>
      <c r="Q46" s="221">
        <f t="shared" si="39"/>
        <v>0</v>
      </c>
      <c r="R46" s="221">
        <f t="shared" si="40"/>
        <v>0</v>
      </c>
      <c r="S46" s="221">
        <f t="shared" si="16"/>
        <v>0</v>
      </c>
      <c r="T46" s="281">
        <f t="shared" si="25"/>
        <v>0</v>
      </c>
      <c r="U46" s="120"/>
      <c r="V46" s="195">
        <f t="shared" si="26"/>
        <v>0</v>
      </c>
    </row>
    <row r="47" spans="1:22" ht="12.75" customHeight="1" x14ac:dyDescent="0.25">
      <c r="A47" s="14"/>
      <c r="B47" s="20" t="s">
        <v>44</v>
      </c>
      <c r="C47" s="530"/>
      <c r="D47" s="221"/>
      <c r="E47" s="221"/>
      <c r="F47" s="221"/>
      <c r="G47" s="221"/>
      <c r="H47" s="221"/>
      <c r="I47" s="221"/>
      <c r="J47" s="221"/>
      <c r="K47" s="221"/>
      <c r="L47" s="137">
        <f t="shared" si="43"/>
        <v>0</v>
      </c>
      <c r="M47" s="137">
        <f t="shared" si="44"/>
        <v>0</v>
      </c>
      <c r="N47" s="137">
        <f t="shared" si="45"/>
        <v>0</v>
      </c>
      <c r="O47" s="221"/>
      <c r="P47" s="221">
        <f t="shared" si="38"/>
        <v>0</v>
      </c>
      <c r="Q47" s="221">
        <f t="shared" si="39"/>
        <v>0</v>
      </c>
      <c r="R47" s="221">
        <f t="shared" si="40"/>
        <v>0</v>
      </c>
      <c r="S47" s="221">
        <f t="shared" si="16"/>
        <v>0</v>
      </c>
      <c r="T47" s="281">
        <f t="shared" si="25"/>
        <v>0</v>
      </c>
      <c r="U47" s="120"/>
      <c r="V47" s="195">
        <f t="shared" si="26"/>
        <v>0</v>
      </c>
    </row>
    <row r="48" spans="1:22" ht="12.75" customHeight="1" x14ac:dyDescent="0.25">
      <c r="A48" s="38" t="s">
        <v>45</v>
      </c>
      <c r="B48" s="39" t="s">
        <v>46</v>
      </c>
      <c r="C48" s="278">
        <f>SUM(C49:C65)</f>
        <v>4850000</v>
      </c>
      <c r="D48" s="278">
        <f t="shared" ref="D48:J48" si="46">SUM(D49:D65)</f>
        <v>4850000</v>
      </c>
      <c r="E48" s="278">
        <f t="shared" si="46"/>
        <v>4986500</v>
      </c>
      <c r="F48" s="278">
        <f t="shared" si="46"/>
        <v>8147693</v>
      </c>
      <c r="G48" s="278"/>
      <c r="H48" s="278">
        <f t="shared" si="46"/>
        <v>1210687</v>
      </c>
      <c r="I48" s="278">
        <f t="shared" si="46"/>
        <v>3693010</v>
      </c>
      <c r="J48" s="278">
        <f t="shared" si="46"/>
        <v>7521382</v>
      </c>
      <c r="K48" s="221"/>
      <c r="L48" s="137">
        <f t="shared" si="43"/>
        <v>0.2496261855670103</v>
      </c>
      <c r="M48" s="137">
        <f t="shared" si="44"/>
        <v>0.76144536082474223</v>
      </c>
      <c r="N48" s="137">
        <f t="shared" si="45"/>
        <v>1.5083489421437881</v>
      </c>
      <c r="O48" s="221"/>
      <c r="P48" s="221">
        <f t="shared" si="38"/>
        <v>0</v>
      </c>
      <c r="Q48" s="221">
        <f t="shared" si="39"/>
        <v>136500</v>
      </c>
      <c r="R48" s="221">
        <f t="shared" si="40"/>
        <v>0</v>
      </c>
      <c r="S48" s="221">
        <f t="shared" si="16"/>
        <v>136500</v>
      </c>
      <c r="T48" s="281">
        <f t="shared" ref="T48:T64" si="47">IF(C48=0,0,+S48/C48)</f>
        <v>2.8144329896907218E-2</v>
      </c>
      <c r="U48" s="120"/>
      <c r="V48" s="195">
        <f t="shared" ref="V48:V64" si="48">+S48-E48+C48</f>
        <v>0</v>
      </c>
    </row>
    <row r="49" spans="1:22" ht="12.75" customHeight="1" x14ac:dyDescent="0.25">
      <c r="A49" s="14" t="s">
        <v>47</v>
      </c>
      <c r="B49" s="20" t="s">
        <v>48</v>
      </c>
      <c r="C49" s="530">
        <v>2000000</v>
      </c>
      <c r="D49" s="221">
        <v>2000000</v>
      </c>
      <c r="E49" s="221">
        <v>2000000</v>
      </c>
      <c r="F49" s="221">
        <v>2300000</v>
      </c>
      <c r="G49" s="221"/>
      <c r="H49" s="221">
        <v>1008957</v>
      </c>
      <c r="I49" s="221">
        <v>1449206</v>
      </c>
      <c r="J49" s="221">
        <v>1961558</v>
      </c>
      <c r="K49" s="221"/>
      <c r="L49" s="137">
        <f t="shared" si="43"/>
        <v>0.50447850000000005</v>
      </c>
      <c r="M49" s="137">
        <f t="shared" si="44"/>
        <v>0.724603</v>
      </c>
      <c r="N49" s="137">
        <f t="shared" si="45"/>
        <v>0.98077899999999996</v>
      </c>
      <c r="O49" s="221"/>
      <c r="P49" s="302">
        <f t="shared" si="22"/>
        <v>0</v>
      </c>
      <c r="Q49" s="302">
        <f t="shared" si="23"/>
        <v>0</v>
      </c>
      <c r="R49" s="302">
        <f t="shared" si="24"/>
        <v>0</v>
      </c>
      <c r="S49" s="302">
        <f t="shared" si="16"/>
        <v>0</v>
      </c>
      <c r="T49" s="281">
        <f t="shared" si="47"/>
        <v>0</v>
      </c>
      <c r="U49" s="120"/>
      <c r="V49" s="195">
        <f t="shared" si="48"/>
        <v>0</v>
      </c>
    </row>
    <row r="50" spans="1:22" ht="12.75" customHeight="1" x14ac:dyDescent="0.25">
      <c r="A50" s="14" t="s">
        <v>101</v>
      </c>
      <c r="B50" s="20" t="s">
        <v>95</v>
      </c>
      <c r="C50" s="530"/>
      <c r="D50" s="221"/>
      <c r="E50" s="221"/>
      <c r="F50" s="221"/>
      <c r="G50" s="221"/>
      <c r="H50" s="221"/>
      <c r="I50" s="221"/>
      <c r="J50" s="221"/>
      <c r="K50" s="221"/>
      <c r="L50" s="137">
        <f t="shared" si="43"/>
        <v>0</v>
      </c>
      <c r="M50" s="137">
        <f t="shared" si="44"/>
        <v>0</v>
      </c>
      <c r="N50" s="137">
        <f t="shared" si="45"/>
        <v>0</v>
      </c>
      <c r="O50" s="221"/>
      <c r="P50" s="221">
        <f t="shared" si="22"/>
        <v>0</v>
      </c>
      <c r="Q50" s="221">
        <f t="shared" si="23"/>
        <v>0</v>
      </c>
      <c r="R50" s="221">
        <f t="shared" si="24"/>
        <v>0</v>
      </c>
      <c r="S50" s="221">
        <f t="shared" si="16"/>
        <v>0</v>
      </c>
      <c r="T50" s="281">
        <f t="shared" si="47"/>
        <v>0</v>
      </c>
      <c r="U50" s="120"/>
      <c r="V50" s="195">
        <f t="shared" si="48"/>
        <v>0</v>
      </c>
    </row>
    <row r="51" spans="1:22" ht="12.75" customHeight="1" x14ac:dyDescent="0.25">
      <c r="A51" s="14"/>
      <c r="B51" s="20" t="s">
        <v>96</v>
      </c>
      <c r="C51" s="530"/>
      <c r="D51" s="221"/>
      <c r="E51" s="221"/>
      <c r="F51" s="221"/>
      <c r="G51" s="221"/>
      <c r="H51" s="221"/>
      <c r="I51" s="221"/>
      <c r="J51" s="221"/>
      <c r="K51" s="221"/>
      <c r="L51" s="137">
        <f t="shared" si="43"/>
        <v>0</v>
      </c>
      <c r="M51" s="137">
        <f t="shared" si="44"/>
        <v>0</v>
      </c>
      <c r="N51" s="137">
        <f t="shared" si="45"/>
        <v>0</v>
      </c>
      <c r="O51" s="221"/>
      <c r="P51" s="221">
        <f t="shared" si="22"/>
        <v>0</v>
      </c>
      <c r="Q51" s="221">
        <f t="shared" si="23"/>
        <v>0</v>
      </c>
      <c r="R51" s="221">
        <f t="shared" si="24"/>
        <v>0</v>
      </c>
      <c r="S51" s="221">
        <f t="shared" si="16"/>
        <v>0</v>
      </c>
      <c r="T51" s="281">
        <f t="shared" si="47"/>
        <v>0</v>
      </c>
      <c r="U51" s="120"/>
      <c r="V51" s="195">
        <f t="shared" si="48"/>
        <v>0</v>
      </c>
    </row>
    <row r="52" spans="1:22" ht="12.75" customHeight="1" x14ac:dyDescent="0.25">
      <c r="A52" s="14"/>
      <c r="B52" s="20" t="s">
        <v>97</v>
      </c>
      <c r="C52" s="530"/>
      <c r="D52" s="221"/>
      <c r="E52" s="221"/>
      <c r="F52" s="221"/>
      <c r="G52" s="221"/>
      <c r="H52" s="221"/>
      <c r="I52" s="221"/>
      <c r="J52" s="221"/>
      <c r="K52" s="221"/>
      <c r="L52" s="137">
        <f t="shared" si="43"/>
        <v>0</v>
      </c>
      <c r="M52" s="137">
        <f t="shared" si="44"/>
        <v>0</v>
      </c>
      <c r="N52" s="137">
        <f t="shared" si="45"/>
        <v>0</v>
      </c>
      <c r="O52" s="221"/>
      <c r="P52" s="221">
        <f t="shared" si="22"/>
        <v>0</v>
      </c>
      <c r="Q52" s="221">
        <f t="shared" si="23"/>
        <v>0</v>
      </c>
      <c r="R52" s="221">
        <f t="shared" si="24"/>
        <v>0</v>
      </c>
      <c r="S52" s="221">
        <f t="shared" si="16"/>
        <v>0</v>
      </c>
      <c r="T52" s="281">
        <f t="shared" si="47"/>
        <v>0</v>
      </c>
      <c r="U52" s="120"/>
      <c r="V52" s="195">
        <f t="shared" si="48"/>
        <v>0</v>
      </c>
    </row>
    <row r="53" spans="1:22" ht="12.75" customHeight="1" x14ac:dyDescent="0.25">
      <c r="A53" s="14" t="s">
        <v>49</v>
      </c>
      <c r="B53" s="20" t="s">
        <v>50</v>
      </c>
      <c r="C53" s="530"/>
      <c r="D53" s="221"/>
      <c r="E53" s="221"/>
      <c r="F53" s="221"/>
      <c r="G53" s="221"/>
      <c r="H53" s="221"/>
      <c r="I53" s="221"/>
      <c r="J53" s="221"/>
      <c r="K53" s="221"/>
      <c r="L53" s="137">
        <f t="shared" si="43"/>
        <v>0</v>
      </c>
      <c r="M53" s="137">
        <f t="shared" si="44"/>
        <v>0</v>
      </c>
      <c r="N53" s="137">
        <f t="shared" si="45"/>
        <v>0</v>
      </c>
      <c r="O53" s="221"/>
      <c r="P53" s="221">
        <f t="shared" si="22"/>
        <v>0</v>
      </c>
      <c r="Q53" s="221">
        <f t="shared" si="23"/>
        <v>0</v>
      </c>
      <c r="R53" s="221">
        <f t="shared" si="24"/>
        <v>0</v>
      </c>
      <c r="S53" s="221">
        <f t="shared" si="16"/>
        <v>0</v>
      </c>
      <c r="T53" s="281">
        <f t="shared" si="47"/>
        <v>0</v>
      </c>
      <c r="U53" s="120"/>
      <c r="V53" s="195">
        <f t="shared" si="48"/>
        <v>0</v>
      </c>
    </row>
    <row r="54" spans="1:22" ht="12.75" customHeight="1" x14ac:dyDescent="0.25">
      <c r="A54" s="14"/>
      <c r="B54" s="20" t="s">
        <v>88</v>
      </c>
      <c r="C54" s="530"/>
      <c r="D54" s="221"/>
      <c r="E54" s="221"/>
      <c r="F54" s="221"/>
      <c r="G54" s="221"/>
      <c r="H54" s="221"/>
      <c r="I54" s="221"/>
      <c r="J54" s="221"/>
      <c r="K54" s="221"/>
      <c r="L54" s="137">
        <f t="shared" si="43"/>
        <v>0</v>
      </c>
      <c r="M54" s="137">
        <f t="shared" si="44"/>
        <v>0</v>
      </c>
      <c r="N54" s="137">
        <f t="shared" si="45"/>
        <v>0</v>
      </c>
      <c r="O54" s="221"/>
      <c r="P54" s="221">
        <f t="shared" si="22"/>
        <v>0</v>
      </c>
      <c r="Q54" s="221">
        <f t="shared" si="23"/>
        <v>0</v>
      </c>
      <c r="R54" s="221">
        <f t="shared" si="24"/>
        <v>0</v>
      </c>
      <c r="S54" s="221">
        <f t="shared" si="16"/>
        <v>0</v>
      </c>
      <c r="T54" s="281">
        <f t="shared" si="47"/>
        <v>0</v>
      </c>
      <c r="U54" s="120"/>
      <c r="V54" s="195">
        <f t="shared" si="48"/>
        <v>0</v>
      </c>
    </row>
    <row r="55" spans="1:22" ht="12.75" customHeight="1" x14ac:dyDescent="0.25">
      <c r="A55" s="14"/>
      <c r="B55" s="20" t="s">
        <v>51</v>
      </c>
      <c r="C55" s="530"/>
      <c r="D55" s="221"/>
      <c r="E55" s="221"/>
      <c r="F55" s="221"/>
      <c r="G55" s="221"/>
      <c r="H55" s="221"/>
      <c r="I55" s="221"/>
      <c r="J55" s="221"/>
      <c r="K55" s="221"/>
      <c r="L55" s="137">
        <f t="shared" si="43"/>
        <v>0</v>
      </c>
      <c r="M55" s="137">
        <f t="shared" si="44"/>
        <v>0</v>
      </c>
      <c r="N55" s="137">
        <f t="shared" si="45"/>
        <v>0</v>
      </c>
      <c r="O55" s="221"/>
      <c r="P55" s="221">
        <f t="shared" si="22"/>
        <v>0</v>
      </c>
      <c r="Q55" s="221">
        <f t="shared" si="23"/>
        <v>0</v>
      </c>
      <c r="R55" s="221">
        <f t="shared" si="24"/>
        <v>0</v>
      </c>
      <c r="S55" s="221">
        <f t="shared" si="16"/>
        <v>0</v>
      </c>
      <c r="T55" s="281">
        <f t="shared" si="47"/>
        <v>0</v>
      </c>
      <c r="U55" s="120"/>
      <c r="V55" s="195">
        <f t="shared" si="48"/>
        <v>0</v>
      </c>
    </row>
    <row r="56" spans="1:22" ht="12.75" customHeight="1" x14ac:dyDescent="0.25">
      <c r="A56" s="14" t="s">
        <v>52</v>
      </c>
      <c r="B56" s="20" t="s">
        <v>53</v>
      </c>
      <c r="C56" s="723">
        <v>600000</v>
      </c>
      <c r="D56" s="221">
        <v>600000</v>
      </c>
      <c r="E56" s="221">
        <v>160000</v>
      </c>
      <c r="F56" s="221">
        <v>2042050</v>
      </c>
      <c r="G56" s="221"/>
      <c r="H56" s="221">
        <v>0</v>
      </c>
      <c r="I56" s="221">
        <v>45412</v>
      </c>
      <c r="J56" s="221">
        <v>1888462</v>
      </c>
      <c r="K56" s="221"/>
      <c r="L56" s="137">
        <f t="shared" si="43"/>
        <v>0</v>
      </c>
      <c r="M56" s="137">
        <f t="shared" si="44"/>
        <v>7.5686666666666666E-2</v>
      </c>
      <c r="N56" s="137">
        <f t="shared" si="45"/>
        <v>11.802887500000001</v>
      </c>
      <c r="O56" s="221"/>
      <c r="P56" s="302">
        <f t="shared" si="22"/>
        <v>0</v>
      </c>
      <c r="Q56" s="302">
        <f t="shared" si="23"/>
        <v>-440000</v>
      </c>
      <c r="R56" s="302">
        <f t="shared" si="24"/>
        <v>0</v>
      </c>
      <c r="S56" s="302">
        <f t="shared" si="16"/>
        <v>-440000</v>
      </c>
      <c r="T56" s="281">
        <f t="shared" si="47"/>
        <v>-0.73333333333333328</v>
      </c>
      <c r="U56" s="120"/>
      <c r="V56" s="195">
        <f t="shared" si="48"/>
        <v>0</v>
      </c>
    </row>
    <row r="57" spans="1:22" ht="12.75" customHeight="1" x14ac:dyDescent="0.25">
      <c r="A57" s="14"/>
      <c r="B57" s="20" t="s">
        <v>54</v>
      </c>
      <c r="C57" s="530"/>
      <c r="D57" s="221"/>
      <c r="E57" s="221"/>
      <c r="F57" s="221"/>
      <c r="G57" s="221"/>
      <c r="H57" s="221"/>
      <c r="I57" s="221"/>
      <c r="J57" s="221"/>
      <c r="K57" s="221"/>
      <c r="L57" s="137">
        <f t="shared" si="43"/>
        <v>0</v>
      </c>
      <c r="M57" s="137">
        <f t="shared" si="44"/>
        <v>0</v>
      </c>
      <c r="N57" s="137">
        <f t="shared" si="45"/>
        <v>0</v>
      </c>
      <c r="O57" s="221"/>
      <c r="P57" s="221">
        <f t="shared" si="22"/>
        <v>0</v>
      </c>
      <c r="Q57" s="221">
        <f t="shared" si="23"/>
        <v>0</v>
      </c>
      <c r="R57" s="221">
        <f t="shared" si="24"/>
        <v>0</v>
      </c>
      <c r="S57" s="221">
        <f t="shared" si="16"/>
        <v>0</v>
      </c>
      <c r="T57" s="281">
        <f t="shared" si="47"/>
        <v>0</v>
      </c>
      <c r="U57" s="120"/>
      <c r="V57" s="195">
        <f t="shared" si="48"/>
        <v>0</v>
      </c>
    </row>
    <row r="58" spans="1:22" ht="12.75" customHeight="1" x14ac:dyDescent="0.25">
      <c r="A58" s="14" t="s">
        <v>55</v>
      </c>
      <c r="B58" s="20" t="s">
        <v>89</v>
      </c>
      <c r="C58" s="530">
        <v>100000</v>
      </c>
      <c r="D58" s="221">
        <v>100000</v>
      </c>
      <c r="E58" s="221">
        <v>0</v>
      </c>
      <c r="F58" s="221">
        <v>60000</v>
      </c>
      <c r="G58" s="221"/>
      <c r="H58" s="221">
        <v>0</v>
      </c>
      <c r="I58" s="221">
        <v>0</v>
      </c>
      <c r="J58" s="221">
        <v>60000</v>
      </c>
      <c r="K58" s="221"/>
      <c r="L58" s="137">
        <f t="shared" si="43"/>
        <v>0</v>
      </c>
      <c r="M58" s="137">
        <f t="shared" si="44"/>
        <v>0</v>
      </c>
      <c r="N58" s="137" t="e">
        <f t="shared" si="45"/>
        <v>#DIV/0!</v>
      </c>
      <c r="O58" s="221"/>
      <c r="P58" s="302">
        <f t="shared" si="22"/>
        <v>0</v>
      </c>
      <c r="Q58" s="302">
        <f t="shared" si="23"/>
        <v>-100000</v>
      </c>
      <c r="R58" s="302">
        <f t="shared" si="24"/>
        <v>0</v>
      </c>
      <c r="S58" s="302">
        <f t="shared" si="16"/>
        <v>-100000</v>
      </c>
      <c r="T58" s="281">
        <f t="shared" si="47"/>
        <v>-1</v>
      </c>
      <c r="U58" s="120"/>
      <c r="V58" s="195">
        <f t="shared" si="48"/>
        <v>0</v>
      </c>
    </row>
    <row r="59" spans="1:22" ht="12.75" customHeight="1" x14ac:dyDescent="0.25">
      <c r="A59" s="14"/>
      <c r="B59" s="20" t="s">
        <v>56</v>
      </c>
      <c r="C59" s="530"/>
      <c r="D59" s="221"/>
      <c r="E59" s="221"/>
      <c r="F59" s="221"/>
      <c r="G59" s="221"/>
      <c r="H59" s="221"/>
      <c r="I59" s="221"/>
      <c r="J59" s="221"/>
      <c r="K59" s="221"/>
      <c r="L59" s="137">
        <f t="shared" si="43"/>
        <v>0</v>
      </c>
      <c r="M59" s="137">
        <f t="shared" si="44"/>
        <v>0</v>
      </c>
      <c r="N59" s="137">
        <f t="shared" si="45"/>
        <v>0</v>
      </c>
      <c r="O59" s="221"/>
      <c r="P59" s="221">
        <f t="shared" si="22"/>
        <v>0</v>
      </c>
      <c r="Q59" s="221">
        <f t="shared" si="23"/>
        <v>0</v>
      </c>
      <c r="R59" s="221">
        <f t="shared" si="24"/>
        <v>0</v>
      </c>
      <c r="S59" s="221">
        <f t="shared" si="16"/>
        <v>0</v>
      </c>
      <c r="T59" s="281">
        <f t="shared" si="47"/>
        <v>0</v>
      </c>
      <c r="U59" s="120"/>
      <c r="V59" s="195">
        <f t="shared" si="48"/>
        <v>0</v>
      </c>
    </row>
    <row r="60" spans="1:22" ht="12.75" customHeight="1" x14ac:dyDescent="0.25">
      <c r="A60" s="14" t="s">
        <v>57</v>
      </c>
      <c r="B60" s="20" t="s">
        <v>58</v>
      </c>
      <c r="C60" s="530"/>
      <c r="D60" s="221"/>
      <c r="E60" s="221"/>
      <c r="F60" s="221"/>
      <c r="G60" s="221"/>
      <c r="H60" s="221"/>
      <c r="I60" s="221"/>
      <c r="J60" s="221">
        <v>0</v>
      </c>
      <c r="K60" s="221"/>
      <c r="L60" s="137">
        <f t="shared" si="43"/>
        <v>0</v>
      </c>
      <c r="M60" s="137">
        <f t="shared" si="44"/>
        <v>0</v>
      </c>
      <c r="N60" s="137">
        <f t="shared" si="45"/>
        <v>0</v>
      </c>
      <c r="O60" s="221"/>
      <c r="P60" s="221">
        <f t="shared" si="22"/>
        <v>0</v>
      </c>
      <c r="Q60" s="221">
        <f t="shared" si="23"/>
        <v>0</v>
      </c>
      <c r="R60" s="221">
        <f t="shared" si="24"/>
        <v>0</v>
      </c>
      <c r="S60" s="221">
        <f t="shared" si="16"/>
        <v>0</v>
      </c>
      <c r="T60" s="281">
        <f t="shared" si="47"/>
        <v>0</v>
      </c>
      <c r="U60" s="120"/>
      <c r="V60" s="195">
        <f t="shared" si="48"/>
        <v>0</v>
      </c>
    </row>
    <row r="61" spans="1:22" ht="12.75" customHeight="1" x14ac:dyDescent="0.25">
      <c r="A61" s="20"/>
      <c r="B61" s="20" t="s">
        <v>59</v>
      </c>
      <c r="C61" s="530"/>
      <c r="D61" s="221"/>
      <c r="E61" s="221"/>
      <c r="F61" s="221"/>
      <c r="G61" s="221"/>
      <c r="H61" s="221"/>
      <c r="I61" s="221"/>
      <c r="J61" s="221"/>
      <c r="K61" s="221"/>
      <c r="L61" s="137">
        <f t="shared" si="43"/>
        <v>0</v>
      </c>
      <c r="M61" s="137">
        <f t="shared" si="44"/>
        <v>0</v>
      </c>
      <c r="N61" s="137">
        <f t="shared" si="45"/>
        <v>0</v>
      </c>
      <c r="O61" s="221"/>
      <c r="P61" s="221">
        <f t="shared" si="22"/>
        <v>0</v>
      </c>
      <c r="Q61" s="221">
        <f t="shared" si="23"/>
        <v>0</v>
      </c>
      <c r="R61" s="221">
        <f t="shared" si="24"/>
        <v>0</v>
      </c>
      <c r="S61" s="221">
        <f t="shared" si="16"/>
        <v>0</v>
      </c>
      <c r="T61" s="281">
        <f t="shared" si="47"/>
        <v>0</v>
      </c>
      <c r="U61" s="120"/>
      <c r="V61" s="195">
        <f t="shared" si="48"/>
        <v>0</v>
      </c>
    </row>
    <row r="62" spans="1:22" ht="12.75" customHeight="1" x14ac:dyDescent="0.25">
      <c r="A62" s="14" t="s">
        <v>60</v>
      </c>
      <c r="B62" s="20" t="s">
        <v>61</v>
      </c>
      <c r="C62" s="530">
        <v>50000</v>
      </c>
      <c r="D62" s="221">
        <v>50000</v>
      </c>
      <c r="E62" s="221">
        <v>50000</v>
      </c>
      <c r="F62" s="221">
        <v>50000</v>
      </c>
      <c r="G62" s="221"/>
      <c r="H62" s="221">
        <v>19500</v>
      </c>
      <c r="I62" s="221">
        <v>24200</v>
      </c>
      <c r="J62" s="221">
        <v>24200</v>
      </c>
      <c r="K62" s="221"/>
      <c r="L62" s="137">
        <f t="shared" si="43"/>
        <v>0.39</v>
      </c>
      <c r="M62" s="137">
        <f t="shared" si="44"/>
        <v>0.48399999999999999</v>
      </c>
      <c r="N62" s="137">
        <f t="shared" si="45"/>
        <v>0.48399999999999999</v>
      </c>
      <c r="O62" s="221"/>
      <c r="P62" s="302">
        <f t="shared" si="22"/>
        <v>0</v>
      </c>
      <c r="Q62" s="302">
        <f t="shared" si="23"/>
        <v>0</v>
      </c>
      <c r="R62" s="302">
        <f t="shared" si="24"/>
        <v>0</v>
      </c>
      <c r="S62" s="302">
        <f t="shared" si="16"/>
        <v>0</v>
      </c>
      <c r="T62" s="281">
        <f t="shared" si="47"/>
        <v>0</v>
      </c>
      <c r="U62" s="120"/>
      <c r="V62" s="195">
        <f t="shared" si="48"/>
        <v>0</v>
      </c>
    </row>
    <row r="63" spans="1:22" ht="25.5" customHeight="1" x14ac:dyDescent="0.25">
      <c r="A63" s="14"/>
      <c r="B63" s="20" t="s">
        <v>100</v>
      </c>
      <c r="C63" s="530"/>
      <c r="D63" s="221"/>
      <c r="E63" s="221"/>
      <c r="F63" s="221"/>
      <c r="G63" s="221"/>
      <c r="H63" s="221"/>
      <c r="I63" s="221"/>
      <c r="J63" s="221"/>
      <c r="K63" s="221"/>
      <c r="L63" s="137">
        <f t="shared" si="43"/>
        <v>0</v>
      </c>
      <c r="M63" s="137">
        <f t="shared" si="44"/>
        <v>0</v>
      </c>
      <c r="N63" s="137">
        <f t="shared" si="45"/>
        <v>0</v>
      </c>
      <c r="O63" s="221"/>
      <c r="P63" s="221">
        <f t="shared" si="22"/>
        <v>0</v>
      </c>
      <c r="Q63" s="221">
        <f t="shared" si="23"/>
        <v>0</v>
      </c>
      <c r="R63" s="221">
        <f t="shared" si="24"/>
        <v>0</v>
      </c>
      <c r="S63" s="221">
        <f t="shared" si="16"/>
        <v>0</v>
      </c>
      <c r="T63" s="281">
        <f t="shared" si="47"/>
        <v>0</v>
      </c>
      <c r="U63" s="120"/>
      <c r="V63" s="195">
        <f t="shared" si="48"/>
        <v>0</v>
      </c>
    </row>
    <row r="64" spans="1:22" ht="12.75" customHeight="1" x14ac:dyDescent="0.25">
      <c r="A64" s="14" t="s">
        <v>62</v>
      </c>
      <c r="B64" s="20" t="s">
        <v>63</v>
      </c>
      <c r="C64" s="723">
        <v>2100000</v>
      </c>
      <c r="D64" s="221">
        <v>2100000</v>
      </c>
      <c r="E64" s="221">
        <v>2776500</v>
      </c>
      <c r="F64" s="221">
        <v>3695643</v>
      </c>
      <c r="G64" s="221"/>
      <c r="H64" s="221">
        <v>182230</v>
      </c>
      <c r="I64" s="221">
        <v>2174192</v>
      </c>
      <c r="J64" s="221">
        <v>3587162</v>
      </c>
      <c r="K64" s="221"/>
      <c r="L64" s="137">
        <f t="shared" si="43"/>
        <v>8.6776190476190479E-2</v>
      </c>
      <c r="M64" s="137">
        <f t="shared" si="44"/>
        <v>1.0353295238095237</v>
      </c>
      <c r="N64" s="137">
        <f t="shared" si="45"/>
        <v>1.2919726274086079</v>
      </c>
      <c r="O64" s="221"/>
      <c r="P64" s="302">
        <f t="shared" si="22"/>
        <v>0</v>
      </c>
      <c r="Q64" s="302">
        <f t="shared" si="23"/>
        <v>676500</v>
      </c>
      <c r="R64" s="302">
        <f t="shared" si="24"/>
        <v>0</v>
      </c>
      <c r="S64" s="302">
        <f t="shared" si="16"/>
        <v>676500</v>
      </c>
      <c r="T64" s="281">
        <f t="shared" si="47"/>
        <v>0.32214285714285712</v>
      </c>
      <c r="U64" s="120"/>
      <c r="V64" s="195">
        <f t="shared" si="48"/>
        <v>0</v>
      </c>
    </row>
    <row r="65" spans="1:22" ht="40.200000000000003" customHeight="1" x14ac:dyDescent="0.25">
      <c r="A65" s="14"/>
      <c r="B65" s="20" t="s">
        <v>64</v>
      </c>
      <c r="C65" s="530"/>
      <c r="D65" s="221"/>
      <c r="E65" s="221"/>
      <c r="F65" s="221"/>
      <c r="G65" s="221"/>
      <c r="H65" s="221"/>
      <c r="I65" s="221"/>
      <c r="J65" s="221"/>
      <c r="K65" s="221"/>
      <c r="L65" s="137">
        <f t="shared" si="43"/>
        <v>0</v>
      </c>
      <c r="M65" s="137">
        <f t="shared" si="44"/>
        <v>0</v>
      </c>
      <c r="N65" s="137">
        <f t="shared" si="45"/>
        <v>0</v>
      </c>
      <c r="O65" s="221"/>
      <c r="P65" s="221">
        <f t="shared" si="22"/>
        <v>0</v>
      </c>
      <c r="Q65" s="221">
        <f t="shared" si="23"/>
        <v>0</v>
      </c>
      <c r="R65" s="221">
        <f t="shared" si="24"/>
        <v>0</v>
      </c>
      <c r="S65" s="221">
        <f t="shared" si="16"/>
        <v>0</v>
      </c>
      <c r="T65" s="281">
        <f t="shared" ref="T65:T106" si="49">IF(C65=0,0,+S65/C65)</f>
        <v>0</v>
      </c>
      <c r="U65" s="120"/>
      <c r="V65" s="195">
        <f t="shared" ref="V65:V106" si="50">+S65-E65+C65</f>
        <v>0</v>
      </c>
    </row>
    <row r="66" spans="1:22" ht="12.75" customHeight="1" x14ac:dyDescent="0.25">
      <c r="A66" s="38" t="s">
        <v>65</v>
      </c>
      <c r="B66" s="39" t="s">
        <v>66</v>
      </c>
      <c r="C66" s="278">
        <f>SUM(C67:C70)</f>
        <v>78000</v>
      </c>
      <c r="D66" s="278">
        <f t="shared" ref="D66:J66" si="51">SUM(D67:D70)</f>
        <v>118000</v>
      </c>
      <c r="E66" s="278">
        <f t="shared" si="51"/>
        <v>118000</v>
      </c>
      <c r="F66" s="278">
        <f t="shared" si="51"/>
        <v>118000</v>
      </c>
      <c r="G66" s="278"/>
      <c r="H66" s="278">
        <f t="shared" si="51"/>
        <v>12695</v>
      </c>
      <c r="I66" s="278">
        <f t="shared" si="51"/>
        <v>37457</v>
      </c>
      <c r="J66" s="278">
        <f t="shared" si="51"/>
        <v>63457</v>
      </c>
      <c r="K66" s="221"/>
      <c r="L66" s="137">
        <f t="shared" si="43"/>
        <v>0.16275641025641024</v>
      </c>
      <c r="M66" s="137">
        <f t="shared" si="44"/>
        <v>0.31743220338983053</v>
      </c>
      <c r="N66" s="137">
        <f t="shared" si="45"/>
        <v>0.53777118644067801</v>
      </c>
      <c r="O66" s="221"/>
      <c r="P66" s="221">
        <f t="shared" si="22"/>
        <v>40000</v>
      </c>
      <c r="Q66" s="221">
        <f t="shared" si="23"/>
        <v>0</v>
      </c>
      <c r="R66" s="221">
        <f t="shared" si="24"/>
        <v>0</v>
      </c>
      <c r="S66" s="221">
        <f t="shared" si="16"/>
        <v>40000</v>
      </c>
      <c r="T66" s="281">
        <f t="shared" si="49"/>
        <v>0.51282051282051277</v>
      </c>
      <c r="U66" s="120"/>
      <c r="V66" s="195">
        <f t="shared" si="50"/>
        <v>0</v>
      </c>
    </row>
    <row r="67" spans="1:22" ht="12.75" customHeight="1" x14ac:dyDescent="0.25">
      <c r="A67" s="14" t="s">
        <v>67</v>
      </c>
      <c r="B67" s="20" t="s">
        <v>68</v>
      </c>
      <c r="C67" s="530">
        <v>3000</v>
      </c>
      <c r="D67" s="221">
        <v>43000</v>
      </c>
      <c r="E67" s="221">
        <v>43000</v>
      </c>
      <c r="F67" s="221">
        <v>43000</v>
      </c>
      <c r="G67" s="221"/>
      <c r="H67" s="221">
        <v>12695</v>
      </c>
      <c r="I67" s="221">
        <v>12695</v>
      </c>
      <c r="J67" s="221">
        <v>12695</v>
      </c>
      <c r="K67" s="221"/>
      <c r="L67" s="137">
        <f t="shared" si="43"/>
        <v>4.2316666666666665</v>
      </c>
      <c r="M67" s="137">
        <f t="shared" si="44"/>
        <v>0.29523255813953486</v>
      </c>
      <c r="N67" s="137">
        <f t="shared" si="45"/>
        <v>0.29523255813953486</v>
      </c>
      <c r="O67" s="221"/>
      <c r="P67" s="302">
        <f t="shared" si="22"/>
        <v>40000</v>
      </c>
      <c r="Q67" s="302">
        <f t="shared" si="23"/>
        <v>0</v>
      </c>
      <c r="R67" s="302">
        <f t="shared" si="24"/>
        <v>0</v>
      </c>
      <c r="S67" s="302">
        <f t="shared" si="16"/>
        <v>40000</v>
      </c>
      <c r="T67" s="281">
        <f t="shared" si="49"/>
        <v>13.333333333333334</v>
      </c>
      <c r="U67" s="120"/>
      <c r="V67" s="195">
        <f t="shared" si="50"/>
        <v>0</v>
      </c>
    </row>
    <row r="68" spans="1:22" ht="39.6" customHeight="1" x14ac:dyDescent="0.25">
      <c r="A68" s="14"/>
      <c r="B68" s="20" t="s">
        <v>69</v>
      </c>
      <c r="C68" s="530"/>
      <c r="D68" s="221"/>
      <c r="E68" s="221"/>
      <c r="F68" s="221"/>
      <c r="G68" s="221"/>
      <c r="H68" s="221"/>
      <c r="I68" s="221"/>
      <c r="J68" s="221"/>
      <c r="K68" s="221"/>
      <c r="L68" s="137">
        <f t="shared" si="43"/>
        <v>0</v>
      </c>
      <c r="M68" s="137">
        <f t="shared" si="44"/>
        <v>0</v>
      </c>
      <c r="N68" s="137">
        <f t="shared" si="45"/>
        <v>0</v>
      </c>
      <c r="O68" s="221"/>
      <c r="P68" s="221"/>
      <c r="Q68" s="221"/>
      <c r="R68" s="221"/>
      <c r="S68" s="221">
        <f t="shared" si="16"/>
        <v>0</v>
      </c>
      <c r="T68" s="281">
        <f t="shared" si="49"/>
        <v>0</v>
      </c>
      <c r="U68" s="120"/>
      <c r="V68" s="195">
        <f t="shared" si="50"/>
        <v>0</v>
      </c>
    </row>
    <row r="69" spans="1:22" ht="12.75" customHeight="1" x14ac:dyDescent="0.25">
      <c r="A69" s="14" t="s">
        <v>70</v>
      </c>
      <c r="B69" s="20" t="s">
        <v>98</v>
      </c>
      <c r="C69" s="530">
        <v>75000</v>
      </c>
      <c r="D69" s="221">
        <v>75000</v>
      </c>
      <c r="E69" s="221">
        <v>75000</v>
      </c>
      <c r="F69" s="221">
        <v>75000</v>
      </c>
      <c r="G69" s="221"/>
      <c r="H69" s="221">
        <v>0</v>
      </c>
      <c r="I69" s="221">
        <v>24762</v>
      </c>
      <c r="J69" s="221">
        <v>50762</v>
      </c>
      <c r="K69" s="221"/>
      <c r="L69" s="137">
        <f t="shared" si="43"/>
        <v>0</v>
      </c>
      <c r="M69" s="137">
        <f t="shared" si="44"/>
        <v>0.33016000000000001</v>
      </c>
      <c r="N69" s="137">
        <f t="shared" si="45"/>
        <v>0.67682666666666669</v>
      </c>
      <c r="O69" s="221"/>
      <c r="P69" s="302">
        <f t="shared" ref="P69:P97" si="52">+(D69-C69)*P$10</f>
        <v>0</v>
      </c>
      <c r="Q69" s="302">
        <f t="shared" ref="Q69:Q97" si="53">+(E69-D69)*Q$10</f>
        <v>0</v>
      </c>
      <c r="R69" s="302">
        <f t="shared" ref="R69:R97" si="54">+(F69-E69)*R$10</f>
        <v>0</v>
      </c>
      <c r="S69" s="302">
        <f t="shared" si="16"/>
        <v>0</v>
      </c>
      <c r="T69" s="281">
        <f t="shared" si="49"/>
        <v>0</v>
      </c>
      <c r="U69" s="120"/>
      <c r="V69" s="195">
        <f t="shared" si="50"/>
        <v>0</v>
      </c>
    </row>
    <row r="70" spans="1:22" ht="12.75" customHeight="1" x14ac:dyDescent="0.25">
      <c r="A70" s="14"/>
      <c r="B70" s="20" t="s">
        <v>71</v>
      </c>
      <c r="C70" s="530"/>
      <c r="D70" s="221"/>
      <c r="E70" s="221">
        <v>0</v>
      </c>
      <c r="F70" s="221"/>
      <c r="G70" s="221"/>
      <c r="H70" s="221"/>
      <c r="I70" s="221"/>
      <c r="J70" s="221"/>
      <c r="K70" s="221"/>
      <c r="L70" s="137">
        <f t="shared" si="43"/>
        <v>0</v>
      </c>
      <c r="M70" s="137">
        <f t="shared" si="44"/>
        <v>0</v>
      </c>
      <c r="N70" s="137">
        <f t="shared" si="45"/>
        <v>0</v>
      </c>
      <c r="O70" s="221"/>
      <c r="P70" s="221">
        <f t="shared" si="52"/>
        <v>0</v>
      </c>
      <c r="Q70" s="221">
        <f t="shared" si="53"/>
        <v>0</v>
      </c>
      <c r="R70" s="221">
        <f t="shared" si="54"/>
        <v>0</v>
      </c>
      <c r="S70" s="221">
        <f t="shared" si="16"/>
        <v>0</v>
      </c>
      <c r="T70" s="281">
        <f t="shared" si="49"/>
        <v>0</v>
      </c>
      <c r="U70" s="120"/>
      <c r="V70" s="195">
        <f t="shared" si="50"/>
        <v>0</v>
      </c>
    </row>
    <row r="71" spans="1:22" ht="12.75" customHeight="1" x14ac:dyDescent="0.25">
      <c r="A71" s="38" t="s">
        <v>72</v>
      </c>
      <c r="B71" s="39" t="s">
        <v>73</v>
      </c>
      <c r="C71" s="278">
        <f>SUM(C72:C81)</f>
        <v>1840000</v>
      </c>
      <c r="D71" s="278">
        <f t="shared" ref="D71:J71" si="55">SUM(D72:D81)</f>
        <v>1840000</v>
      </c>
      <c r="E71" s="278">
        <f t="shared" si="55"/>
        <v>1384000</v>
      </c>
      <c r="F71" s="278">
        <f t="shared" si="55"/>
        <v>1621924</v>
      </c>
      <c r="G71" s="278"/>
      <c r="H71" s="278">
        <f t="shared" si="55"/>
        <v>465678</v>
      </c>
      <c r="I71" s="278">
        <f t="shared" si="55"/>
        <v>1016005</v>
      </c>
      <c r="J71" s="278">
        <f t="shared" si="55"/>
        <v>1483803</v>
      </c>
      <c r="K71" s="221"/>
      <c r="L71" s="137">
        <f t="shared" si="43"/>
        <v>0.25308586956521739</v>
      </c>
      <c r="M71" s="137">
        <f t="shared" si="44"/>
        <v>0.5521766304347826</v>
      </c>
      <c r="N71" s="137">
        <f t="shared" si="45"/>
        <v>1.0721119942196531</v>
      </c>
      <c r="O71" s="221"/>
      <c r="P71" s="221">
        <f t="shared" si="52"/>
        <v>0</v>
      </c>
      <c r="Q71" s="221">
        <f t="shared" si="53"/>
        <v>-456000</v>
      </c>
      <c r="R71" s="221">
        <f t="shared" si="54"/>
        <v>0</v>
      </c>
      <c r="S71" s="221">
        <f t="shared" si="16"/>
        <v>-456000</v>
      </c>
      <c r="T71" s="281">
        <f t="shared" si="49"/>
        <v>-0.24782608695652175</v>
      </c>
      <c r="U71" s="120"/>
      <c r="V71" s="195">
        <f t="shared" si="50"/>
        <v>0</v>
      </c>
    </row>
    <row r="72" spans="1:22" ht="12.75" customHeight="1" x14ac:dyDescent="0.25">
      <c r="A72" s="14" t="s">
        <v>74</v>
      </c>
      <c r="B72" s="20" t="s">
        <v>75</v>
      </c>
      <c r="C72" s="530">
        <v>1800000</v>
      </c>
      <c r="D72" s="221">
        <v>1800000</v>
      </c>
      <c r="E72" s="221">
        <v>1344000</v>
      </c>
      <c r="F72" s="221">
        <v>1581924</v>
      </c>
      <c r="G72" s="221"/>
      <c r="H72" s="221">
        <v>461308</v>
      </c>
      <c r="I72" s="221">
        <v>1011338</v>
      </c>
      <c r="J72" s="221">
        <v>1477452</v>
      </c>
      <c r="K72" s="221"/>
      <c r="L72" s="137">
        <f t="shared" si="43"/>
        <v>0.25628222222222224</v>
      </c>
      <c r="M72" s="137">
        <f t="shared" si="44"/>
        <v>0.56185444444444443</v>
      </c>
      <c r="N72" s="137">
        <f t="shared" si="45"/>
        <v>1.0992946428571428</v>
      </c>
      <c r="O72" s="221"/>
      <c r="P72" s="302">
        <f t="shared" si="52"/>
        <v>0</v>
      </c>
      <c r="Q72" s="302">
        <f t="shared" si="53"/>
        <v>-456000</v>
      </c>
      <c r="R72" s="302">
        <f t="shared" si="54"/>
        <v>0</v>
      </c>
      <c r="S72" s="302">
        <f t="shared" si="16"/>
        <v>-456000</v>
      </c>
      <c r="T72" s="281">
        <f t="shared" si="49"/>
        <v>-0.25333333333333335</v>
      </c>
      <c r="U72" s="120"/>
      <c r="V72" s="195">
        <f t="shared" si="50"/>
        <v>0</v>
      </c>
    </row>
    <row r="73" spans="1:22" ht="12.75" customHeight="1" x14ac:dyDescent="0.25">
      <c r="A73" s="14"/>
      <c r="B73" s="20" t="s">
        <v>76</v>
      </c>
      <c r="C73" s="530"/>
      <c r="D73" s="221"/>
      <c r="E73" s="221"/>
      <c r="F73" s="221"/>
      <c r="G73" s="221"/>
      <c r="H73" s="221"/>
      <c r="I73" s="221"/>
      <c r="J73" s="221"/>
      <c r="K73" s="221"/>
      <c r="L73" s="137">
        <f t="shared" si="43"/>
        <v>0</v>
      </c>
      <c r="M73" s="137">
        <f t="shared" si="44"/>
        <v>0</v>
      </c>
      <c r="N73" s="137">
        <f t="shared" si="45"/>
        <v>0</v>
      </c>
      <c r="O73" s="221"/>
      <c r="P73" s="221">
        <f t="shared" si="52"/>
        <v>0</v>
      </c>
      <c r="Q73" s="221">
        <f t="shared" si="53"/>
        <v>0</v>
      </c>
      <c r="R73" s="221">
        <f t="shared" si="54"/>
        <v>0</v>
      </c>
      <c r="S73" s="221">
        <f t="shared" si="16"/>
        <v>0</v>
      </c>
      <c r="T73" s="281">
        <f t="shared" si="49"/>
        <v>0</v>
      </c>
      <c r="U73" s="120"/>
      <c r="V73" s="195">
        <f t="shared" si="50"/>
        <v>0</v>
      </c>
    </row>
    <row r="74" spans="1:22" ht="12.75" customHeight="1" x14ac:dyDescent="0.25">
      <c r="A74" s="14" t="s">
        <v>77</v>
      </c>
      <c r="B74" s="20" t="s">
        <v>78</v>
      </c>
      <c r="C74" s="530">
        <v>30000</v>
      </c>
      <c r="D74" s="221">
        <v>30000</v>
      </c>
      <c r="E74" s="221">
        <v>30000</v>
      </c>
      <c r="F74" s="221">
        <v>30000</v>
      </c>
      <c r="G74" s="221"/>
      <c r="H74" s="221">
        <v>3000</v>
      </c>
      <c r="I74" s="221">
        <v>3000</v>
      </c>
      <c r="J74" s="221">
        <v>3000</v>
      </c>
      <c r="K74" s="221"/>
      <c r="L74" s="137">
        <f t="shared" si="43"/>
        <v>0.1</v>
      </c>
      <c r="M74" s="137">
        <f t="shared" si="44"/>
        <v>0.1</v>
      </c>
      <c r="N74" s="137">
        <f t="shared" si="45"/>
        <v>0.1</v>
      </c>
      <c r="O74" s="221"/>
      <c r="P74" s="302">
        <f t="shared" si="52"/>
        <v>0</v>
      </c>
      <c r="Q74" s="302">
        <f t="shared" si="53"/>
        <v>0</v>
      </c>
      <c r="R74" s="302">
        <f t="shared" si="54"/>
        <v>0</v>
      </c>
      <c r="S74" s="302">
        <f t="shared" si="16"/>
        <v>0</v>
      </c>
      <c r="T74" s="281">
        <f t="shared" si="49"/>
        <v>0</v>
      </c>
      <c r="U74" s="120"/>
      <c r="V74" s="195">
        <f t="shared" si="50"/>
        <v>0</v>
      </c>
    </row>
    <row r="75" spans="1:22" ht="12.75" customHeight="1" x14ac:dyDescent="0.25">
      <c r="A75" s="14"/>
      <c r="B75" s="20" t="s">
        <v>99</v>
      </c>
      <c r="C75" s="530"/>
      <c r="D75" s="221"/>
      <c r="E75" s="221"/>
      <c r="F75" s="221"/>
      <c r="G75" s="221"/>
      <c r="H75" s="221"/>
      <c r="I75" s="221"/>
      <c r="J75" s="221"/>
      <c r="K75" s="221"/>
      <c r="L75" s="137">
        <f t="shared" si="43"/>
        <v>0</v>
      </c>
      <c r="M75" s="137">
        <f t="shared" si="44"/>
        <v>0</v>
      </c>
      <c r="N75" s="137">
        <f t="shared" si="45"/>
        <v>0</v>
      </c>
      <c r="O75" s="221"/>
      <c r="P75" s="221">
        <f t="shared" si="52"/>
        <v>0</v>
      </c>
      <c r="Q75" s="221">
        <f t="shared" si="53"/>
        <v>0</v>
      </c>
      <c r="R75" s="221">
        <f t="shared" si="54"/>
        <v>0</v>
      </c>
      <c r="S75" s="221">
        <f t="shared" si="16"/>
        <v>0</v>
      </c>
      <c r="T75" s="281">
        <f t="shared" si="49"/>
        <v>0</v>
      </c>
      <c r="U75" s="120"/>
      <c r="V75" s="195">
        <f t="shared" si="50"/>
        <v>0</v>
      </c>
    </row>
    <row r="76" spans="1:22" ht="12.75" customHeight="1" x14ac:dyDescent="0.25">
      <c r="A76" s="14" t="s">
        <v>79</v>
      </c>
      <c r="B76" s="20" t="s">
        <v>80</v>
      </c>
      <c r="C76" s="530">
        <v>0</v>
      </c>
      <c r="D76" s="221">
        <v>0</v>
      </c>
      <c r="E76" s="221">
        <v>0</v>
      </c>
      <c r="F76" s="221">
        <v>0</v>
      </c>
      <c r="G76" s="221"/>
      <c r="H76" s="221">
        <v>0</v>
      </c>
      <c r="I76" s="221">
        <v>0</v>
      </c>
      <c r="J76" s="221">
        <v>0</v>
      </c>
      <c r="K76" s="221"/>
      <c r="L76" s="137">
        <f t="shared" si="43"/>
        <v>0</v>
      </c>
      <c r="M76" s="137">
        <f t="shared" si="44"/>
        <v>0</v>
      </c>
      <c r="N76" s="137">
        <f t="shared" si="45"/>
        <v>0</v>
      </c>
      <c r="O76" s="221"/>
      <c r="P76" s="221">
        <f t="shared" si="52"/>
        <v>0</v>
      </c>
      <c r="Q76" s="221">
        <f t="shared" si="53"/>
        <v>0</v>
      </c>
      <c r="R76" s="221">
        <f t="shared" si="54"/>
        <v>0</v>
      </c>
      <c r="S76" s="221">
        <f t="shared" si="16"/>
        <v>0</v>
      </c>
      <c r="T76" s="281">
        <f t="shared" si="49"/>
        <v>0</v>
      </c>
      <c r="U76" s="120"/>
      <c r="V76" s="195">
        <f t="shared" si="50"/>
        <v>0</v>
      </c>
    </row>
    <row r="77" spans="1:22" ht="12.75" customHeight="1" x14ac:dyDescent="0.25">
      <c r="A77" s="14"/>
      <c r="B77" s="20" t="s">
        <v>104</v>
      </c>
      <c r="C77" s="530"/>
      <c r="D77" s="221"/>
      <c r="E77" s="221"/>
      <c r="F77" s="221"/>
      <c r="G77" s="221"/>
      <c r="H77" s="221"/>
      <c r="I77" s="221"/>
      <c r="J77" s="221"/>
      <c r="K77" s="221"/>
      <c r="L77" s="137">
        <f t="shared" si="43"/>
        <v>0</v>
      </c>
      <c r="M77" s="137">
        <f t="shared" si="44"/>
        <v>0</v>
      </c>
      <c r="N77" s="137">
        <f t="shared" si="45"/>
        <v>0</v>
      </c>
      <c r="O77" s="221"/>
      <c r="P77" s="221">
        <f t="shared" si="52"/>
        <v>0</v>
      </c>
      <c r="Q77" s="221">
        <f t="shared" si="53"/>
        <v>0</v>
      </c>
      <c r="R77" s="221">
        <f t="shared" si="54"/>
        <v>0</v>
      </c>
      <c r="S77" s="221">
        <f t="shared" si="16"/>
        <v>0</v>
      </c>
      <c r="T77" s="281">
        <f t="shared" si="49"/>
        <v>0</v>
      </c>
      <c r="U77" s="120"/>
      <c r="V77" s="195">
        <f t="shared" si="50"/>
        <v>0</v>
      </c>
    </row>
    <row r="78" spans="1:22" ht="12.75" customHeight="1" x14ac:dyDescent="0.25">
      <c r="A78" s="14" t="s">
        <v>82</v>
      </c>
      <c r="B78" s="20" t="s">
        <v>83</v>
      </c>
      <c r="C78" s="530">
        <v>0</v>
      </c>
      <c r="D78" s="221">
        <v>0</v>
      </c>
      <c r="E78" s="221">
        <v>0</v>
      </c>
      <c r="F78" s="221">
        <v>0</v>
      </c>
      <c r="G78" s="221"/>
      <c r="H78" s="221">
        <v>0</v>
      </c>
      <c r="I78" s="221">
        <v>0</v>
      </c>
      <c r="J78" s="221">
        <v>0</v>
      </c>
      <c r="K78" s="221"/>
      <c r="L78" s="137">
        <f t="shared" si="43"/>
        <v>0</v>
      </c>
      <c r="M78" s="137">
        <f t="shared" si="44"/>
        <v>0</v>
      </c>
      <c r="N78" s="137">
        <f t="shared" si="45"/>
        <v>0</v>
      </c>
      <c r="O78" s="221"/>
      <c r="P78" s="221">
        <f t="shared" si="52"/>
        <v>0</v>
      </c>
      <c r="Q78" s="221">
        <f t="shared" si="53"/>
        <v>0</v>
      </c>
      <c r="R78" s="221">
        <f t="shared" si="54"/>
        <v>0</v>
      </c>
      <c r="S78" s="221">
        <f t="shared" ref="S78:S89" si="56">+P78*P$10+Q78*Q$10+R78*R$10</f>
        <v>0</v>
      </c>
      <c r="T78" s="281">
        <f t="shared" si="49"/>
        <v>0</v>
      </c>
      <c r="U78" s="120"/>
      <c r="V78" s="195">
        <f t="shared" si="50"/>
        <v>0</v>
      </c>
    </row>
    <row r="79" spans="1:22" ht="12.75" customHeight="1" x14ac:dyDescent="0.25">
      <c r="A79" s="14"/>
      <c r="B79" s="20" t="s">
        <v>84</v>
      </c>
      <c r="C79" s="530"/>
      <c r="D79" s="221"/>
      <c r="E79" s="221"/>
      <c r="F79" s="221"/>
      <c r="G79" s="221"/>
      <c r="H79" s="221"/>
      <c r="I79" s="221"/>
      <c r="J79" s="221"/>
      <c r="K79" s="221"/>
      <c r="L79" s="137">
        <f t="shared" si="43"/>
        <v>0</v>
      </c>
      <c r="M79" s="137">
        <f t="shared" si="44"/>
        <v>0</v>
      </c>
      <c r="N79" s="137">
        <f t="shared" si="45"/>
        <v>0</v>
      </c>
      <c r="O79" s="221"/>
      <c r="P79" s="221">
        <f t="shared" si="52"/>
        <v>0</v>
      </c>
      <c r="Q79" s="221">
        <f t="shared" si="53"/>
        <v>0</v>
      </c>
      <c r="R79" s="221">
        <f t="shared" si="54"/>
        <v>0</v>
      </c>
      <c r="S79" s="221">
        <f t="shared" si="56"/>
        <v>0</v>
      </c>
      <c r="T79" s="281">
        <f t="shared" si="49"/>
        <v>0</v>
      </c>
      <c r="U79" s="120"/>
      <c r="V79" s="195">
        <f t="shared" si="50"/>
        <v>0</v>
      </c>
    </row>
    <row r="80" spans="1:22" ht="12.75" customHeight="1" x14ac:dyDescent="0.25">
      <c r="A80" s="14" t="s">
        <v>85</v>
      </c>
      <c r="B80" s="20" t="s">
        <v>86</v>
      </c>
      <c r="C80" s="530">
        <v>10000</v>
      </c>
      <c r="D80" s="221">
        <v>10000</v>
      </c>
      <c r="E80" s="221">
        <v>10000</v>
      </c>
      <c r="F80" s="221">
        <v>10000</v>
      </c>
      <c r="G80" s="221"/>
      <c r="H80" s="221">
        <v>1370</v>
      </c>
      <c r="I80" s="221">
        <v>1667</v>
      </c>
      <c r="J80" s="221">
        <v>3351</v>
      </c>
      <c r="K80" s="221"/>
      <c r="L80" s="137">
        <f t="shared" si="43"/>
        <v>0.13700000000000001</v>
      </c>
      <c r="M80" s="137">
        <f t="shared" si="44"/>
        <v>0.16669999999999999</v>
      </c>
      <c r="N80" s="137">
        <f t="shared" si="45"/>
        <v>0.33510000000000001</v>
      </c>
      <c r="O80" s="221"/>
      <c r="P80" s="302">
        <f t="shared" si="52"/>
        <v>0</v>
      </c>
      <c r="Q80" s="302">
        <f t="shared" si="53"/>
        <v>0</v>
      </c>
      <c r="R80" s="302">
        <f t="shared" si="54"/>
        <v>0</v>
      </c>
      <c r="S80" s="302">
        <f t="shared" si="56"/>
        <v>0</v>
      </c>
      <c r="T80" s="281">
        <f t="shared" si="49"/>
        <v>0</v>
      </c>
      <c r="U80" s="120"/>
      <c r="V80" s="195">
        <f t="shared" si="50"/>
        <v>0</v>
      </c>
    </row>
    <row r="81" spans="1:24" ht="38.1" customHeight="1" x14ac:dyDescent="0.25">
      <c r="A81" s="14"/>
      <c r="B81" s="20" t="s">
        <v>90</v>
      </c>
      <c r="C81" s="530"/>
      <c r="D81" s="221"/>
      <c r="E81" s="221"/>
      <c r="F81" s="221"/>
      <c r="G81" s="221"/>
      <c r="H81" s="221"/>
      <c r="I81" s="221"/>
      <c r="J81" s="221"/>
      <c r="K81" s="221"/>
      <c r="L81" s="137"/>
      <c r="M81" s="137"/>
      <c r="N81" s="137"/>
      <c r="O81" s="221"/>
      <c r="P81" s="221">
        <f t="shared" si="52"/>
        <v>0</v>
      </c>
      <c r="Q81" s="221">
        <f t="shared" si="53"/>
        <v>0</v>
      </c>
      <c r="R81" s="221">
        <f t="shared" si="54"/>
        <v>0</v>
      </c>
      <c r="S81" s="221">
        <f t="shared" si="56"/>
        <v>0</v>
      </c>
      <c r="T81" s="281">
        <f t="shared" si="49"/>
        <v>0</v>
      </c>
      <c r="U81" s="120"/>
      <c r="V81" s="195">
        <f t="shared" si="50"/>
        <v>0</v>
      </c>
    </row>
    <row r="82" spans="1:24" ht="12.75" customHeight="1" x14ac:dyDescent="0.25">
      <c r="A82" s="29"/>
      <c r="B82" s="21"/>
      <c r="C82" s="221"/>
      <c r="D82" s="221"/>
      <c r="E82" s="221"/>
      <c r="F82" s="221"/>
      <c r="G82" s="221"/>
      <c r="H82" s="221"/>
      <c r="I82" s="221"/>
      <c r="J82" s="221"/>
      <c r="K82" s="221"/>
      <c r="L82" s="152"/>
      <c r="M82" s="152"/>
      <c r="N82" s="152"/>
      <c r="O82" s="221"/>
      <c r="P82" s="221">
        <f t="shared" si="52"/>
        <v>0</v>
      </c>
      <c r="Q82" s="221">
        <f t="shared" si="53"/>
        <v>0</v>
      </c>
      <c r="R82" s="221">
        <f t="shared" si="54"/>
        <v>0</v>
      </c>
      <c r="S82" s="221">
        <f t="shared" si="56"/>
        <v>0</v>
      </c>
      <c r="T82" s="281">
        <f t="shared" si="49"/>
        <v>0</v>
      </c>
      <c r="U82" s="120"/>
      <c r="V82" s="195">
        <f t="shared" si="50"/>
        <v>0</v>
      </c>
    </row>
    <row r="83" spans="1:24" s="42" customFormat="1" x14ac:dyDescent="0.25">
      <c r="A83" s="4" t="s">
        <v>154</v>
      </c>
      <c r="B83" s="3" t="s">
        <v>155</v>
      </c>
      <c r="C83" s="308">
        <f>+C84</f>
        <v>150000</v>
      </c>
      <c r="D83" s="308">
        <f t="shared" ref="D83:F83" si="57">SUM(D84:D85)</f>
        <v>150000</v>
      </c>
      <c r="E83" s="308">
        <f t="shared" si="57"/>
        <v>578500</v>
      </c>
      <c r="F83" s="308">
        <f t="shared" si="57"/>
        <v>592500</v>
      </c>
      <c r="G83" s="308"/>
      <c r="H83" s="308">
        <f t="shared" ref="H83:J83" si="58">SUM(H84:H85)</f>
        <v>25870</v>
      </c>
      <c r="I83" s="308">
        <f t="shared" si="58"/>
        <v>25870</v>
      </c>
      <c r="J83" s="308">
        <f t="shared" si="58"/>
        <v>582881</v>
      </c>
      <c r="K83" s="308"/>
      <c r="L83" s="85">
        <f t="shared" ref="L83:L89" si="59">IF(H83&gt;0,H83/C83,0)</f>
        <v>0.17246666666666666</v>
      </c>
      <c r="M83" s="85">
        <f t="shared" ref="M83:M89" si="60">IF(I83&gt;0,I83/D83,0)</f>
        <v>0.17246666666666666</v>
      </c>
      <c r="N83" s="85">
        <f t="shared" ref="N83:N89" si="61">IF(J83&gt;0,J83/E83,0)</f>
        <v>1.0075730337078652</v>
      </c>
      <c r="O83" s="308"/>
      <c r="P83" s="308">
        <f t="shared" si="52"/>
        <v>0</v>
      </c>
      <c r="Q83" s="308">
        <f t="shared" si="53"/>
        <v>428500</v>
      </c>
      <c r="R83" s="308">
        <f t="shared" si="54"/>
        <v>0</v>
      </c>
      <c r="S83" s="308">
        <f t="shared" si="56"/>
        <v>428500</v>
      </c>
      <c r="T83" s="281">
        <f t="shared" ref="T83:T88" si="62">IF(C83=0,0,+S83/C83)</f>
        <v>2.8566666666666665</v>
      </c>
      <c r="U83" s="120"/>
      <c r="V83" s="195">
        <f t="shared" ref="V83:V88" si="63">+S83-E83+C83</f>
        <v>0</v>
      </c>
    </row>
    <row r="84" spans="1:24" x14ac:dyDescent="0.25">
      <c r="A84" s="43"/>
      <c r="B84" s="44"/>
      <c r="C84" s="220">
        <v>150000</v>
      </c>
      <c r="D84" s="221">
        <v>150000</v>
      </c>
      <c r="E84" s="221">
        <v>578500</v>
      </c>
      <c r="F84" s="221">
        <v>592500</v>
      </c>
      <c r="G84" s="221"/>
      <c r="H84" s="221">
        <v>25870</v>
      </c>
      <c r="I84" s="221">
        <v>25870</v>
      </c>
      <c r="J84" s="221">
        <v>582881</v>
      </c>
      <c r="K84" s="221"/>
      <c r="L84" s="176">
        <f t="shared" si="59"/>
        <v>0.17246666666666666</v>
      </c>
      <c r="M84" s="176">
        <f t="shared" si="60"/>
        <v>0.17246666666666666</v>
      </c>
      <c r="N84" s="176">
        <f t="shared" si="61"/>
        <v>1.0075730337078652</v>
      </c>
      <c r="O84" s="221"/>
      <c r="P84" s="302">
        <f t="shared" si="52"/>
        <v>0</v>
      </c>
      <c r="Q84" s="302">
        <f t="shared" si="53"/>
        <v>428500</v>
      </c>
      <c r="R84" s="302">
        <f t="shared" si="54"/>
        <v>0</v>
      </c>
      <c r="S84" s="302">
        <f t="shared" si="56"/>
        <v>428500</v>
      </c>
      <c r="T84" s="281">
        <f t="shared" si="62"/>
        <v>2.8566666666666665</v>
      </c>
      <c r="U84" s="120"/>
      <c r="V84" s="195">
        <f t="shared" si="63"/>
        <v>0</v>
      </c>
    </row>
    <row r="85" spans="1:24" hidden="1" x14ac:dyDescent="0.25">
      <c r="A85" s="14"/>
      <c r="B85" s="20"/>
      <c r="C85" s="220"/>
      <c r="D85" s="221"/>
      <c r="E85" s="221"/>
      <c r="F85" s="221"/>
      <c r="G85" s="221"/>
      <c r="H85" s="221"/>
      <c r="I85" s="221"/>
      <c r="J85" s="221"/>
      <c r="K85" s="221"/>
      <c r="L85" s="176">
        <f t="shared" si="59"/>
        <v>0</v>
      </c>
      <c r="M85" s="176">
        <f t="shared" si="60"/>
        <v>0</v>
      </c>
      <c r="N85" s="176">
        <f t="shared" si="61"/>
        <v>0</v>
      </c>
      <c r="O85" s="221"/>
      <c r="P85" s="302">
        <f t="shared" si="52"/>
        <v>0</v>
      </c>
      <c r="Q85" s="302">
        <f t="shared" si="53"/>
        <v>0</v>
      </c>
      <c r="R85" s="302">
        <f t="shared" si="54"/>
        <v>0</v>
      </c>
      <c r="S85" s="302">
        <f t="shared" si="56"/>
        <v>0</v>
      </c>
      <c r="T85" s="281">
        <f t="shared" si="62"/>
        <v>0</v>
      </c>
      <c r="U85" s="120"/>
      <c r="V85" s="195">
        <f t="shared" si="63"/>
        <v>0</v>
      </c>
    </row>
    <row r="86" spans="1:24" s="42" customFormat="1" x14ac:dyDescent="0.25">
      <c r="A86" s="4" t="s">
        <v>169</v>
      </c>
      <c r="B86" s="3" t="s">
        <v>170</v>
      </c>
      <c r="C86" s="308">
        <f>SUM(C87:C88)</f>
        <v>0</v>
      </c>
      <c r="D86" s="308">
        <f t="shared" ref="D86:F86" si="64">SUM(D87:D88)</f>
        <v>0</v>
      </c>
      <c r="E86" s="308">
        <f t="shared" si="64"/>
        <v>0</v>
      </c>
      <c r="F86" s="308">
        <f t="shared" si="64"/>
        <v>0</v>
      </c>
      <c r="G86" s="308"/>
      <c r="H86" s="308">
        <f t="shared" ref="H86:J86" si="65">SUM(H87:H88)</f>
        <v>0</v>
      </c>
      <c r="I86" s="308">
        <f t="shared" si="65"/>
        <v>0</v>
      </c>
      <c r="J86" s="308">
        <f t="shared" si="65"/>
        <v>0</v>
      </c>
      <c r="K86" s="308"/>
      <c r="L86" s="85">
        <f t="shared" si="59"/>
        <v>0</v>
      </c>
      <c r="M86" s="85">
        <f t="shared" si="60"/>
        <v>0</v>
      </c>
      <c r="N86" s="85">
        <f t="shared" si="61"/>
        <v>0</v>
      </c>
      <c r="O86" s="308"/>
      <c r="P86" s="308">
        <f t="shared" si="52"/>
        <v>0</v>
      </c>
      <c r="Q86" s="308">
        <f t="shared" si="53"/>
        <v>0</v>
      </c>
      <c r="R86" s="308">
        <f t="shared" si="54"/>
        <v>0</v>
      </c>
      <c r="S86" s="308">
        <f t="shared" si="56"/>
        <v>0</v>
      </c>
      <c r="T86" s="281">
        <f t="shared" si="62"/>
        <v>0</v>
      </c>
      <c r="U86" s="120"/>
      <c r="V86" s="195">
        <f t="shared" si="63"/>
        <v>0</v>
      </c>
    </row>
    <row r="87" spans="1:24" x14ac:dyDescent="0.25">
      <c r="A87" s="43"/>
      <c r="B87" s="44"/>
      <c r="C87" s="220"/>
      <c r="D87" s="221"/>
      <c r="E87" s="221"/>
      <c r="F87" s="221"/>
      <c r="G87" s="221"/>
      <c r="H87" s="221"/>
      <c r="I87" s="221"/>
      <c r="J87" s="221"/>
      <c r="K87" s="221"/>
      <c r="L87" s="176">
        <f t="shared" si="59"/>
        <v>0</v>
      </c>
      <c r="M87" s="176">
        <f t="shared" si="60"/>
        <v>0</v>
      </c>
      <c r="N87" s="176">
        <f t="shared" si="61"/>
        <v>0</v>
      </c>
      <c r="O87" s="221"/>
      <c r="P87" s="302">
        <f t="shared" si="52"/>
        <v>0</v>
      </c>
      <c r="Q87" s="302">
        <f t="shared" si="53"/>
        <v>0</v>
      </c>
      <c r="R87" s="302">
        <f t="shared" si="54"/>
        <v>0</v>
      </c>
      <c r="S87" s="302">
        <f t="shared" si="56"/>
        <v>0</v>
      </c>
      <c r="T87" s="281">
        <f t="shared" si="62"/>
        <v>0</v>
      </c>
      <c r="U87" s="120"/>
      <c r="V87" s="195">
        <f t="shared" si="63"/>
        <v>0</v>
      </c>
    </row>
    <row r="88" spans="1:24" hidden="1" x14ac:dyDescent="0.25">
      <c r="A88" s="14"/>
      <c r="B88" s="20"/>
      <c r="C88" s="220"/>
      <c r="D88" s="221"/>
      <c r="E88" s="221"/>
      <c r="F88" s="221"/>
      <c r="G88" s="221"/>
      <c r="H88" s="221"/>
      <c r="I88" s="221"/>
      <c r="J88" s="221"/>
      <c r="K88" s="221"/>
      <c r="L88" s="176">
        <f t="shared" si="59"/>
        <v>0</v>
      </c>
      <c r="M88" s="176">
        <f t="shared" si="60"/>
        <v>0</v>
      </c>
      <c r="N88" s="176">
        <f t="shared" si="61"/>
        <v>0</v>
      </c>
      <c r="O88" s="221"/>
      <c r="P88" s="302">
        <f t="shared" si="52"/>
        <v>0</v>
      </c>
      <c r="Q88" s="302">
        <f t="shared" si="53"/>
        <v>0</v>
      </c>
      <c r="R88" s="302">
        <f t="shared" si="54"/>
        <v>0</v>
      </c>
      <c r="S88" s="302">
        <f t="shared" si="56"/>
        <v>0</v>
      </c>
      <c r="T88" s="281">
        <f t="shared" si="62"/>
        <v>0</v>
      </c>
      <c r="U88" s="120"/>
      <c r="V88" s="195">
        <f t="shared" si="63"/>
        <v>0</v>
      </c>
    </row>
    <row r="89" spans="1:24" ht="18" customHeight="1" x14ac:dyDescent="0.25">
      <c r="A89" s="7"/>
      <c r="B89" s="471" t="s">
        <v>371</v>
      </c>
      <c r="C89" s="478">
        <f>C13+C29+C32+C83+C86</f>
        <v>30373000</v>
      </c>
      <c r="D89" s="478">
        <f t="shared" ref="D89:J89" si="66">D13+D29+D32+D83+D86</f>
        <v>30373000</v>
      </c>
      <c r="E89" s="478">
        <f t="shared" si="66"/>
        <v>31573000</v>
      </c>
      <c r="F89" s="478">
        <f t="shared" si="66"/>
        <v>35849514</v>
      </c>
      <c r="G89" s="478"/>
      <c r="H89" s="478">
        <f t="shared" si="66"/>
        <v>12124842</v>
      </c>
      <c r="I89" s="478">
        <f t="shared" si="66"/>
        <v>22038072</v>
      </c>
      <c r="J89" s="478">
        <f t="shared" si="66"/>
        <v>34036296</v>
      </c>
      <c r="K89" s="216"/>
      <c r="L89" s="85">
        <f t="shared" si="59"/>
        <v>0.39919803773087942</v>
      </c>
      <c r="M89" s="85">
        <f t="shared" si="60"/>
        <v>0.7255810094491818</v>
      </c>
      <c r="N89" s="85">
        <f t="shared" si="61"/>
        <v>1.0780190669242706</v>
      </c>
      <c r="O89" s="216"/>
      <c r="P89" s="216">
        <f t="shared" si="52"/>
        <v>0</v>
      </c>
      <c r="Q89" s="216">
        <f t="shared" si="53"/>
        <v>1200000</v>
      </c>
      <c r="R89" s="216">
        <f t="shared" si="54"/>
        <v>0</v>
      </c>
      <c r="S89" s="216">
        <f t="shared" si="56"/>
        <v>1200000</v>
      </c>
      <c r="T89" s="281">
        <f t="shared" si="49"/>
        <v>3.9508774240279196E-2</v>
      </c>
      <c r="U89" s="120"/>
      <c r="V89" s="195">
        <f t="shared" si="50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22"/>
      <c r="V90" s="195">
        <f t="shared" si="50"/>
        <v>0</v>
      </c>
      <c r="W90" s="122"/>
      <c r="X90" s="122"/>
    </row>
    <row r="91" spans="1:24" ht="10.35" customHeight="1" x14ac:dyDescent="0.25">
      <c r="A91" s="466"/>
      <c r="B91" s="466"/>
      <c r="C91" s="467"/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9"/>
      <c r="V91" s="470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4" ht="12.75" customHeight="1" x14ac:dyDescent="0.25">
      <c r="A93" s="4" t="s">
        <v>237</v>
      </c>
      <c r="B93" s="3" t="s">
        <v>390</v>
      </c>
      <c r="C93" s="219">
        <v>0</v>
      </c>
      <c r="D93" s="305">
        <f>+D94</f>
        <v>0</v>
      </c>
      <c r="E93" s="305">
        <f>+E94</f>
        <v>1200000</v>
      </c>
      <c r="F93" s="305">
        <f>+F94</f>
        <v>5476514</v>
      </c>
      <c r="G93" s="305"/>
      <c r="H93" s="305">
        <f>+H94</f>
        <v>0</v>
      </c>
      <c r="I93" s="305">
        <f>+I94</f>
        <v>15000000</v>
      </c>
      <c r="J93" s="305">
        <f>+J94</f>
        <v>5000000</v>
      </c>
      <c r="K93" s="305"/>
      <c r="L93" s="85">
        <f t="shared" ref="L93:L106" si="67">IF(H93&gt;0,H93/C93,0)</f>
        <v>0</v>
      </c>
      <c r="M93" s="85" t="e">
        <f t="shared" ref="M93:M106" si="68">IF(I93&gt;0,I93/D93,0)</f>
        <v>#DIV/0!</v>
      </c>
      <c r="N93" s="85">
        <f t="shared" ref="N93:N106" si="69">IF(J93&gt;0,J93/E93,0)</f>
        <v>4.166666666666667</v>
      </c>
      <c r="O93" s="305"/>
      <c r="P93" s="305">
        <f t="shared" si="52"/>
        <v>0</v>
      </c>
      <c r="Q93" s="305">
        <f t="shared" si="53"/>
        <v>1200000</v>
      </c>
      <c r="R93" s="305">
        <f t="shared" si="54"/>
        <v>0</v>
      </c>
      <c r="S93" s="305">
        <f t="shared" ref="S93:S106" si="70">+P93*P$10+Q93*Q$10+R93*R$10</f>
        <v>1200000</v>
      </c>
      <c r="T93" s="281">
        <f t="shared" si="49"/>
        <v>0</v>
      </c>
      <c r="U93" s="120"/>
      <c r="V93" s="195">
        <f t="shared" si="50"/>
        <v>0</v>
      </c>
    </row>
    <row r="94" spans="1:24" ht="12.75" customHeight="1" x14ac:dyDescent="0.25">
      <c r="A94" s="43" t="s">
        <v>256</v>
      </c>
      <c r="B94" s="44" t="s">
        <v>389</v>
      </c>
      <c r="C94" s="306">
        <v>0</v>
      </c>
      <c r="D94" s="307">
        <v>0</v>
      </c>
      <c r="E94" s="307">
        <v>1200000</v>
      </c>
      <c r="F94" s="307">
        <v>5476514</v>
      </c>
      <c r="G94" s="307"/>
      <c r="H94" s="307">
        <v>0</v>
      </c>
      <c r="I94" s="307">
        <v>15000000</v>
      </c>
      <c r="J94" s="307">
        <v>5000000</v>
      </c>
      <c r="K94" s="307"/>
      <c r="L94" s="176">
        <f t="shared" si="67"/>
        <v>0</v>
      </c>
      <c r="M94" s="176" t="e">
        <f t="shared" si="68"/>
        <v>#DIV/0!</v>
      </c>
      <c r="N94" s="176">
        <f t="shared" si="69"/>
        <v>4.166666666666667</v>
      </c>
      <c r="O94" s="307"/>
      <c r="P94" s="302">
        <f t="shared" si="52"/>
        <v>0</v>
      </c>
      <c r="Q94" s="302">
        <f t="shared" si="53"/>
        <v>1200000</v>
      </c>
      <c r="R94" s="302">
        <f t="shared" si="54"/>
        <v>0</v>
      </c>
      <c r="S94" s="302">
        <f t="shared" si="70"/>
        <v>1200000</v>
      </c>
      <c r="T94" s="281">
        <f t="shared" si="49"/>
        <v>0</v>
      </c>
      <c r="U94" s="120"/>
      <c r="V94" s="195">
        <f t="shared" si="50"/>
        <v>0</v>
      </c>
    </row>
    <row r="95" spans="1:24" ht="12.6" customHeight="1" x14ac:dyDescent="0.25">
      <c r="A95" s="4" t="s">
        <v>257</v>
      </c>
      <c r="B95" s="3" t="s">
        <v>258</v>
      </c>
      <c r="C95" s="219">
        <f>+C96</f>
        <v>0</v>
      </c>
      <c r="D95" s="219">
        <f t="shared" ref="D95:F95" si="71">+D96</f>
        <v>0</v>
      </c>
      <c r="E95" s="219">
        <f t="shared" si="71"/>
        <v>0</v>
      </c>
      <c r="F95" s="219">
        <f t="shared" si="71"/>
        <v>0</v>
      </c>
      <c r="G95" s="305"/>
      <c r="H95" s="219">
        <f t="shared" ref="H95" si="72">+H96</f>
        <v>0</v>
      </c>
      <c r="I95" s="219">
        <f t="shared" ref="I95" si="73">+I96</f>
        <v>0</v>
      </c>
      <c r="J95" s="219">
        <f t="shared" ref="J95" si="74">+J96</f>
        <v>10000000</v>
      </c>
      <c r="K95" s="305"/>
      <c r="L95" s="85"/>
      <c r="M95" s="85"/>
      <c r="N95" s="85"/>
      <c r="O95" s="305"/>
      <c r="P95" s="305"/>
      <c r="Q95" s="305"/>
      <c r="R95" s="305"/>
      <c r="S95" s="305"/>
      <c r="T95" s="281"/>
      <c r="U95" s="120"/>
      <c r="V95" s="195"/>
    </row>
    <row r="96" spans="1:24" ht="12.75" customHeight="1" x14ac:dyDescent="0.25">
      <c r="A96" s="529" t="s">
        <v>264</v>
      </c>
      <c r="B96" s="482" t="s">
        <v>515</v>
      </c>
      <c r="C96" s="306">
        <v>0</v>
      </c>
      <c r="D96" s="307">
        <v>0</v>
      </c>
      <c r="E96" s="307">
        <v>0</v>
      </c>
      <c r="F96" s="307">
        <v>0</v>
      </c>
      <c r="G96" s="307"/>
      <c r="H96" s="307">
        <v>0</v>
      </c>
      <c r="I96" s="307">
        <v>0</v>
      </c>
      <c r="J96" s="307">
        <v>10000000</v>
      </c>
      <c r="K96" s="307"/>
      <c r="L96" s="176"/>
      <c r="M96" s="176"/>
      <c r="N96" s="176"/>
      <c r="O96" s="307"/>
      <c r="P96" s="302"/>
      <c r="Q96" s="302"/>
      <c r="R96" s="302"/>
      <c r="S96" s="302"/>
      <c r="T96" s="281"/>
      <c r="U96" s="120"/>
      <c r="V96" s="195"/>
    </row>
    <row r="97" spans="1:22" s="42" customFormat="1" ht="15" customHeight="1" x14ac:dyDescent="0.25">
      <c r="A97" s="4" t="s">
        <v>278</v>
      </c>
      <c r="B97" s="3" t="s">
        <v>279</v>
      </c>
      <c r="C97" s="219">
        <f>SUM(C98:C100)</f>
        <v>1521000</v>
      </c>
      <c r="D97" s="305">
        <f>+D98+D99+D100</f>
        <v>1521000</v>
      </c>
      <c r="E97" s="305">
        <f>+E98+E99+E100</f>
        <v>1521000</v>
      </c>
      <c r="F97" s="305">
        <f>+F98+F99+F100</f>
        <v>1521000</v>
      </c>
      <c r="G97" s="305"/>
      <c r="H97" s="305">
        <f>+H98+H99+H100</f>
        <v>132139</v>
      </c>
      <c r="I97" s="305">
        <f>+I98+I99+I100</f>
        <v>421112</v>
      </c>
      <c r="J97" s="305">
        <f>+J98+J99+J100</f>
        <v>868446</v>
      </c>
      <c r="K97" s="305"/>
      <c r="L97" s="85">
        <f t="shared" si="67"/>
        <v>8.6876397107166339E-2</v>
      </c>
      <c r="M97" s="85">
        <f t="shared" si="68"/>
        <v>0.27686522024983562</v>
      </c>
      <c r="N97" s="85">
        <f t="shared" si="69"/>
        <v>0.57097041420118344</v>
      </c>
      <c r="O97" s="305"/>
      <c r="P97" s="305">
        <f t="shared" si="52"/>
        <v>0</v>
      </c>
      <c r="Q97" s="305">
        <f t="shared" si="53"/>
        <v>0</v>
      </c>
      <c r="R97" s="305">
        <f t="shared" si="54"/>
        <v>0</v>
      </c>
      <c r="S97" s="305">
        <f t="shared" si="70"/>
        <v>0</v>
      </c>
      <c r="T97" s="281">
        <f t="shared" si="49"/>
        <v>0</v>
      </c>
      <c r="U97" s="120"/>
      <c r="V97" s="195">
        <f t="shared" si="50"/>
        <v>0</v>
      </c>
    </row>
    <row r="98" spans="1:22" s="8" customFormat="1" x14ac:dyDescent="0.25">
      <c r="A98" s="14" t="s">
        <v>281</v>
      </c>
      <c r="B98" s="20" t="s">
        <v>282</v>
      </c>
      <c r="C98" s="306">
        <v>1500000</v>
      </c>
      <c r="D98" s="307">
        <v>1500000</v>
      </c>
      <c r="E98" s="307">
        <v>1500000</v>
      </c>
      <c r="F98" s="307">
        <v>1500000</v>
      </c>
      <c r="G98" s="307"/>
      <c r="H98" s="307">
        <v>115000</v>
      </c>
      <c r="I98" s="307">
        <f>7087+393362</f>
        <v>400449</v>
      </c>
      <c r="J98" s="307">
        <f>172560+636320</f>
        <v>808880</v>
      </c>
      <c r="K98" s="307"/>
      <c r="L98" s="176">
        <f t="shared" si="67"/>
        <v>7.6666666666666661E-2</v>
      </c>
      <c r="M98" s="176">
        <f t="shared" si="68"/>
        <v>0.26696599999999998</v>
      </c>
      <c r="N98" s="176">
        <f t="shared" si="69"/>
        <v>0.53925333333333336</v>
      </c>
      <c r="O98" s="307"/>
      <c r="P98" s="302">
        <f t="shared" ref="P98:P106" si="75">+(D98-C98)*P$10</f>
        <v>0</v>
      </c>
      <c r="Q98" s="302">
        <f t="shared" ref="Q98:Q106" si="76">+(E98-D98)*Q$10</f>
        <v>0</v>
      </c>
      <c r="R98" s="302">
        <f t="shared" ref="R98:R106" si="77">+(F98-E98)*R$10</f>
        <v>0</v>
      </c>
      <c r="S98" s="302">
        <f t="shared" si="70"/>
        <v>0</v>
      </c>
      <c r="T98" s="281">
        <f t="shared" si="49"/>
        <v>0</v>
      </c>
      <c r="U98" s="120"/>
      <c r="V98" s="195">
        <f t="shared" si="50"/>
        <v>0</v>
      </c>
    </row>
    <row r="99" spans="1:22" x14ac:dyDescent="0.25">
      <c r="A99" s="14" t="s">
        <v>292</v>
      </c>
      <c r="B99" s="20" t="s">
        <v>293</v>
      </c>
      <c r="C99" s="220">
        <v>11000</v>
      </c>
      <c r="D99" s="221">
        <v>11000</v>
      </c>
      <c r="E99" s="221">
        <v>11000</v>
      </c>
      <c r="F99" s="221">
        <v>11000</v>
      </c>
      <c r="G99" s="221"/>
      <c r="H99" s="221">
        <v>3189</v>
      </c>
      <c r="I99" s="221">
        <v>5740</v>
      </c>
      <c r="J99" s="221">
        <v>55374</v>
      </c>
      <c r="K99" s="221"/>
      <c r="L99" s="176">
        <f t="shared" si="67"/>
        <v>0.28990909090909089</v>
      </c>
      <c r="M99" s="176">
        <f t="shared" si="68"/>
        <v>0.52181818181818185</v>
      </c>
      <c r="N99" s="176">
        <f t="shared" si="69"/>
        <v>5.0339999999999998</v>
      </c>
      <c r="O99" s="221"/>
      <c r="P99" s="302">
        <f t="shared" si="75"/>
        <v>0</v>
      </c>
      <c r="Q99" s="302">
        <f t="shared" si="76"/>
        <v>0</v>
      </c>
      <c r="R99" s="302">
        <f t="shared" si="77"/>
        <v>0</v>
      </c>
      <c r="S99" s="302">
        <f t="shared" si="70"/>
        <v>0</v>
      </c>
      <c r="T99" s="281">
        <f t="shared" si="49"/>
        <v>0</v>
      </c>
      <c r="U99" s="120"/>
      <c r="V99" s="195">
        <f t="shared" si="50"/>
        <v>0</v>
      </c>
    </row>
    <row r="100" spans="1:22" ht="27" customHeight="1" x14ac:dyDescent="0.25">
      <c r="A100" s="482" t="s">
        <v>475</v>
      </c>
      <c r="B100" s="482" t="s">
        <v>476</v>
      </c>
      <c r="C100" s="220">
        <v>10000</v>
      </c>
      <c r="D100" s="221">
        <v>10000</v>
      </c>
      <c r="E100" s="221">
        <v>10000</v>
      </c>
      <c r="F100" s="221">
        <v>10000</v>
      </c>
      <c r="G100" s="221"/>
      <c r="H100" s="221">
        <f>89+2050+11811</f>
        <v>13950</v>
      </c>
      <c r="I100" s="221">
        <f>282+2830+11811</f>
        <v>14923</v>
      </c>
      <c r="J100" s="221">
        <f>524+3668</f>
        <v>4192</v>
      </c>
      <c r="K100" s="221"/>
      <c r="L100" s="176">
        <f t="shared" si="67"/>
        <v>1.395</v>
      </c>
      <c r="M100" s="176">
        <f t="shared" si="68"/>
        <v>1.4923</v>
      </c>
      <c r="N100" s="176">
        <f t="shared" si="69"/>
        <v>0.41920000000000002</v>
      </c>
      <c r="O100" s="221"/>
      <c r="P100" s="302">
        <f t="shared" si="75"/>
        <v>0</v>
      </c>
      <c r="Q100" s="302">
        <f t="shared" si="76"/>
        <v>0</v>
      </c>
      <c r="R100" s="302">
        <f t="shared" si="77"/>
        <v>0</v>
      </c>
      <c r="S100" s="302">
        <f t="shared" si="70"/>
        <v>0</v>
      </c>
      <c r="T100" s="281">
        <f t="shared" si="49"/>
        <v>0</v>
      </c>
      <c r="U100" s="120"/>
      <c r="V100" s="195">
        <f t="shared" si="50"/>
        <v>0</v>
      </c>
    </row>
    <row r="101" spans="1:22" ht="12.6" customHeight="1" x14ac:dyDescent="0.25">
      <c r="A101" s="4" t="s">
        <v>304</v>
      </c>
      <c r="B101" s="3" t="s">
        <v>516</v>
      </c>
      <c r="C101" s="219">
        <f>+C102</f>
        <v>0</v>
      </c>
      <c r="D101" s="219">
        <f t="shared" ref="D101:F101" si="78">+D102</f>
        <v>0</v>
      </c>
      <c r="E101" s="219">
        <f t="shared" si="78"/>
        <v>0</v>
      </c>
      <c r="F101" s="219">
        <f t="shared" si="78"/>
        <v>0</v>
      </c>
      <c r="G101" s="305"/>
      <c r="H101" s="219">
        <f t="shared" ref="H101" si="79">+H102</f>
        <v>0</v>
      </c>
      <c r="I101" s="219">
        <f t="shared" ref="I101" si="80">+I102</f>
        <v>0</v>
      </c>
      <c r="J101" s="219">
        <f t="shared" ref="J101" si="81">+J102</f>
        <v>11811</v>
      </c>
      <c r="K101" s="305"/>
      <c r="L101" s="85"/>
      <c r="M101" s="85"/>
      <c r="N101" s="85"/>
      <c r="O101" s="305"/>
      <c r="P101" s="305"/>
      <c r="Q101" s="305"/>
      <c r="R101" s="305"/>
      <c r="S101" s="305"/>
      <c r="T101" s="281"/>
      <c r="U101" s="120"/>
      <c r="V101" s="195"/>
    </row>
    <row r="102" spans="1:22" ht="12.75" customHeight="1" x14ac:dyDescent="0.25">
      <c r="A102" s="529" t="s">
        <v>310</v>
      </c>
      <c r="B102" s="482" t="s">
        <v>517</v>
      </c>
      <c r="C102" s="306">
        <v>0</v>
      </c>
      <c r="D102" s="307">
        <v>0</v>
      </c>
      <c r="E102" s="307">
        <v>0</v>
      </c>
      <c r="F102" s="307">
        <v>0</v>
      </c>
      <c r="G102" s="307"/>
      <c r="H102" s="307">
        <v>0</v>
      </c>
      <c r="I102" s="307">
        <v>0</v>
      </c>
      <c r="J102" s="307">
        <v>11811</v>
      </c>
      <c r="K102" s="307"/>
      <c r="L102" s="176"/>
      <c r="M102" s="176"/>
      <c r="N102" s="176"/>
      <c r="O102" s="307"/>
      <c r="P102" s="302"/>
      <c r="Q102" s="302"/>
      <c r="R102" s="302"/>
      <c r="S102" s="302"/>
      <c r="T102" s="281"/>
      <c r="U102" s="120"/>
      <c r="V102" s="195"/>
    </row>
    <row r="103" spans="1:22" s="42" customFormat="1" x14ac:dyDescent="0.25">
      <c r="A103" s="4" t="s">
        <v>327</v>
      </c>
      <c r="B103" s="3" t="s">
        <v>328</v>
      </c>
      <c r="C103" s="308">
        <f>SUM(C104:C105)</f>
        <v>28852000</v>
      </c>
      <c r="D103" s="308">
        <f t="shared" ref="D103:J103" si="82">SUM(D104:D105)</f>
        <v>28852000</v>
      </c>
      <c r="E103" s="308">
        <f t="shared" si="82"/>
        <v>28852000</v>
      </c>
      <c r="F103" s="308">
        <f t="shared" si="82"/>
        <v>28852000</v>
      </c>
      <c r="G103" s="308"/>
      <c r="H103" s="308">
        <f t="shared" si="82"/>
        <v>13751798</v>
      </c>
      <c r="I103" s="308">
        <f t="shared" si="82"/>
        <v>20398655</v>
      </c>
      <c r="J103" s="308">
        <f t="shared" si="82"/>
        <v>25261669</v>
      </c>
      <c r="K103" s="308"/>
      <c r="L103" s="85">
        <f t="shared" si="67"/>
        <v>0.4766323998336337</v>
      </c>
      <c r="M103" s="85">
        <f t="shared" si="68"/>
        <v>0.70701008595591297</v>
      </c>
      <c r="N103" s="85">
        <f t="shared" si="69"/>
        <v>0.87556041175655064</v>
      </c>
      <c r="O103" s="308"/>
      <c r="P103" s="308">
        <f t="shared" si="75"/>
        <v>0</v>
      </c>
      <c r="Q103" s="308">
        <f t="shared" si="76"/>
        <v>0</v>
      </c>
      <c r="R103" s="308">
        <f t="shared" si="77"/>
        <v>0</v>
      </c>
      <c r="S103" s="308">
        <f t="shared" si="70"/>
        <v>0</v>
      </c>
      <c r="T103" s="281">
        <f t="shared" si="49"/>
        <v>0</v>
      </c>
      <c r="U103" s="120"/>
      <c r="V103" s="195">
        <f t="shared" si="50"/>
        <v>0</v>
      </c>
    </row>
    <row r="104" spans="1:22" x14ac:dyDescent="0.25">
      <c r="A104" s="43" t="s">
        <v>353</v>
      </c>
      <c r="B104" s="44" t="s">
        <v>380</v>
      </c>
      <c r="C104" s="220">
        <f>C109</f>
        <v>28276417</v>
      </c>
      <c r="D104" s="221">
        <v>28276417</v>
      </c>
      <c r="E104" s="221">
        <v>28276417</v>
      </c>
      <c r="F104" s="221">
        <v>28276417</v>
      </c>
      <c r="G104" s="221"/>
      <c r="H104" s="221">
        <v>13176215</v>
      </c>
      <c r="I104" s="221">
        <v>19823072</v>
      </c>
      <c r="J104" s="221">
        <v>24686086</v>
      </c>
      <c r="K104" s="221"/>
      <c r="L104" s="176">
        <f t="shared" si="67"/>
        <v>0.46597894634245918</v>
      </c>
      <c r="M104" s="176">
        <f t="shared" si="68"/>
        <v>0.7010461049573572</v>
      </c>
      <c r="N104" s="176">
        <f t="shared" si="69"/>
        <v>0.87302737118355556</v>
      </c>
      <c r="O104" s="221"/>
      <c r="P104" s="302">
        <f t="shared" si="75"/>
        <v>0</v>
      </c>
      <c r="Q104" s="302">
        <f t="shared" si="76"/>
        <v>0</v>
      </c>
      <c r="R104" s="302">
        <f t="shared" si="77"/>
        <v>0</v>
      </c>
      <c r="S104" s="302">
        <f t="shared" si="70"/>
        <v>0</v>
      </c>
      <c r="T104" s="281">
        <f t="shared" si="49"/>
        <v>0</v>
      </c>
      <c r="U104" s="120"/>
      <c r="V104" s="195">
        <f t="shared" si="50"/>
        <v>0</v>
      </c>
    </row>
    <row r="105" spans="1:22" x14ac:dyDescent="0.25">
      <c r="A105" s="14" t="s">
        <v>341</v>
      </c>
      <c r="B105" s="20" t="s">
        <v>342</v>
      </c>
      <c r="C105" s="562">
        <v>575583</v>
      </c>
      <c r="D105" s="221">
        <v>575583</v>
      </c>
      <c r="E105" s="221">
        <v>575583</v>
      </c>
      <c r="F105" s="221">
        <v>575583</v>
      </c>
      <c r="G105" s="221"/>
      <c r="H105" s="221">
        <v>575583</v>
      </c>
      <c r="I105" s="221">
        <v>575583</v>
      </c>
      <c r="J105" s="221">
        <v>575583</v>
      </c>
      <c r="K105" s="221"/>
      <c r="L105" s="176">
        <f t="shared" si="67"/>
        <v>1</v>
      </c>
      <c r="M105" s="176">
        <f t="shared" si="68"/>
        <v>1</v>
      </c>
      <c r="N105" s="176">
        <f t="shared" si="69"/>
        <v>1</v>
      </c>
      <c r="O105" s="221"/>
      <c r="P105" s="302">
        <f t="shared" si="75"/>
        <v>0</v>
      </c>
      <c r="Q105" s="302">
        <f t="shared" si="76"/>
        <v>0</v>
      </c>
      <c r="R105" s="302">
        <f t="shared" si="77"/>
        <v>0</v>
      </c>
      <c r="S105" s="302">
        <f t="shared" si="70"/>
        <v>0</v>
      </c>
      <c r="T105" s="281">
        <f t="shared" si="49"/>
        <v>0</v>
      </c>
      <c r="U105" s="120"/>
      <c r="V105" s="195">
        <f t="shared" si="50"/>
        <v>0</v>
      </c>
    </row>
    <row r="106" spans="1:22" ht="23.25" customHeight="1" x14ac:dyDescent="0.25">
      <c r="A106" s="5"/>
      <c r="B106" s="5" t="s">
        <v>370</v>
      </c>
      <c r="C106" s="216">
        <f>+C93+C97+C103</f>
        <v>30373000</v>
      </c>
      <c r="D106" s="216">
        <f>+D93+D97+D103</f>
        <v>30373000</v>
      </c>
      <c r="E106" s="216">
        <f>+E93+E97+E103</f>
        <v>31573000</v>
      </c>
      <c r="F106" s="216">
        <f>+F93+F97+F103</f>
        <v>35849514</v>
      </c>
      <c r="G106" s="216"/>
      <c r="H106" s="216">
        <f>+H93+H97+H103</f>
        <v>13883937</v>
      </c>
      <c r="I106" s="216">
        <f>+I93+I97+I103</f>
        <v>35819767</v>
      </c>
      <c r="J106" s="216">
        <f>+J93+J97+J95+J103</f>
        <v>41130115</v>
      </c>
      <c r="K106" s="216"/>
      <c r="L106" s="85">
        <f t="shared" si="67"/>
        <v>0.45711444374938265</v>
      </c>
      <c r="M106" s="85">
        <f t="shared" si="68"/>
        <v>1.1793292397853357</v>
      </c>
      <c r="N106" s="85">
        <f t="shared" si="69"/>
        <v>1.3026989833085232</v>
      </c>
      <c r="O106" s="216"/>
      <c r="P106" s="216">
        <f t="shared" si="75"/>
        <v>0</v>
      </c>
      <c r="Q106" s="216">
        <f t="shared" si="76"/>
        <v>1200000</v>
      </c>
      <c r="R106" s="216">
        <f t="shared" si="77"/>
        <v>0</v>
      </c>
      <c r="S106" s="216">
        <f t="shared" si="70"/>
        <v>1200000</v>
      </c>
      <c r="T106" s="281">
        <f t="shared" si="49"/>
        <v>3.9508774240279196E-2</v>
      </c>
      <c r="U106" s="120"/>
      <c r="V106" s="195">
        <f t="shared" si="50"/>
        <v>0</v>
      </c>
    </row>
    <row r="107" spans="1:22" x14ac:dyDescent="0.25">
      <c r="C107" s="280"/>
      <c r="D107" s="279"/>
      <c r="E107" s="279"/>
      <c r="F107" s="279"/>
      <c r="G107" s="279"/>
      <c r="H107" s="279"/>
      <c r="I107" s="279"/>
      <c r="J107" s="279"/>
      <c r="K107" s="279"/>
      <c r="O107" s="279"/>
      <c r="P107" s="279"/>
      <c r="Q107" s="279"/>
      <c r="R107" s="279"/>
      <c r="S107" s="279"/>
    </row>
    <row r="108" spans="1:22" x14ac:dyDescent="0.25">
      <c r="C108" s="280"/>
      <c r="D108" s="280"/>
      <c r="E108" s="280"/>
      <c r="F108" s="280"/>
      <c r="G108" s="280"/>
      <c r="H108" s="280"/>
      <c r="I108" s="280"/>
      <c r="J108" s="280"/>
      <c r="K108" s="280"/>
      <c r="O108" s="280"/>
      <c r="P108" s="280"/>
      <c r="Q108" s="280"/>
      <c r="R108" s="280"/>
      <c r="S108" s="280"/>
    </row>
    <row r="109" spans="1:22" x14ac:dyDescent="0.25">
      <c r="C109" s="280">
        <f>+C89-C97-C105</f>
        <v>28276417</v>
      </c>
      <c r="D109" s="280"/>
      <c r="E109" s="280"/>
      <c r="F109" s="280"/>
      <c r="G109" s="280"/>
      <c r="H109" s="280"/>
      <c r="I109" s="280"/>
      <c r="J109" s="280"/>
      <c r="K109" s="280"/>
      <c r="O109" s="280"/>
      <c r="P109" s="280"/>
      <c r="Q109" s="280"/>
      <c r="R109" s="280"/>
      <c r="S109" s="280"/>
    </row>
    <row r="110" spans="1:22" x14ac:dyDescent="0.25">
      <c r="C110" s="280"/>
      <c r="D110" s="280"/>
      <c r="E110" s="280"/>
      <c r="F110" s="280"/>
      <c r="G110" s="280"/>
      <c r="H110" s="280"/>
      <c r="I110" s="280"/>
      <c r="J110" s="280">
        <f>+J93+J95+J97+J101</f>
        <v>15880257</v>
      </c>
      <c r="K110" s="280"/>
      <c r="O110" s="280"/>
      <c r="P110" s="280"/>
      <c r="Q110" s="280"/>
      <c r="R110" s="280"/>
      <c r="S110" s="280"/>
    </row>
    <row r="111" spans="1:22" x14ac:dyDescent="0.25">
      <c r="A111" s="59"/>
      <c r="B111" s="59" t="s">
        <v>473</v>
      </c>
      <c r="C111" s="280" t="e">
        <f>+#REF!</f>
        <v>#REF!</v>
      </c>
      <c r="D111" s="280"/>
      <c r="E111" s="280"/>
      <c r="F111" s="280"/>
      <c r="G111" s="280"/>
      <c r="H111" s="280"/>
      <c r="I111" s="280"/>
      <c r="J111" s="280"/>
      <c r="K111" s="280"/>
      <c r="O111" s="280"/>
      <c r="P111" s="280"/>
      <c r="Q111" s="280"/>
      <c r="R111" s="280"/>
      <c r="S111" s="280"/>
    </row>
    <row r="112" spans="1:22" x14ac:dyDescent="0.25">
      <c r="B112" s="59" t="s">
        <v>474</v>
      </c>
      <c r="C112" s="280" t="e">
        <f>+C104-C111</f>
        <v>#REF!</v>
      </c>
      <c r="D112" s="280"/>
      <c r="E112" s="280"/>
      <c r="F112" s="280"/>
      <c r="G112" s="280"/>
      <c r="H112" s="280"/>
      <c r="I112" s="280"/>
      <c r="J112" s="280"/>
      <c r="K112" s="280"/>
      <c r="O112" s="280"/>
      <c r="P112" s="280"/>
      <c r="Q112" s="280"/>
      <c r="R112" s="280"/>
      <c r="S112" s="280"/>
    </row>
    <row r="113" spans="3:19" x14ac:dyDescent="0.25">
      <c r="C113" s="280"/>
      <c r="D113" s="280"/>
      <c r="E113" s="280"/>
      <c r="F113" s="280"/>
      <c r="G113" s="280"/>
      <c r="H113" s="280"/>
      <c r="I113" s="280"/>
      <c r="J113" s="280"/>
      <c r="K113" s="280"/>
      <c r="O113" s="280"/>
      <c r="P113" s="280"/>
      <c r="Q113" s="280"/>
      <c r="R113" s="280"/>
      <c r="S113" s="280"/>
    </row>
  </sheetData>
  <mergeCells count="5">
    <mergeCell ref="C9:F9"/>
    <mergeCell ref="H9:N9"/>
    <mergeCell ref="P9:T9"/>
    <mergeCell ref="H10:J10"/>
    <mergeCell ref="L10:N10"/>
  </mergeCells>
  <phoneticPr fontId="3" type="noConversion"/>
  <printOptions horizontalCentered="1"/>
  <pageMargins left="0" right="0" top="0.59055118110236227" bottom="0.19685039370078741" header="0.51181102362204722" footer="0.51181102362204722"/>
  <pageSetup paperSize="9" scale="38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zoomScaleNormal="100" zoomScaleSheetLayoutView="100" workbookViewId="0">
      <selection activeCell="B3" sqref="B3"/>
    </sheetView>
  </sheetViews>
  <sheetFormatPr defaultRowHeight="12.75" customHeight="1" x14ac:dyDescent="0.25"/>
  <cols>
    <col min="1" max="1" width="8.109375" style="13" customWidth="1"/>
    <col min="2" max="2" width="48.5546875" style="13" customWidth="1"/>
    <col min="3" max="5" width="15.5546875" style="13" customWidth="1"/>
    <col min="6" max="6" width="15.77734375" style="13" customWidth="1"/>
    <col min="7" max="7" width="1.5546875" style="13" customWidth="1"/>
    <col min="8" max="9" width="15.5546875" style="13" customWidth="1"/>
    <col min="10" max="10" width="14.44140625" style="13" customWidth="1"/>
    <col min="11" max="11" width="1.5546875" style="13" customWidth="1"/>
    <col min="12" max="12" width="10.5546875" style="13" customWidth="1"/>
    <col min="13" max="14" width="11.6640625" style="13" customWidth="1"/>
    <col min="15" max="15" width="1.5546875" style="13" customWidth="1"/>
    <col min="16" max="17" width="14.5546875" style="13" customWidth="1"/>
    <col min="18" max="18" width="16.33203125" style="13" customWidth="1"/>
    <col min="19" max="19" width="14.5546875" style="13" customWidth="1"/>
    <col min="21" max="21" width="0.6640625" customWidth="1"/>
    <col min="23" max="23" width="14.5546875" bestFit="1" customWidth="1"/>
  </cols>
  <sheetData>
    <row r="1" spans="1:27" ht="24.6" x14ac:dyDescent="0.4">
      <c r="A1" s="299" t="s">
        <v>419</v>
      </c>
      <c r="B1" s="227"/>
      <c r="C1" s="227"/>
      <c r="D1" s="227"/>
      <c r="E1" s="42"/>
      <c r="G1" s="226"/>
      <c r="H1" s="225"/>
      <c r="I1" s="229"/>
      <c r="J1" s="224" t="str">
        <f>+'1. Sülysáp összesen'!J1</f>
        <v>2021. ÉVI KÖLTSÉGVETÉS MÓDOSÍTÁSA</v>
      </c>
      <c r="K1" s="229"/>
      <c r="L1" s="225"/>
      <c r="M1" s="225"/>
      <c r="N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ht="13.2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7" ht="13.2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7" ht="13.2" x14ac:dyDescent="0.25">
      <c r="A4" s="268"/>
      <c r="B4" s="267"/>
      <c r="C4" s="88"/>
      <c r="D4" s="88"/>
      <c r="E4" s="88"/>
      <c r="F4" s="88"/>
      <c r="G4" s="88"/>
      <c r="H4" s="88"/>
      <c r="I4" s="88"/>
      <c r="J4" s="88"/>
      <c r="K4" s="88"/>
      <c r="L4" s="267"/>
      <c r="M4" s="267"/>
      <c r="N4" s="267"/>
      <c r="O4" s="88"/>
      <c r="P4" s="88"/>
      <c r="Q4" s="88"/>
      <c r="R4" s="88"/>
      <c r="S4" s="88"/>
      <c r="T4" s="88"/>
      <c r="U4" s="267"/>
      <c r="V4" s="253"/>
      <c r="W4" s="122"/>
      <c r="X4" s="122"/>
    </row>
    <row r="5" spans="1:27" ht="20.100000000000001" customHeight="1" x14ac:dyDescent="0.3">
      <c r="A5" s="249"/>
      <c r="B5" s="249" t="s">
        <v>371</v>
      </c>
      <c r="C5" s="250">
        <f>+C89</f>
        <v>114421000</v>
      </c>
      <c r="D5" s="250">
        <f t="shared" ref="D5:E5" si="0">+D89</f>
        <v>114421000</v>
      </c>
      <c r="E5" s="250">
        <f t="shared" si="0"/>
        <v>114421000</v>
      </c>
      <c r="F5" s="250">
        <f>+F89</f>
        <v>114421000</v>
      </c>
      <c r="G5" s="250"/>
      <c r="H5" s="250">
        <f>+H89</f>
        <v>49739913</v>
      </c>
      <c r="I5" s="250">
        <f t="shared" ref="I5:J5" si="1">+I89</f>
        <v>70078694</v>
      </c>
      <c r="J5" s="250">
        <f t="shared" si="1"/>
        <v>100557468</v>
      </c>
      <c r="K5" s="89"/>
      <c r="L5" s="641">
        <f t="shared" ref="L5:N6" si="2">IF(H5&gt;0,H5/C5,0)</f>
        <v>0.43470965120039151</v>
      </c>
      <c r="M5" s="641">
        <f t="shared" si="2"/>
        <v>0.61246356875049157</v>
      </c>
      <c r="N5" s="641">
        <f t="shared" si="2"/>
        <v>0.87883752108441637</v>
      </c>
      <c r="O5" s="89"/>
      <c r="P5" s="250">
        <f>+P89</f>
        <v>0</v>
      </c>
      <c r="Q5" s="250">
        <f>+Q89</f>
        <v>0</v>
      </c>
      <c r="R5" s="250">
        <f>+R89</f>
        <v>0</v>
      </c>
      <c r="S5" s="250">
        <f>+S89</f>
        <v>0</v>
      </c>
      <c r="T5" s="133">
        <f>IF(C5=0,0,+S5/C5)</f>
        <v>0</v>
      </c>
      <c r="U5" s="118"/>
      <c r="V5" s="198">
        <f t="shared" ref="V5:V7" si="3">+S5-E5+C5</f>
        <v>0</v>
      </c>
      <c r="W5" s="122"/>
      <c r="X5" s="122"/>
    </row>
    <row r="6" spans="1:27" ht="20.100000000000001" customHeight="1" x14ac:dyDescent="0.3">
      <c r="A6" s="251"/>
      <c r="B6" s="251" t="s">
        <v>370</v>
      </c>
      <c r="C6" s="252">
        <f>+C102</f>
        <v>114421000</v>
      </c>
      <c r="D6" s="252">
        <f t="shared" ref="D6:J6" si="4">+D102</f>
        <v>114421000</v>
      </c>
      <c r="E6" s="252">
        <f t="shared" si="4"/>
        <v>114421000</v>
      </c>
      <c r="F6" s="252">
        <f t="shared" si="4"/>
        <v>114421000</v>
      </c>
      <c r="G6" s="252"/>
      <c r="H6" s="252">
        <f t="shared" si="4"/>
        <v>51731702</v>
      </c>
      <c r="I6" s="252">
        <f t="shared" si="4"/>
        <v>71192529</v>
      </c>
      <c r="J6" s="252">
        <f t="shared" si="4"/>
        <v>103870200</v>
      </c>
      <c r="K6" s="67"/>
      <c r="L6" s="641">
        <f t="shared" si="2"/>
        <v>0.45211719876596079</v>
      </c>
      <c r="M6" s="641">
        <f t="shared" si="2"/>
        <v>0.62219810174705692</v>
      </c>
      <c r="N6" s="641">
        <f t="shared" si="2"/>
        <v>0.907789653997081</v>
      </c>
      <c r="O6" s="67"/>
      <c r="P6" s="252">
        <f>+P102</f>
        <v>0</v>
      </c>
      <c r="Q6" s="252">
        <f t="shared" ref="Q6:S6" si="5">+Q102</f>
        <v>0</v>
      </c>
      <c r="R6" s="252">
        <f t="shared" si="5"/>
        <v>0</v>
      </c>
      <c r="S6" s="252">
        <f t="shared" si="5"/>
        <v>0</v>
      </c>
      <c r="T6" s="31">
        <f>IF(C6=0,0,+S6/C6)</f>
        <v>0</v>
      </c>
      <c r="U6" s="118"/>
      <c r="V6" s="198">
        <f t="shared" si="3"/>
        <v>0</v>
      </c>
      <c r="W6" s="122"/>
      <c r="X6" s="122"/>
    </row>
    <row r="7" spans="1:27" ht="20.100000000000001" customHeight="1" x14ac:dyDescent="0.3">
      <c r="A7" s="251"/>
      <c r="B7" s="251" t="s">
        <v>402</v>
      </c>
      <c r="C7" s="252">
        <f>+C6-C5</f>
        <v>0</v>
      </c>
      <c r="D7" s="252">
        <f t="shared" ref="D7:H7" si="6">+D6-D5</f>
        <v>0</v>
      </c>
      <c r="E7" s="252">
        <f t="shared" si="6"/>
        <v>0</v>
      </c>
      <c r="F7" s="252">
        <f t="shared" si="6"/>
        <v>0</v>
      </c>
      <c r="G7" s="252"/>
      <c r="H7" s="252">
        <f t="shared" si="6"/>
        <v>1991789</v>
      </c>
      <c r="I7" s="252">
        <f>+I6-I5</f>
        <v>1113835</v>
      </c>
      <c r="J7" s="252">
        <f t="shared" ref="J7" si="7">+J6-J5</f>
        <v>3312732</v>
      </c>
      <c r="K7" s="67"/>
      <c r="L7" s="641"/>
      <c r="M7" s="641"/>
      <c r="N7" s="641"/>
      <c r="O7" s="67"/>
      <c r="P7" s="252">
        <f t="shared" ref="P7:S7" si="8">+P6-P5</f>
        <v>0</v>
      </c>
      <c r="Q7" s="252">
        <f t="shared" si="8"/>
        <v>0</v>
      </c>
      <c r="R7" s="252">
        <f t="shared" si="8"/>
        <v>0</v>
      </c>
      <c r="S7" s="252">
        <f t="shared" si="8"/>
        <v>0</v>
      </c>
      <c r="T7" s="31">
        <f>IF(C7=0,0,+S7/C7)</f>
        <v>0</v>
      </c>
      <c r="U7" s="118"/>
      <c r="V7" s="198">
        <f t="shared" si="3"/>
        <v>0</v>
      </c>
      <c r="W7" s="122"/>
      <c r="X7" s="122"/>
    </row>
    <row r="8" spans="1:27" ht="13.2" x14ac:dyDescent="0.25">
      <c r="A8" s="235"/>
      <c r="B8" s="236"/>
      <c r="C8" s="611"/>
      <c r="D8" s="612"/>
      <c r="E8" s="612"/>
      <c r="F8" s="612"/>
      <c r="G8" s="613"/>
      <c r="H8" s="613"/>
      <c r="I8" s="613"/>
      <c r="J8" s="613"/>
      <c r="K8" s="613"/>
      <c r="L8" s="593"/>
      <c r="M8" s="593"/>
      <c r="N8" s="593"/>
      <c r="O8" s="94"/>
      <c r="P8" s="81"/>
      <c r="Q8" s="81"/>
      <c r="R8" s="81"/>
      <c r="S8" s="81"/>
      <c r="T8" s="152"/>
      <c r="U8" s="120"/>
      <c r="V8" s="195"/>
      <c r="W8" s="122"/>
      <c r="X8" s="122"/>
    </row>
    <row r="9" spans="1:27" ht="15.6" x14ac:dyDescent="0.3">
      <c r="A9" s="62"/>
      <c r="B9" s="237"/>
      <c r="C9" s="785" t="s">
        <v>401</v>
      </c>
      <c r="D9" s="793"/>
      <c r="E9" s="793"/>
      <c r="F9" s="794"/>
      <c r="G9" s="154"/>
      <c r="H9" s="785" t="s">
        <v>400</v>
      </c>
      <c r="I9" s="793"/>
      <c r="J9" s="793"/>
      <c r="K9" s="793"/>
      <c r="L9" s="793"/>
      <c r="M9" s="793"/>
      <c r="N9" s="794"/>
      <c r="O9" s="154"/>
      <c r="P9" s="785" t="s">
        <v>397</v>
      </c>
      <c r="Q9" s="793"/>
      <c r="R9" s="793"/>
      <c r="S9" s="793"/>
      <c r="T9" s="794"/>
      <c r="U9" s="199"/>
      <c r="V9" s="195"/>
      <c r="W9" s="122"/>
      <c r="X9" s="122"/>
    </row>
    <row r="10" spans="1:27" ht="13.2" x14ac:dyDescent="0.25">
      <c r="A10" s="268"/>
      <c r="B10" s="267"/>
      <c r="C10" s="233"/>
      <c r="D10" s="88"/>
      <c r="E10" s="88"/>
      <c r="F10" s="234"/>
      <c r="G10" s="134"/>
      <c r="H10" s="782" t="s">
        <v>413</v>
      </c>
      <c r="I10" s="795"/>
      <c r="J10" s="796"/>
      <c r="K10" s="134"/>
      <c r="L10" s="782" t="s">
        <v>412</v>
      </c>
      <c r="M10" s="795"/>
      <c r="N10" s="796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7" ht="61.2" x14ac:dyDescent="0.25">
      <c r="A11" s="27" t="s">
        <v>366</v>
      </c>
      <c r="B11" s="27" t="s">
        <v>364</v>
      </c>
      <c r="C11" s="520" t="s">
        <v>485</v>
      </c>
      <c r="D11" s="358" t="s">
        <v>486</v>
      </c>
      <c r="E11" s="358" t="s">
        <v>487</v>
      </c>
      <c r="F11" s="521" t="s">
        <v>488</v>
      </c>
      <c r="G11" s="358"/>
      <c r="H11" s="494" t="s">
        <v>498</v>
      </c>
      <c r="I11" s="359" t="s">
        <v>499</v>
      </c>
      <c r="J11" s="359" t="s">
        <v>500</v>
      </c>
      <c r="K11" s="358"/>
      <c r="L11" s="360" t="s">
        <v>501</v>
      </c>
      <c r="M11" s="360" t="s">
        <v>502</v>
      </c>
      <c r="N11" s="495" t="s">
        <v>503</v>
      </c>
      <c r="O11" s="358"/>
      <c r="P11" s="494" t="s">
        <v>495</v>
      </c>
      <c r="Q11" s="359" t="s">
        <v>496</v>
      </c>
      <c r="R11" s="359" t="s">
        <v>497</v>
      </c>
      <c r="S11" s="359" t="s">
        <v>398</v>
      </c>
      <c r="T11" s="495" t="s">
        <v>399</v>
      </c>
      <c r="U11" s="28"/>
      <c r="V11" s="132" t="s">
        <v>403</v>
      </c>
      <c r="W11" s="122"/>
      <c r="X11" s="122"/>
    </row>
    <row r="12" spans="1:27" ht="12.75" customHeight="1" x14ac:dyDescent="0.25">
      <c r="A12" s="14"/>
      <c r="B12" s="20"/>
      <c r="C12" s="309"/>
      <c r="D12" s="310"/>
      <c r="E12" s="310"/>
      <c r="F12" s="310"/>
      <c r="G12" s="310"/>
      <c r="H12" s="310"/>
      <c r="I12" s="310"/>
      <c r="J12" s="310"/>
      <c r="K12" s="310"/>
      <c r="L12" s="589"/>
      <c r="M12" s="589"/>
      <c r="N12" s="589"/>
      <c r="O12" s="310"/>
      <c r="P12" s="310"/>
      <c r="Q12" s="310"/>
      <c r="R12" s="310"/>
      <c r="S12" s="310"/>
    </row>
    <row r="13" spans="1:27" ht="12.75" customHeight="1" x14ac:dyDescent="0.25">
      <c r="A13" s="7" t="s">
        <v>0</v>
      </c>
      <c r="B13" s="5" t="s">
        <v>3</v>
      </c>
      <c r="C13" s="311">
        <f>SUM(C14:C28)</f>
        <v>34785000</v>
      </c>
      <c r="D13" s="311">
        <f t="shared" ref="D13:J13" si="9">SUM(D14:D28)</f>
        <v>34785000</v>
      </c>
      <c r="E13" s="311">
        <f t="shared" si="9"/>
        <v>34785000</v>
      </c>
      <c r="F13" s="311">
        <f t="shared" si="9"/>
        <v>34785000</v>
      </c>
      <c r="G13" s="311"/>
      <c r="H13" s="311">
        <f t="shared" si="9"/>
        <v>16464344</v>
      </c>
      <c r="I13" s="311">
        <f t="shared" si="9"/>
        <v>24365512</v>
      </c>
      <c r="J13" s="311">
        <f t="shared" si="9"/>
        <v>33610905</v>
      </c>
      <c r="K13" s="311"/>
      <c r="L13" s="590">
        <f t="shared" ref="L13" si="10">+H13/C13</f>
        <v>0.47331734943222653</v>
      </c>
      <c r="M13" s="590">
        <f t="shared" ref="M13:N13" si="11">+I13/D13</f>
        <v>0.70046031335345693</v>
      </c>
      <c r="N13" s="590">
        <f t="shared" si="11"/>
        <v>0.96624708926261316</v>
      </c>
      <c r="O13" s="311"/>
      <c r="P13" s="312">
        <f t="shared" ref="P13:P14" si="12">+(D13-C13)*P$10</f>
        <v>0</v>
      </c>
      <c r="Q13" s="312">
        <f t="shared" ref="Q13:Q14" si="13">+(E13-D13)*Q$10</f>
        <v>0</v>
      </c>
      <c r="R13" s="312">
        <f t="shared" ref="R13:R14" si="14">+(F13-E13)*R$10</f>
        <v>0</v>
      </c>
      <c r="S13" s="312">
        <f t="shared" ref="S13:S14" si="15">+P13*P$10+Q13*Q$10+R13*R$10</f>
        <v>0</v>
      </c>
      <c r="T13" s="282">
        <f>IF('8. WAMKK'!C13=0,0,+S13/'8. WAMKK'!C13)</f>
        <v>0</v>
      </c>
      <c r="U13" s="120"/>
      <c r="V13" s="195">
        <f t="shared" ref="V13:V71" si="16">+S13-E13+C13</f>
        <v>0</v>
      </c>
    </row>
    <row r="14" spans="1:27" ht="12.75" customHeight="1" x14ac:dyDescent="0.25">
      <c r="A14" s="14" t="s">
        <v>1</v>
      </c>
      <c r="B14" s="20"/>
      <c r="C14" s="309"/>
      <c r="D14" s="310"/>
      <c r="E14" s="310"/>
      <c r="F14" s="310"/>
      <c r="G14" s="310"/>
      <c r="H14" s="310"/>
      <c r="I14" s="310"/>
      <c r="J14" s="310"/>
      <c r="K14" s="310"/>
      <c r="L14" s="589"/>
      <c r="M14" s="589"/>
      <c r="N14" s="589"/>
      <c r="O14" s="310"/>
      <c r="P14" s="310">
        <f t="shared" si="12"/>
        <v>0</v>
      </c>
      <c r="Q14" s="310">
        <f t="shared" si="13"/>
        <v>0</v>
      </c>
      <c r="R14" s="310">
        <f t="shared" si="14"/>
        <v>0</v>
      </c>
      <c r="S14" s="310">
        <f t="shared" si="15"/>
        <v>0</v>
      </c>
      <c r="T14" s="281">
        <f>IF('8. WAMKK'!C14=0,0,+S14/'8. WAMKK'!C14)</f>
        <v>0</v>
      </c>
      <c r="U14" s="120"/>
      <c r="V14" s="195">
        <f t="shared" si="16"/>
        <v>0</v>
      </c>
    </row>
    <row r="15" spans="1:27" ht="12.75" customHeight="1" x14ac:dyDescent="0.25">
      <c r="A15" s="14" t="s">
        <v>2</v>
      </c>
      <c r="B15" s="482" t="s">
        <v>391</v>
      </c>
      <c r="C15" s="309">
        <v>31800000</v>
      </c>
      <c r="D15" s="165">
        <v>31515067</v>
      </c>
      <c r="E15" s="165">
        <v>31015067</v>
      </c>
      <c r="F15" s="165">
        <v>29692045</v>
      </c>
      <c r="G15" s="165"/>
      <c r="H15" s="165">
        <v>14219212</v>
      </c>
      <c r="I15" s="165">
        <v>21305812</v>
      </c>
      <c r="J15" s="165">
        <v>28531090</v>
      </c>
      <c r="K15" s="165"/>
      <c r="L15" s="591">
        <f t="shared" ref="L15:L27" si="17">IF(H15&gt;0,H15/C15,0)</f>
        <v>0.44714503144654089</v>
      </c>
      <c r="M15" s="591">
        <f t="shared" ref="M15:M27" si="18">IF(I15&gt;0,I15/D15,0)</f>
        <v>0.67605161683457626</v>
      </c>
      <c r="N15" s="591">
        <f t="shared" ref="N15:N27" si="19">IF(J15&gt;0,J15/E15,0)</f>
        <v>0.91991063569200093</v>
      </c>
      <c r="O15" s="165"/>
      <c r="P15" s="302">
        <f>+(D15-C15)*P$10</f>
        <v>-284933</v>
      </c>
      <c r="Q15" s="302">
        <f t="shared" ref="Q15:R15" si="20">+(E15-D15)*Q$10</f>
        <v>-500000</v>
      </c>
      <c r="R15" s="302">
        <f t="shared" si="20"/>
        <v>0</v>
      </c>
      <c r="S15" s="302">
        <f>+P15*P$10+Q15*Q$10+R15*R$10</f>
        <v>-784933</v>
      </c>
      <c r="T15" s="281">
        <f>IF('8. WAMKK'!C15=0,0,+S15/'8. WAMKK'!C15)</f>
        <v>-4.6464985496951397E-2</v>
      </c>
      <c r="U15" s="120"/>
      <c r="V15" s="195">
        <f t="shared" si="16"/>
        <v>0</v>
      </c>
    </row>
    <row r="16" spans="1:27" ht="28.8" customHeight="1" x14ac:dyDescent="0.25">
      <c r="A16" s="482" t="s">
        <v>507</v>
      </c>
      <c r="B16" s="482" t="s">
        <v>508</v>
      </c>
      <c r="C16" s="309"/>
      <c r="D16" s="165">
        <v>284933</v>
      </c>
      <c r="E16" s="165">
        <v>284933</v>
      </c>
      <c r="F16" s="165">
        <f>1185833+0</f>
        <v>1185833</v>
      </c>
      <c r="G16" s="165"/>
      <c r="H16" s="165">
        <f>284933+0</f>
        <v>284933</v>
      </c>
      <c r="I16" s="165">
        <v>284933</v>
      </c>
      <c r="J16" s="165">
        <v>1185833</v>
      </c>
      <c r="K16" s="165"/>
      <c r="L16" s="591" t="e">
        <f t="shared" si="17"/>
        <v>#DIV/0!</v>
      </c>
      <c r="M16" s="591">
        <f t="shared" si="18"/>
        <v>1</v>
      </c>
      <c r="N16" s="591">
        <f t="shared" si="19"/>
        <v>4.1617959309732466</v>
      </c>
      <c r="O16" s="165"/>
      <c r="P16" s="165">
        <f t="shared" ref="P16:P79" si="21">+(D16-C16)*P$10</f>
        <v>284933</v>
      </c>
      <c r="Q16" s="165">
        <f t="shared" ref="Q16:Q79" si="22">+(E16-D16)*Q$10</f>
        <v>0</v>
      </c>
      <c r="R16" s="165">
        <f t="shared" ref="R16:R79" si="23">+(F16-E16)*R$10</f>
        <v>0</v>
      </c>
      <c r="S16" s="165">
        <f t="shared" ref="S16:S79" si="24">+P16*P$10+Q16*Q$10+R16*R$10</f>
        <v>284933</v>
      </c>
      <c r="T16" s="281">
        <f>IF('8. WAMKK'!C16=0,0,+S16/'8. WAMKK'!C16)</f>
        <v>0</v>
      </c>
      <c r="U16" s="120"/>
      <c r="V16" s="195">
        <f t="shared" si="16"/>
        <v>0</v>
      </c>
    </row>
    <row r="17" spans="1:22" ht="12.75" customHeight="1" x14ac:dyDescent="0.25">
      <c r="A17" s="14" t="s">
        <v>11</v>
      </c>
      <c r="B17" s="20" t="s">
        <v>4</v>
      </c>
      <c r="C17" s="309"/>
      <c r="D17" s="165"/>
      <c r="E17" s="165"/>
      <c r="F17" s="165"/>
      <c r="G17" s="165"/>
      <c r="H17" s="165"/>
      <c r="I17" s="165"/>
      <c r="J17" s="165"/>
      <c r="K17" s="165"/>
      <c r="L17" s="591">
        <f t="shared" si="17"/>
        <v>0</v>
      </c>
      <c r="M17" s="591">
        <f t="shared" si="18"/>
        <v>0</v>
      </c>
      <c r="N17" s="591">
        <f t="shared" si="19"/>
        <v>0</v>
      </c>
      <c r="O17" s="165"/>
      <c r="P17" s="165">
        <f t="shared" si="21"/>
        <v>0</v>
      </c>
      <c r="Q17" s="165">
        <f t="shared" si="22"/>
        <v>0</v>
      </c>
      <c r="R17" s="165">
        <f t="shared" si="23"/>
        <v>0</v>
      </c>
      <c r="S17" s="165">
        <f t="shared" si="24"/>
        <v>0</v>
      </c>
      <c r="T17" s="281">
        <f>IF('8. WAMKK'!C17=0,0,+S17/'8. WAMKK'!C17)</f>
        <v>0</v>
      </c>
      <c r="U17" s="120"/>
      <c r="V17" s="195">
        <f t="shared" si="16"/>
        <v>0</v>
      </c>
    </row>
    <row r="18" spans="1:22" ht="12.75" customHeight="1" x14ac:dyDescent="0.25">
      <c r="A18" s="529" t="s">
        <v>376</v>
      </c>
      <c r="B18" s="20" t="s">
        <v>5</v>
      </c>
      <c r="C18" s="309">
        <v>0</v>
      </c>
      <c r="D18" s="165">
        <v>0</v>
      </c>
      <c r="E18" s="165">
        <v>0</v>
      </c>
      <c r="F18" s="165">
        <v>0</v>
      </c>
      <c r="G18" s="165"/>
      <c r="H18" s="165"/>
      <c r="I18" s="165">
        <v>0</v>
      </c>
      <c r="J18" s="165">
        <v>0</v>
      </c>
      <c r="K18" s="165"/>
      <c r="L18" s="591">
        <f t="shared" si="17"/>
        <v>0</v>
      </c>
      <c r="M18" s="591">
        <f t="shared" si="18"/>
        <v>0</v>
      </c>
      <c r="N18" s="591">
        <f t="shared" si="19"/>
        <v>0</v>
      </c>
      <c r="O18" s="165"/>
      <c r="P18" s="302">
        <f t="shared" si="21"/>
        <v>0</v>
      </c>
      <c r="Q18" s="302">
        <f t="shared" si="22"/>
        <v>0</v>
      </c>
      <c r="R18" s="302">
        <f t="shared" si="23"/>
        <v>0</v>
      </c>
      <c r="S18" s="302">
        <f t="shared" si="24"/>
        <v>0</v>
      </c>
      <c r="T18" s="281">
        <f>IF('8. WAMKK'!C18=0,0,+S18/'8. WAMKK'!C18)</f>
        <v>0</v>
      </c>
      <c r="U18" s="120"/>
      <c r="V18" s="195">
        <f t="shared" si="16"/>
        <v>0</v>
      </c>
    </row>
    <row r="19" spans="1:22" ht="12.75" customHeight="1" x14ac:dyDescent="0.25">
      <c r="A19" s="14" t="s">
        <v>12</v>
      </c>
      <c r="B19" s="20" t="s">
        <v>6</v>
      </c>
      <c r="C19" s="309">
        <v>0</v>
      </c>
      <c r="D19" s="165">
        <v>0</v>
      </c>
      <c r="E19" s="553">
        <v>0</v>
      </c>
      <c r="F19" s="165">
        <v>0</v>
      </c>
      <c r="G19" s="165"/>
      <c r="H19" s="165"/>
      <c r="I19" s="165">
        <v>0</v>
      </c>
      <c r="J19" s="165">
        <v>0</v>
      </c>
      <c r="K19" s="165"/>
      <c r="L19" s="591">
        <f t="shared" si="17"/>
        <v>0</v>
      </c>
      <c r="M19" s="591">
        <f t="shared" si="18"/>
        <v>0</v>
      </c>
      <c r="N19" s="591">
        <f t="shared" si="19"/>
        <v>0</v>
      </c>
      <c r="O19" s="165"/>
      <c r="P19" s="302">
        <f t="shared" si="21"/>
        <v>0</v>
      </c>
      <c r="Q19" s="302">
        <f t="shared" si="22"/>
        <v>0</v>
      </c>
      <c r="R19" s="302">
        <f t="shared" si="23"/>
        <v>0</v>
      </c>
      <c r="S19" s="302">
        <f t="shared" si="24"/>
        <v>0</v>
      </c>
      <c r="T19" s="281">
        <f>IF('8. WAMKK'!C19=0,0,+S19/'8. WAMKK'!C19)</f>
        <v>0</v>
      </c>
      <c r="U19" s="120"/>
      <c r="V19" s="195">
        <f t="shared" si="16"/>
        <v>0</v>
      </c>
    </row>
    <row r="20" spans="1:22" ht="12.75" customHeight="1" x14ac:dyDescent="0.25">
      <c r="A20" s="14" t="s">
        <v>13</v>
      </c>
      <c r="B20" s="20" t="s">
        <v>7</v>
      </c>
      <c r="C20" s="309"/>
      <c r="D20" s="165"/>
      <c r="E20" s="165"/>
      <c r="F20" s="165"/>
      <c r="G20" s="165"/>
      <c r="H20" s="165"/>
      <c r="I20" s="165"/>
      <c r="J20" s="165"/>
      <c r="K20" s="165"/>
      <c r="L20" s="591">
        <f t="shared" si="17"/>
        <v>0</v>
      </c>
      <c r="M20" s="591">
        <f t="shared" si="18"/>
        <v>0</v>
      </c>
      <c r="N20" s="591">
        <f t="shared" si="19"/>
        <v>0</v>
      </c>
      <c r="O20" s="165"/>
      <c r="P20" s="165">
        <f t="shared" si="21"/>
        <v>0</v>
      </c>
      <c r="Q20" s="165">
        <f t="shared" si="22"/>
        <v>0</v>
      </c>
      <c r="R20" s="165">
        <f t="shared" si="23"/>
        <v>0</v>
      </c>
      <c r="S20" s="165">
        <f t="shared" si="24"/>
        <v>0</v>
      </c>
      <c r="T20" s="281">
        <f>IF('8. WAMKK'!C20=0,0,+S20/'8. WAMKK'!C20)</f>
        <v>0</v>
      </c>
      <c r="U20" s="120"/>
      <c r="V20" s="195">
        <f t="shared" si="16"/>
        <v>0</v>
      </c>
    </row>
    <row r="21" spans="1:22" ht="12.75" customHeight="1" x14ac:dyDescent="0.25">
      <c r="A21" s="14" t="s">
        <v>14</v>
      </c>
      <c r="B21" s="20" t="s">
        <v>8</v>
      </c>
      <c r="C21" s="309">
        <v>70000</v>
      </c>
      <c r="D21" s="165">
        <v>70000</v>
      </c>
      <c r="E21" s="165">
        <v>70000</v>
      </c>
      <c r="F21" s="165">
        <v>103000</v>
      </c>
      <c r="G21" s="165"/>
      <c r="H21" s="165">
        <v>43195</v>
      </c>
      <c r="I21" s="165">
        <v>59395</v>
      </c>
      <c r="J21" s="165">
        <v>101950</v>
      </c>
      <c r="K21" s="165"/>
      <c r="L21" s="591">
        <f t="shared" si="17"/>
        <v>0.6170714285714286</v>
      </c>
      <c r="M21" s="591">
        <f t="shared" si="18"/>
        <v>0.84850000000000003</v>
      </c>
      <c r="N21" s="591">
        <f t="shared" si="19"/>
        <v>1.4564285714285714</v>
      </c>
      <c r="O21" s="165"/>
      <c r="P21" s="302">
        <f t="shared" si="21"/>
        <v>0</v>
      </c>
      <c r="Q21" s="302">
        <f t="shared" si="22"/>
        <v>0</v>
      </c>
      <c r="R21" s="302">
        <f t="shared" si="23"/>
        <v>0</v>
      </c>
      <c r="S21" s="302">
        <f t="shared" si="24"/>
        <v>0</v>
      </c>
      <c r="T21" s="281">
        <f>IF('8. WAMKK'!C21=0,0,+S21/'8. WAMKK'!C21)</f>
        <v>0</v>
      </c>
      <c r="U21" s="120"/>
      <c r="V21" s="195">
        <f t="shared" si="16"/>
        <v>0</v>
      </c>
    </row>
    <row r="22" spans="1:22" ht="12.75" customHeight="1" x14ac:dyDescent="0.25">
      <c r="A22" s="14" t="s">
        <v>15</v>
      </c>
      <c r="B22" s="20" t="s">
        <v>9</v>
      </c>
      <c r="C22" s="309">
        <v>0</v>
      </c>
      <c r="D22" s="165">
        <v>0</v>
      </c>
      <c r="E22" s="165">
        <v>0</v>
      </c>
      <c r="F22" s="165">
        <v>0</v>
      </c>
      <c r="G22" s="165"/>
      <c r="H22" s="165">
        <v>0</v>
      </c>
      <c r="I22" s="165"/>
      <c r="J22" s="165"/>
      <c r="K22" s="165"/>
      <c r="L22" s="591">
        <f t="shared" si="17"/>
        <v>0</v>
      </c>
      <c r="M22" s="591">
        <f t="shared" si="18"/>
        <v>0</v>
      </c>
      <c r="N22" s="591">
        <f t="shared" si="19"/>
        <v>0</v>
      </c>
      <c r="O22" s="165"/>
      <c r="P22" s="165">
        <f t="shared" si="21"/>
        <v>0</v>
      </c>
      <c r="Q22" s="165">
        <f t="shared" si="22"/>
        <v>0</v>
      </c>
      <c r="R22" s="165">
        <f t="shared" si="23"/>
        <v>0</v>
      </c>
      <c r="S22" s="165">
        <f t="shared" si="24"/>
        <v>0</v>
      </c>
      <c r="T22" s="281">
        <f>IF('8. WAMKK'!C22=0,0,+S22/'8. WAMKK'!C22)</f>
        <v>0</v>
      </c>
      <c r="U22" s="120"/>
      <c r="V22" s="195">
        <f t="shared" si="16"/>
        <v>0</v>
      </c>
    </row>
    <row r="23" spans="1:22" ht="12.75" customHeight="1" x14ac:dyDescent="0.25">
      <c r="A23" s="14" t="s">
        <v>16</v>
      </c>
      <c r="B23" s="20" t="s">
        <v>10</v>
      </c>
      <c r="C23" s="309">
        <f>1175000</f>
        <v>1175000</v>
      </c>
      <c r="D23" s="165">
        <v>1175000</v>
      </c>
      <c r="E23" s="165">
        <v>1175000</v>
      </c>
      <c r="F23" s="165">
        <v>1425872</v>
      </c>
      <c r="G23" s="165"/>
      <c r="H23" s="165">
        <v>386239</v>
      </c>
      <c r="I23" s="165">
        <v>852407</v>
      </c>
      <c r="J23" s="165">
        <v>1425872</v>
      </c>
      <c r="K23" s="165"/>
      <c r="L23" s="591">
        <f t="shared" si="17"/>
        <v>0.32871404255319148</v>
      </c>
      <c r="M23" s="591">
        <f t="shared" si="18"/>
        <v>0.72545276595744679</v>
      </c>
      <c r="N23" s="591">
        <f t="shared" si="19"/>
        <v>1.2135080851063831</v>
      </c>
      <c r="O23" s="165"/>
      <c r="P23" s="165">
        <f t="shared" si="21"/>
        <v>0</v>
      </c>
      <c r="Q23" s="165">
        <f t="shared" si="22"/>
        <v>0</v>
      </c>
      <c r="R23" s="165">
        <f t="shared" si="23"/>
        <v>0</v>
      </c>
      <c r="S23" s="165">
        <f t="shared" si="24"/>
        <v>0</v>
      </c>
      <c r="T23" s="281">
        <f>IF('8. WAMKK'!C23=0,0,+S23/'8. WAMKK'!C23)</f>
        <v>0</v>
      </c>
      <c r="U23" s="120"/>
      <c r="V23" s="195">
        <f t="shared" si="16"/>
        <v>0</v>
      </c>
    </row>
    <row r="24" spans="1:22" ht="12.75" customHeight="1" x14ac:dyDescent="0.25">
      <c r="A24" s="14" t="s">
        <v>17</v>
      </c>
      <c r="B24" s="20"/>
      <c r="C24" s="309"/>
      <c r="D24" s="165"/>
      <c r="E24" s="165"/>
      <c r="F24" s="165"/>
      <c r="G24" s="165"/>
      <c r="H24" s="165"/>
      <c r="I24" s="165"/>
      <c r="J24" s="165"/>
      <c r="K24" s="165"/>
      <c r="L24" s="591">
        <f t="shared" si="17"/>
        <v>0</v>
      </c>
      <c r="M24" s="591">
        <f t="shared" si="18"/>
        <v>0</v>
      </c>
      <c r="N24" s="591">
        <f t="shared" si="19"/>
        <v>0</v>
      </c>
      <c r="O24" s="165"/>
      <c r="P24" s="165">
        <f t="shared" si="21"/>
        <v>0</v>
      </c>
      <c r="Q24" s="165">
        <f t="shared" si="22"/>
        <v>0</v>
      </c>
      <c r="R24" s="165">
        <f t="shared" si="23"/>
        <v>0</v>
      </c>
      <c r="S24" s="165">
        <f t="shared" si="24"/>
        <v>0</v>
      </c>
      <c r="T24" s="281">
        <f>IF('8. WAMKK'!C24=0,0,+S24/'8. WAMKK'!C24)</f>
        <v>0</v>
      </c>
      <c r="U24" s="120"/>
      <c r="V24" s="195">
        <f t="shared" si="16"/>
        <v>0</v>
      </c>
    </row>
    <row r="25" spans="1:22" ht="12.75" customHeight="1" x14ac:dyDescent="0.25">
      <c r="A25" s="14" t="s">
        <v>18</v>
      </c>
      <c r="B25" s="482" t="s">
        <v>19</v>
      </c>
      <c r="C25" s="309"/>
      <c r="D25" s="165"/>
      <c r="E25" s="165"/>
      <c r="F25" s="165"/>
      <c r="G25" s="165"/>
      <c r="H25" s="165"/>
      <c r="I25" s="165"/>
      <c r="J25" s="165"/>
      <c r="K25" s="165"/>
      <c r="L25" s="591">
        <f t="shared" si="17"/>
        <v>0</v>
      </c>
      <c r="M25" s="591">
        <f t="shared" si="18"/>
        <v>0</v>
      </c>
      <c r="N25" s="591">
        <f t="shared" si="19"/>
        <v>0</v>
      </c>
      <c r="O25" s="165"/>
      <c r="P25" s="165">
        <f t="shared" si="21"/>
        <v>0</v>
      </c>
      <c r="Q25" s="165">
        <f t="shared" si="22"/>
        <v>0</v>
      </c>
      <c r="R25" s="165">
        <f t="shared" si="23"/>
        <v>0</v>
      </c>
      <c r="S25" s="165">
        <f t="shared" si="24"/>
        <v>0</v>
      </c>
      <c r="T25" s="281">
        <f>IF('8. WAMKK'!C25=0,0,+S25/'8. WAMKK'!C25)</f>
        <v>0</v>
      </c>
      <c r="U25" s="120"/>
      <c r="V25" s="195">
        <f t="shared" si="16"/>
        <v>0</v>
      </c>
    </row>
    <row r="26" spans="1:22" ht="12.75" customHeight="1" x14ac:dyDescent="0.25">
      <c r="A26" s="14" t="s">
        <v>20</v>
      </c>
      <c r="B26" s="20" t="s">
        <v>21</v>
      </c>
      <c r="C26" s="309">
        <v>1740000</v>
      </c>
      <c r="D26" s="165">
        <v>1740000</v>
      </c>
      <c r="E26" s="165">
        <v>2240000</v>
      </c>
      <c r="F26" s="165">
        <v>2340000</v>
      </c>
      <c r="G26" s="165"/>
      <c r="H26" s="165">
        <v>1530765</v>
      </c>
      <c r="I26" s="165">
        <v>1862965</v>
      </c>
      <c r="J26" s="165">
        <v>2327910</v>
      </c>
      <c r="K26" s="165"/>
      <c r="L26" s="591">
        <f t="shared" si="17"/>
        <v>0.87975000000000003</v>
      </c>
      <c r="M26" s="591">
        <f t="shared" si="18"/>
        <v>1.0706695402298851</v>
      </c>
      <c r="N26" s="591">
        <f t="shared" si="19"/>
        <v>1.0392455357142858</v>
      </c>
      <c r="O26" s="165"/>
      <c r="P26" s="165">
        <f t="shared" si="21"/>
        <v>0</v>
      </c>
      <c r="Q26" s="165">
        <f t="shared" si="22"/>
        <v>500000</v>
      </c>
      <c r="R26" s="165">
        <f t="shared" si="23"/>
        <v>0</v>
      </c>
      <c r="S26" s="165">
        <f t="shared" si="24"/>
        <v>500000</v>
      </c>
      <c r="T26" s="281">
        <f>IF('8. WAMKK'!C26=0,0,+S26/'8. WAMKK'!C26)</f>
        <v>0</v>
      </c>
      <c r="U26" s="120"/>
      <c r="V26" s="195">
        <f t="shared" si="16"/>
        <v>0</v>
      </c>
    </row>
    <row r="27" spans="1:22" ht="12.75" customHeight="1" x14ac:dyDescent="0.25">
      <c r="A27" s="14" t="s">
        <v>22</v>
      </c>
      <c r="B27" s="20" t="s">
        <v>23</v>
      </c>
      <c r="C27" s="309"/>
      <c r="D27" s="165"/>
      <c r="E27" s="165"/>
      <c r="F27" s="165">
        <v>38250</v>
      </c>
      <c r="G27" s="165"/>
      <c r="H27" s="165"/>
      <c r="I27" s="165"/>
      <c r="J27" s="165">
        <v>38250</v>
      </c>
      <c r="K27" s="165"/>
      <c r="L27" s="591">
        <f t="shared" si="17"/>
        <v>0</v>
      </c>
      <c r="M27" s="591">
        <f t="shared" si="18"/>
        <v>0</v>
      </c>
      <c r="N27" s="591" t="e">
        <f t="shared" si="19"/>
        <v>#DIV/0!</v>
      </c>
      <c r="O27" s="165"/>
      <c r="P27" s="165">
        <f t="shared" si="21"/>
        <v>0</v>
      </c>
      <c r="Q27" s="165">
        <f t="shared" si="22"/>
        <v>0</v>
      </c>
      <c r="R27" s="165">
        <f t="shared" si="23"/>
        <v>0</v>
      </c>
      <c r="S27" s="165">
        <f t="shared" si="24"/>
        <v>0</v>
      </c>
      <c r="T27" s="281">
        <f>IF('8. WAMKK'!C27=0,0,+S27/'8. WAMKK'!C27)</f>
        <v>0</v>
      </c>
      <c r="U27" s="120"/>
      <c r="V27" s="195">
        <f t="shared" si="16"/>
        <v>0</v>
      </c>
    </row>
    <row r="28" spans="1:22" ht="12.75" customHeight="1" x14ac:dyDescent="0.25">
      <c r="A28" s="14"/>
      <c r="B28" s="14"/>
      <c r="C28" s="309"/>
      <c r="D28" s="165"/>
      <c r="E28" s="165"/>
      <c r="F28" s="165"/>
      <c r="G28" s="165"/>
      <c r="H28" s="165"/>
      <c r="I28" s="165"/>
      <c r="J28" s="165"/>
      <c r="K28" s="165"/>
      <c r="L28" s="592"/>
      <c r="M28" s="592"/>
      <c r="N28" s="592"/>
      <c r="O28" s="165"/>
      <c r="P28" s="165">
        <f t="shared" si="21"/>
        <v>0</v>
      </c>
      <c r="Q28" s="165">
        <f t="shared" si="22"/>
        <v>0</v>
      </c>
      <c r="R28" s="165">
        <f t="shared" si="23"/>
        <v>0</v>
      </c>
      <c r="S28" s="165">
        <f t="shared" si="24"/>
        <v>0</v>
      </c>
      <c r="T28" s="281">
        <f>IF('8. WAMKK'!C28=0,0,+S28/'8. WAMKK'!C28)</f>
        <v>0</v>
      </c>
      <c r="U28" s="120"/>
      <c r="V28" s="195">
        <f t="shared" si="16"/>
        <v>0</v>
      </c>
    </row>
    <row r="29" spans="1:22" ht="12.75" customHeight="1" x14ac:dyDescent="0.25">
      <c r="A29" s="7" t="s">
        <v>24</v>
      </c>
      <c r="B29" s="5" t="s">
        <v>25</v>
      </c>
      <c r="C29" s="311">
        <f>SUM(C30)</f>
        <v>5400000</v>
      </c>
      <c r="D29" s="311">
        <f>SUM(D30)</f>
        <v>5400000</v>
      </c>
      <c r="E29" s="311">
        <f>SUM(E30)</f>
        <v>5400000</v>
      </c>
      <c r="F29" s="311">
        <f>SUM(F30)</f>
        <v>5400000</v>
      </c>
      <c r="G29" s="311"/>
      <c r="H29" s="311">
        <f>SUM(H30)</f>
        <v>1767179</v>
      </c>
      <c r="I29" s="311">
        <f>+I30</f>
        <v>2950411</v>
      </c>
      <c r="J29" s="311">
        <f>+J30</f>
        <v>4207727</v>
      </c>
      <c r="K29" s="311"/>
      <c r="L29" s="590">
        <f t="shared" ref="L29:L32" si="25">+H29/C29</f>
        <v>0.32725537037037039</v>
      </c>
      <c r="M29" s="590">
        <f t="shared" ref="M29:N32" si="26">+I29/D29</f>
        <v>0.54637240740740745</v>
      </c>
      <c r="N29" s="590">
        <f t="shared" si="26"/>
        <v>0.77920870370370365</v>
      </c>
      <c r="O29" s="311"/>
      <c r="P29" s="311">
        <f t="shared" si="21"/>
        <v>0</v>
      </c>
      <c r="Q29" s="311">
        <f t="shared" si="22"/>
        <v>0</v>
      </c>
      <c r="R29" s="311">
        <f t="shared" si="23"/>
        <v>0</v>
      </c>
      <c r="S29" s="311">
        <f t="shared" si="24"/>
        <v>0</v>
      </c>
      <c r="T29" s="282">
        <f>IF('8. WAMKK'!C29=0,0,+S29/'8. WAMKK'!C29)</f>
        <v>0</v>
      </c>
      <c r="U29" s="120"/>
      <c r="V29" s="195">
        <f t="shared" si="16"/>
        <v>0</v>
      </c>
    </row>
    <row r="30" spans="1:22" ht="12.75" customHeight="1" x14ac:dyDescent="0.25">
      <c r="A30" s="14"/>
      <c r="B30" s="20" t="s">
        <v>26</v>
      </c>
      <c r="C30" s="309">
        <v>5400000</v>
      </c>
      <c r="D30" s="165">
        <v>5400000</v>
      </c>
      <c r="E30" s="165">
        <v>5400000</v>
      </c>
      <c r="F30" s="165">
        <v>5400000</v>
      </c>
      <c r="G30" s="165"/>
      <c r="H30" s="165">
        <v>1767179</v>
      </c>
      <c r="I30" s="165">
        <v>2950411</v>
      </c>
      <c r="J30" s="165">
        <v>4207727</v>
      </c>
      <c r="K30" s="165"/>
      <c r="L30" s="591">
        <f t="shared" ref="L30" si="27">IF(H30&gt;0,H30/C30,0)</f>
        <v>0.32725537037037039</v>
      </c>
      <c r="M30" s="591">
        <f t="shared" ref="M30" si="28">IF(I30&gt;0,I30/D30,0)</f>
        <v>0.54637240740740745</v>
      </c>
      <c r="N30" s="591">
        <f t="shared" ref="N30" si="29">IF(J30&gt;0,J30/E30,0)</f>
        <v>0.77920870370370365</v>
      </c>
      <c r="O30" s="165"/>
      <c r="P30" s="165">
        <f t="shared" si="21"/>
        <v>0</v>
      </c>
      <c r="Q30" s="165">
        <f t="shared" si="22"/>
        <v>0</v>
      </c>
      <c r="R30" s="165">
        <f t="shared" si="23"/>
        <v>0</v>
      </c>
      <c r="S30" s="165">
        <f t="shared" si="24"/>
        <v>0</v>
      </c>
      <c r="T30" s="281">
        <f>IF('8. WAMKK'!C30=0,0,+S30/'8. WAMKK'!C30)</f>
        <v>0</v>
      </c>
      <c r="U30" s="120"/>
      <c r="V30" s="195">
        <f t="shared" si="16"/>
        <v>0</v>
      </c>
    </row>
    <row r="31" spans="1:22" ht="12.75" customHeight="1" x14ac:dyDescent="0.25">
      <c r="A31" s="14"/>
      <c r="B31" s="14"/>
      <c r="C31" s="566"/>
      <c r="D31" s="165"/>
      <c r="E31" s="165"/>
      <c r="F31" s="165"/>
      <c r="G31" s="165"/>
      <c r="H31" s="165"/>
      <c r="I31" s="165"/>
      <c r="J31" s="165"/>
      <c r="K31" s="165"/>
      <c r="L31" s="592"/>
      <c r="M31" s="592"/>
      <c r="N31" s="592"/>
      <c r="O31" s="165"/>
      <c r="P31" s="165">
        <f t="shared" si="21"/>
        <v>0</v>
      </c>
      <c r="Q31" s="165">
        <f t="shared" si="22"/>
        <v>0</v>
      </c>
      <c r="R31" s="165">
        <f t="shared" si="23"/>
        <v>0</v>
      </c>
      <c r="S31" s="165">
        <f t="shared" si="24"/>
        <v>0</v>
      </c>
      <c r="T31" s="281">
        <f>IF('8. WAMKK'!C31=0,0,+S31/'8. WAMKK'!C31)</f>
        <v>0</v>
      </c>
      <c r="U31" s="120"/>
      <c r="V31" s="195">
        <f t="shared" si="16"/>
        <v>0</v>
      </c>
    </row>
    <row r="32" spans="1:22" ht="12.75" customHeight="1" x14ac:dyDescent="0.25">
      <c r="A32" s="7" t="s">
        <v>27</v>
      </c>
      <c r="B32" s="5" t="s">
        <v>28</v>
      </c>
      <c r="C32" s="271">
        <f t="shared" ref="C32:F32" si="30">+C33+C41+C48+C66+C71</f>
        <v>74036000</v>
      </c>
      <c r="D32" s="271">
        <f t="shared" si="30"/>
        <v>74036000</v>
      </c>
      <c r="E32" s="271">
        <f t="shared" si="30"/>
        <v>74036000</v>
      </c>
      <c r="F32" s="271">
        <f t="shared" si="30"/>
        <v>74036000</v>
      </c>
      <c r="G32" s="312"/>
      <c r="H32" s="271">
        <f t="shared" ref="H32:J32" si="31">+H33+H41+H48+H66+H71</f>
        <v>31375000</v>
      </c>
      <c r="I32" s="271">
        <f t="shared" si="31"/>
        <v>42629381</v>
      </c>
      <c r="J32" s="271">
        <f t="shared" si="31"/>
        <v>62605446</v>
      </c>
      <c r="K32" s="312"/>
      <c r="L32" s="590">
        <f t="shared" si="25"/>
        <v>0.42378032308606622</v>
      </c>
      <c r="M32" s="590">
        <f t="shared" si="26"/>
        <v>0.57579260089686102</v>
      </c>
      <c r="N32" s="590">
        <f t="shared" si="26"/>
        <v>0.84560816359608837</v>
      </c>
      <c r="O32" s="312"/>
      <c r="P32" s="312">
        <f t="shared" si="21"/>
        <v>0</v>
      </c>
      <c r="Q32" s="312">
        <f t="shared" si="22"/>
        <v>0</v>
      </c>
      <c r="R32" s="312">
        <f t="shared" si="23"/>
        <v>0</v>
      </c>
      <c r="S32" s="312">
        <f t="shared" si="24"/>
        <v>0</v>
      </c>
      <c r="T32" s="282">
        <f>IF('8. WAMKK'!C32=0,0,+S32/'8. WAMKK'!C32)</f>
        <v>0</v>
      </c>
      <c r="U32" s="120"/>
      <c r="V32" s="195">
        <f t="shared" si="16"/>
        <v>0</v>
      </c>
    </row>
    <row r="33" spans="1:22" s="42" customFormat="1" ht="12.75" customHeight="1" x14ac:dyDescent="0.25">
      <c r="A33" s="38" t="s">
        <v>29</v>
      </c>
      <c r="B33" s="39" t="s">
        <v>30</v>
      </c>
      <c r="C33" s="275">
        <f>SUM(C34:C40)</f>
        <v>55041000</v>
      </c>
      <c r="D33" s="275">
        <f t="shared" ref="D33:F33" si="32">SUM(D34:D40)</f>
        <v>54981000</v>
      </c>
      <c r="E33" s="275">
        <f t="shared" si="32"/>
        <v>54981000</v>
      </c>
      <c r="F33" s="275">
        <f t="shared" si="32"/>
        <v>54881000</v>
      </c>
      <c r="G33" s="555"/>
      <c r="H33" s="275">
        <f>SUM(H34:H40)</f>
        <v>23502429</v>
      </c>
      <c r="I33" s="275">
        <f>SUM(I34:I40)</f>
        <v>31880043</v>
      </c>
      <c r="J33" s="275">
        <f>SUM(J34:J40)</f>
        <v>47784567</v>
      </c>
      <c r="K33" s="555"/>
      <c r="L33" s="592">
        <f t="shared" ref="L33:L42" si="33">IF(H33&gt;0,H33/C33,0)</f>
        <v>0.42699858287458442</v>
      </c>
      <c r="M33" s="592">
        <f t="shared" ref="M33:M42" si="34">IF(I33&gt;0,I33/D33,0)</f>
        <v>0.57983745293828781</v>
      </c>
      <c r="N33" s="592">
        <f t="shared" ref="N33:N42" si="35">IF(J33&gt;0,J33/E33,0)</f>
        <v>0.86911054727996939</v>
      </c>
      <c r="O33" s="555"/>
      <c r="P33" s="555">
        <f t="shared" si="21"/>
        <v>-60000</v>
      </c>
      <c r="Q33" s="555">
        <f t="shared" si="22"/>
        <v>0</v>
      </c>
      <c r="R33" s="555">
        <f t="shared" si="23"/>
        <v>0</v>
      </c>
      <c r="S33" s="555">
        <f t="shared" si="24"/>
        <v>-60000</v>
      </c>
      <c r="T33" s="281">
        <f>IF('8. WAMKK'!C33=0,0,+S33/'8. WAMKK'!C33)</f>
        <v>-1.9607843137254902E-2</v>
      </c>
      <c r="U33" s="121"/>
      <c r="V33" s="556">
        <f t="shared" si="16"/>
        <v>0</v>
      </c>
    </row>
    <row r="34" spans="1:22" ht="12.75" customHeight="1" x14ac:dyDescent="0.25">
      <c r="A34" s="14" t="s">
        <v>31</v>
      </c>
      <c r="B34" s="20" t="s">
        <v>33</v>
      </c>
      <c r="C34" s="165">
        <v>41000</v>
      </c>
      <c r="D34" s="165">
        <v>41000</v>
      </c>
      <c r="E34" s="165">
        <v>41000</v>
      </c>
      <c r="F34" s="165">
        <v>41000</v>
      </c>
      <c r="G34" s="165"/>
      <c r="H34" s="165">
        <v>0</v>
      </c>
      <c r="I34" s="165">
        <v>0</v>
      </c>
      <c r="J34" s="165">
        <v>0</v>
      </c>
      <c r="K34" s="165"/>
      <c r="L34" s="593">
        <f t="shared" si="33"/>
        <v>0</v>
      </c>
      <c r="M34" s="593">
        <f t="shared" si="34"/>
        <v>0</v>
      </c>
      <c r="N34" s="593">
        <f t="shared" si="35"/>
        <v>0</v>
      </c>
      <c r="O34" s="165"/>
      <c r="P34" s="165">
        <f t="shared" si="21"/>
        <v>0</v>
      </c>
      <c r="Q34" s="165">
        <f t="shared" si="22"/>
        <v>0</v>
      </c>
      <c r="R34" s="165">
        <f t="shared" si="23"/>
        <v>0</v>
      </c>
      <c r="S34" s="165">
        <f t="shared" si="24"/>
        <v>0</v>
      </c>
      <c r="T34" s="281">
        <f>IF('8. WAMKK'!C34=0,0,+S34/'8. WAMKK'!C34)</f>
        <v>0</v>
      </c>
      <c r="U34" s="120"/>
      <c r="V34" s="195">
        <f t="shared" si="16"/>
        <v>0</v>
      </c>
    </row>
    <row r="35" spans="1:22" ht="12.75" customHeight="1" x14ac:dyDescent="0.25">
      <c r="A35" s="14"/>
      <c r="B35" s="20" t="s">
        <v>87</v>
      </c>
      <c r="C35" s="165"/>
      <c r="D35" s="165"/>
      <c r="E35" s="165"/>
      <c r="F35" s="165"/>
      <c r="G35" s="165"/>
      <c r="H35" s="165"/>
      <c r="I35" s="165"/>
      <c r="J35" s="165"/>
      <c r="K35" s="165"/>
      <c r="L35" s="593">
        <f t="shared" si="33"/>
        <v>0</v>
      </c>
      <c r="M35" s="593">
        <f t="shared" si="34"/>
        <v>0</v>
      </c>
      <c r="N35" s="593">
        <f t="shared" si="35"/>
        <v>0</v>
      </c>
      <c r="O35" s="165"/>
      <c r="P35" s="165">
        <f t="shared" si="21"/>
        <v>0</v>
      </c>
      <c r="Q35" s="165">
        <f t="shared" si="22"/>
        <v>0</v>
      </c>
      <c r="R35" s="165">
        <f t="shared" si="23"/>
        <v>0</v>
      </c>
      <c r="S35" s="165">
        <f t="shared" si="24"/>
        <v>0</v>
      </c>
      <c r="T35" s="281">
        <f>IF('8. WAMKK'!C35=0,0,+S35/'8. WAMKK'!C35)</f>
        <v>0</v>
      </c>
      <c r="U35" s="120"/>
      <c r="V35" s="195">
        <f t="shared" si="16"/>
        <v>0</v>
      </c>
    </row>
    <row r="36" spans="1:22" ht="12.75" customHeight="1" x14ac:dyDescent="0.25">
      <c r="A36" s="724" t="s">
        <v>32</v>
      </c>
      <c r="B36" s="561" t="s">
        <v>34</v>
      </c>
      <c r="C36" s="725">
        <v>55000000</v>
      </c>
      <c r="D36" s="553">
        <v>54940000</v>
      </c>
      <c r="E36" s="165">
        <v>54940000</v>
      </c>
      <c r="F36" s="165">
        <v>54840000</v>
      </c>
      <c r="G36" s="165"/>
      <c r="H36" s="165">
        <v>23502429</v>
      </c>
      <c r="I36" s="165">
        <v>31880043</v>
      </c>
      <c r="J36" s="165">
        <v>47784567</v>
      </c>
      <c r="K36" s="165"/>
      <c r="L36" s="593">
        <f t="shared" si="33"/>
        <v>0.42731689090909092</v>
      </c>
      <c r="M36" s="593">
        <f t="shared" si="34"/>
        <v>0.58027016745540594</v>
      </c>
      <c r="N36" s="593">
        <f t="shared" si="35"/>
        <v>0.86975913724062615</v>
      </c>
      <c r="O36" s="165"/>
      <c r="P36" s="165">
        <f t="shared" si="21"/>
        <v>-60000</v>
      </c>
      <c r="Q36" s="165">
        <f t="shared" si="22"/>
        <v>0</v>
      </c>
      <c r="R36" s="165">
        <f t="shared" si="23"/>
        <v>0</v>
      </c>
      <c r="S36" s="165">
        <f t="shared" si="24"/>
        <v>-60000</v>
      </c>
      <c r="T36" s="281">
        <f>IF('8. WAMKK'!C36=0,0,+S36/'8. WAMKK'!C36)</f>
        <v>-4.6153846153846156E-2</v>
      </c>
      <c r="U36" s="120"/>
      <c r="V36" s="195">
        <f t="shared" si="16"/>
        <v>0</v>
      </c>
    </row>
    <row r="37" spans="1:22" ht="12.75" customHeight="1" x14ac:dyDescent="0.25">
      <c r="A37" s="14"/>
      <c r="B37" s="20" t="s">
        <v>103</v>
      </c>
      <c r="C37" s="165"/>
      <c r="D37" s="165"/>
      <c r="E37" s="165"/>
      <c r="F37" s="165"/>
      <c r="G37" s="165"/>
      <c r="H37" s="165"/>
      <c r="I37" s="165"/>
      <c r="J37" s="165"/>
      <c r="K37" s="165"/>
      <c r="L37" s="593">
        <f t="shared" si="33"/>
        <v>0</v>
      </c>
      <c r="M37" s="593">
        <f t="shared" si="34"/>
        <v>0</v>
      </c>
      <c r="N37" s="593">
        <f t="shared" si="35"/>
        <v>0</v>
      </c>
      <c r="O37" s="165"/>
      <c r="P37" s="165">
        <f t="shared" si="21"/>
        <v>0</v>
      </c>
      <c r="Q37" s="165">
        <f t="shared" si="22"/>
        <v>0</v>
      </c>
      <c r="R37" s="165">
        <f t="shared" si="23"/>
        <v>0</v>
      </c>
      <c r="S37" s="165">
        <f t="shared" si="24"/>
        <v>0</v>
      </c>
      <c r="T37" s="281">
        <f>IF('8. WAMKK'!C37=0,0,+S37/'8. WAMKK'!C37)</f>
        <v>0</v>
      </c>
      <c r="U37" s="120"/>
      <c r="V37" s="195">
        <f t="shared" si="16"/>
        <v>0</v>
      </c>
    </row>
    <row r="38" spans="1:22" ht="12.75" customHeight="1" x14ac:dyDescent="0.25">
      <c r="A38" s="14"/>
      <c r="B38" s="20" t="s">
        <v>93</v>
      </c>
      <c r="C38" s="165"/>
      <c r="D38" s="165"/>
      <c r="E38" s="165"/>
      <c r="F38" s="165"/>
      <c r="G38" s="165"/>
      <c r="H38" s="165"/>
      <c r="I38" s="165"/>
      <c r="J38" s="165"/>
      <c r="K38" s="165"/>
      <c r="L38" s="593">
        <f t="shared" si="33"/>
        <v>0</v>
      </c>
      <c r="M38" s="593">
        <f t="shared" si="34"/>
        <v>0</v>
      </c>
      <c r="N38" s="593">
        <f t="shared" si="35"/>
        <v>0</v>
      </c>
      <c r="O38" s="165"/>
      <c r="P38" s="165">
        <f t="shared" si="21"/>
        <v>0</v>
      </c>
      <c r="Q38" s="165">
        <f t="shared" si="22"/>
        <v>0</v>
      </c>
      <c r="R38" s="165">
        <f t="shared" si="23"/>
        <v>0</v>
      </c>
      <c r="S38" s="165">
        <f t="shared" si="24"/>
        <v>0</v>
      </c>
      <c r="T38" s="281">
        <f>IF('8. WAMKK'!C38=0,0,+S38/'8. WAMKK'!C38)</f>
        <v>0</v>
      </c>
      <c r="U38" s="120"/>
      <c r="V38" s="195">
        <f t="shared" si="16"/>
        <v>0</v>
      </c>
    </row>
    <row r="39" spans="1:22" ht="12.75" customHeight="1" x14ac:dyDescent="0.25">
      <c r="A39" s="14"/>
      <c r="B39" s="20" t="s">
        <v>92</v>
      </c>
      <c r="C39" s="165"/>
      <c r="D39" s="165"/>
      <c r="E39" s="165"/>
      <c r="F39" s="165"/>
      <c r="G39" s="165"/>
      <c r="H39" s="165"/>
      <c r="I39" s="165"/>
      <c r="J39" s="165"/>
      <c r="K39" s="165"/>
      <c r="L39" s="593">
        <f t="shared" si="33"/>
        <v>0</v>
      </c>
      <c r="M39" s="593">
        <f t="shared" si="34"/>
        <v>0</v>
      </c>
      <c r="N39" s="593">
        <f t="shared" si="35"/>
        <v>0</v>
      </c>
      <c r="O39" s="165"/>
      <c r="P39" s="165">
        <f t="shared" si="21"/>
        <v>0</v>
      </c>
      <c r="Q39" s="165">
        <f t="shared" si="22"/>
        <v>0</v>
      </c>
      <c r="R39" s="165">
        <f t="shared" si="23"/>
        <v>0</v>
      </c>
      <c r="S39" s="165">
        <f t="shared" si="24"/>
        <v>0</v>
      </c>
      <c r="T39" s="281">
        <f>IF('8. WAMKK'!C39=0,0,+S39/'8. WAMKK'!C39)</f>
        <v>0</v>
      </c>
      <c r="U39" s="120"/>
      <c r="V39" s="195">
        <f t="shared" si="16"/>
        <v>0</v>
      </c>
    </row>
    <row r="40" spans="1:22" ht="12.75" customHeight="1" x14ac:dyDescent="0.25">
      <c r="A40" s="14"/>
      <c r="B40" s="20" t="s">
        <v>91</v>
      </c>
      <c r="C40" s="165"/>
      <c r="D40" s="165"/>
      <c r="E40" s="165"/>
      <c r="F40" s="165"/>
      <c r="G40" s="165"/>
      <c r="H40" s="165"/>
      <c r="I40" s="165"/>
      <c r="J40" s="165"/>
      <c r="K40" s="165"/>
      <c r="L40" s="593">
        <f t="shared" si="33"/>
        <v>0</v>
      </c>
      <c r="M40" s="593">
        <f t="shared" si="34"/>
        <v>0</v>
      </c>
      <c r="N40" s="593">
        <f t="shared" si="35"/>
        <v>0</v>
      </c>
      <c r="O40" s="165"/>
      <c r="P40" s="165">
        <f t="shared" si="21"/>
        <v>0</v>
      </c>
      <c r="Q40" s="165">
        <f t="shared" si="22"/>
        <v>0</v>
      </c>
      <c r="R40" s="165">
        <f t="shared" si="23"/>
        <v>0</v>
      </c>
      <c r="S40" s="165">
        <f t="shared" si="24"/>
        <v>0</v>
      </c>
      <c r="T40" s="281">
        <f>IF('8. WAMKK'!C40=0,0,+S40/'8. WAMKK'!C40)</f>
        <v>0</v>
      </c>
      <c r="U40" s="120"/>
      <c r="V40" s="195">
        <f t="shared" si="16"/>
        <v>0</v>
      </c>
    </row>
    <row r="41" spans="1:22" s="42" customFormat="1" ht="12.75" customHeight="1" x14ac:dyDescent="0.25">
      <c r="A41" s="38" t="s">
        <v>35</v>
      </c>
      <c r="B41" s="39" t="s">
        <v>36</v>
      </c>
      <c r="C41" s="275">
        <f>SUM(C42:C47)</f>
        <v>50000</v>
      </c>
      <c r="D41" s="275">
        <f t="shared" ref="D41:F41" si="36">SUM(D42:D47)</f>
        <v>50000</v>
      </c>
      <c r="E41" s="275">
        <f t="shared" si="36"/>
        <v>50000</v>
      </c>
      <c r="F41" s="275">
        <f t="shared" si="36"/>
        <v>50000</v>
      </c>
      <c r="G41" s="555"/>
      <c r="H41" s="275">
        <f>SUM(H42:H47)</f>
        <v>19243</v>
      </c>
      <c r="I41" s="275">
        <f>SUM(I42:I47)</f>
        <v>28786</v>
      </c>
      <c r="J41" s="275">
        <f>SUM(J42:J47)</f>
        <v>38251</v>
      </c>
      <c r="K41" s="555"/>
      <c r="L41" s="594">
        <f t="shared" si="33"/>
        <v>0.38485999999999998</v>
      </c>
      <c r="M41" s="594">
        <f t="shared" si="34"/>
        <v>0.57572000000000001</v>
      </c>
      <c r="N41" s="594">
        <f t="shared" si="35"/>
        <v>0.76502000000000003</v>
      </c>
      <c r="O41" s="555"/>
      <c r="P41" s="555">
        <f t="shared" si="21"/>
        <v>0</v>
      </c>
      <c r="Q41" s="555">
        <f t="shared" si="22"/>
        <v>0</v>
      </c>
      <c r="R41" s="555">
        <f t="shared" si="23"/>
        <v>0</v>
      </c>
      <c r="S41" s="555">
        <f t="shared" si="24"/>
        <v>0</v>
      </c>
      <c r="T41" s="281">
        <f>IF('8. WAMKK'!C41=0,0,+S41/'8. WAMKK'!C41)</f>
        <v>0</v>
      </c>
      <c r="U41" s="121"/>
      <c r="V41" s="556">
        <f t="shared" si="16"/>
        <v>0</v>
      </c>
    </row>
    <row r="42" spans="1:22" ht="12.75" customHeight="1" x14ac:dyDescent="0.25">
      <c r="A42" s="14" t="s">
        <v>37</v>
      </c>
      <c r="B42" s="20" t="s">
        <v>38</v>
      </c>
      <c r="C42" s="165">
        <v>0</v>
      </c>
      <c r="D42" s="165">
        <v>0</v>
      </c>
      <c r="E42" s="165">
        <v>0</v>
      </c>
      <c r="F42" s="165">
        <v>0</v>
      </c>
      <c r="G42" s="165"/>
      <c r="H42" s="165">
        <v>0</v>
      </c>
      <c r="I42" s="165">
        <v>0</v>
      </c>
      <c r="J42" s="165">
        <v>0</v>
      </c>
      <c r="K42" s="165"/>
      <c r="L42" s="593">
        <f t="shared" si="33"/>
        <v>0</v>
      </c>
      <c r="M42" s="593">
        <f t="shared" si="34"/>
        <v>0</v>
      </c>
      <c r="N42" s="593">
        <f t="shared" si="35"/>
        <v>0</v>
      </c>
      <c r="O42" s="165"/>
      <c r="P42" s="165">
        <f t="shared" si="21"/>
        <v>0</v>
      </c>
      <c r="Q42" s="165">
        <f t="shared" si="22"/>
        <v>0</v>
      </c>
      <c r="R42" s="165">
        <f t="shared" si="23"/>
        <v>0</v>
      </c>
      <c r="S42" s="165">
        <f t="shared" si="24"/>
        <v>0</v>
      </c>
      <c r="T42" s="281">
        <f>IF('8. WAMKK'!C42=0,0,+S42/'8. WAMKK'!C42)</f>
        <v>0</v>
      </c>
      <c r="U42" s="120"/>
      <c r="V42" s="195">
        <f t="shared" si="16"/>
        <v>0</v>
      </c>
    </row>
    <row r="43" spans="1:22" ht="25.5" customHeight="1" x14ac:dyDescent="0.25">
      <c r="A43" s="14"/>
      <c r="B43" s="20" t="s">
        <v>39</v>
      </c>
      <c r="C43" s="165"/>
      <c r="D43" s="165"/>
      <c r="E43" s="165"/>
      <c r="F43" s="165"/>
      <c r="G43" s="165"/>
      <c r="H43" s="165"/>
      <c r="I43" s="165"/>
      <c r="J43" s="165"/>
      <c r="K43" s="165"/>
      <c r="L43" s="593">
        <f t="shared" ref="L43:L50" si="37">IF(H43&gt;0,H43/C43,0)</f>
        <v>0</v>
      </c>
      <c r="M43" s="593">
        <f t="shared" ref="M43:M50" si="38">IF(I43&gt;0,I43/D43,0)</f>
        <v>0</v>
      </c>
      <c r="N43" s="593">
        <f t="shared" ref="N43:N50" si="39">IF(J43&gt;0,J43/E43,0)</f>
        <v>0</v>
      </c>
      <c r="O43" s="165"/>
      <c r="P43" s="165">
        <f t="shared" si="21"/>
        <v>0</v>
      </c>
      <c r="Q43" s="165">
        <f t="shared" si="22"/>
        <v>0</v>
      </c>
      <c r="R43" s="165">
        <f t="shared" si="23"/>
        <v>0</v>
      </c>
      <c r="S43" s="165">
        <f t="shared" si="24"/>
        <v>0</v>
      </c>
      <c r="T43" s="281">
        <f>IF('8. WAMKK'!C43=0,0,+S43/'8. WAMKK'!C43)</f>
        <v>0</v>
      </c>
      <c r="U43" s="120"/>
      <c r="V43" s="195">
        <f t="shared" si="16"/>
        <v>0</v>
      </c>
    </row>
    <row r="44" spans="1:22" ht="12.75" customHeight="1" x14ac:dyDescent="0.25">
      <c r="A44" s="14"/>
      <c r="B44" s="20" t="s">
        <v>40</v>
      </c>
      <c r="C44" s="165"/>
      <c r="D44" s="165"/>
      <c r="E44" s="165"/>
      <c r="F44" s="165"/>
      <c r="G44" s="165"/>
      <c r="H44" s="165"/>
      <c r="I44" s="165"/>
      <c r="J44" s="165"/>
      <c r="K44" s="165"/>
      <c r="L44" s="593">
        <f t="shared" si="37"/>
        <v>0</v>
      </c>
      <c r="M44" s="593">
        <f t="shared" si="38"/>
        <v>0</v>
      </c>
      <c r="N44" s="593">
        <f t="shared" si="39"/>
        <v>0</v>
      </c>
      <c r="O44" s="165"/>
      <c r="P44" s="165">
        <f t="shared" si="21"/>
        <v>0</v>
      </c>
      <c r="Q44" s="165">
        <f t="shared" si="22"/>
        <v>0</v>
      </c>
      <c r="R44" s="165">
        <f t="shared" si="23"/>
        <v>0</v>
      </c>
      <c r="S44" s="165">
        <f t="shared" si="24"/>
        <v>0</v>
      </c>
      <c r="T44" s="281">
        <f>IF('8. WAMKK'!C44=0,0,+S44/'8. WAMKK'!C44)</f>
        <v>0</v>
      </c>
      <c r="U44" s="120"/>
      <c r="V44" s="195">
        <f t="shared" si="16"/>
        <v>0</v>
      </c>
    </row>
    <row r="45" spans="1:22" ht="12.75" customHeight="1" x14ac:dyDescent="0.25">
      <c r="A45" s="14"/>
      <c r="B45" s="20" t="s">
        <v>41</v>
      </c>
      <c r="C45" s="165"/>
      <c r="D45" s="165"/>
      <c r="E45" s="165"/>
      <c r="F45" s="165"/>
      <c r="G45" s="165"/>
      <c r="H45" s="165"/>
      <c r="I45" s="165"/>
      <c r="J45" s="165"/>
      <c r="K45" s="165"/>
      <c r="L45" s="593">
        <f t="shared" si="37"/>
        <v>0</v>
      </c>
      <c r="M45" s="593">
        <f t="shared" si="38"/>
        <v>0</v>
      </c>
      <c r="N45" s="593">
        <f t="shared" si="39"/>
        <v>0</v>
      </c>
      <c r="O45" s="165"/>
      <c r="P45" s="165">
        <f t="shared" si="21"/>
        <v>0</v>
      </c>
      <c r="Q45" s="165">
        <f t="shared" si="22"/>
        <v>0</v>
      </c>
      <c r="R45" s="165">
        <f t="shared" si="23"/>
        <v>0</v>
      </c>
      <c r="S45" s="165">
        <f t="shared" si="24"/>
        <v>0</v>
      </c>
      <c r="T45" s="281">
        <f>IF('8. WAMKK'!C45=0,0,+S45/'8. WAMKK'!C45)</f>
        <v>0</v>
      </c>
      <c r="U45" s="120"/>
      <c r="V45" s="195">
        <f t="shared" si="16"/>
        <v>0</v>
      </c>
    </row>
    <row r="46" spans="1:22" ht="12.75" customHeight="1" x14ac:dyDescent="0.25">
      <c r="A46" s="14" t="s">
        <v>42</v>
      </c>
      <c r="B46" s="20" t="s">
        <v>43</v>
      </c>
      <c r="C46" s="165">
        <v>50000</v>
      </c>
      <c r="D46" s="165">
        <v>50000</v>
      </c>
      <c r="E46" s="165">
        <v>50000</v>
      </c>
      <c r="F46" s="165">
        <v>50000</v>
      </c>
      <c r="G46" s="165"/>
      <c r="H46" s="165">
        <v>19243</v>
      </c>
      <c r="I46" s="165">
        <v>28786</v>
      </c>
      <c r="J46" s="165">
        <v>38251</v>
      </c>
      <c r="K46" s="165"/>
      <c r="L46" s="593">
        <f t="shared" si="37"/>
        <v>0.38485999999999998</v>
      </c>
      <c r="M46" s="593">
        <f t="shared" si="38"/>
        <v>0.57572000000000001</v>
      </c>
      <c r="N46" s="593">
        <f t="shared" si="39"/>
        <v>0.76502000000000003</v>
      </c>
      <c r="O46" s="165"/>
      <c r="P46" s="165">
        <f t="shared" si="21"/>
        <v>0</v>
      </c>
      <c r="Q46" s="165">
        <f t="shared" si="22"/>
        <v>0</v>
      </c>
      <c r="R46" s="165">
        <f t="shared" si="23"/>
        <v>0</v>
      </c>
      <c r="S46" s="165">
        <f t="shared" si="24"/>
        <v>0</v>
      </c>
      <c r="T46" s="281">
        <f>IF('8. WAMKK'!C46=0,0,+S46/'8. WAMKK'!C46)</f>
        <v>0</v>
      </c>
      <c r="U46" s="120"/>
      <c r="V46" s="195">
        <f t="shared" si="16"/>
        <v>0</v>
      </c>
    </row>
    <row r="47" spans="1:22" ht="12.75" customHeight="1" x14ac:dyDescent="0.25">
      <c r="A47" s="14"/>
      <c r="B47" s="20" t="s">
        <v>44</v>
      </c>
      <c r="C47" s="165"/>
      <c r="D47" s="165"/>
      <c r="E47" s="165"/>
      <c r="F47" s="165"/>
      <c r="G47" s="165"/>
      <c r="H47" s="165"/>
      <c r="I47" s="165"/>
      <c r="J47" s="165"/>
      <c r="K47" s="165"/>
      <c r="L47" s="593">
        <f t="shared" si="37"/>
        <v>0</v>
      </c>
      <c r="M47" s="593">
        <f t="shared" si="38"/>
        <v>0</v>
      </c>
      <c r="N47" s="593">
        <f t="shared" si="39"/>
        <v>0</v>
      </c>
      <c r="O47" s="165"/>
      <c r="P47" s="165">
        <f t="shared" si="21"/>
        <v>0</v>
      </c>
      <c r="Q47" s="165">
        <f t="shared" si="22"/>
        <v>0</v>
      </c>
      <c r="R47" s="165">
        <f t="shared" si="23"/>
        <v>0</v>
      </c>
      <c r="S47" s="165">
        <f t="shared" si="24"/>
        <v>0</v>
      </c>
      <c r="T47" s="281">
        <f>IF('8. WAMKK'!C47=0,0,+S47/'8. WAMKK'!C47)</f>
        <v>0</v>
      </c>
      <c r="U47" s="120"/>
      <c r="V47" s="195">
        <f t="shared" si="16"/>
        <v>0</v>
      </c>
    </row>
    <row r="48" spans="1:22" s="42" customFormat="1" ht="12.75" customHeight="1" x14ac:dyDescent="0.25">
      <c r="A48" s="38" t="s">
        <v>45</v>
      </c>
      <c r="B48" s="39" t="s">
        <v>46</v>
      </c>
      <c r="C48" s="275">
        <f>SUM(C49:C65)</f>
        <v>2675000</v>
      </c>
      <c r="D48" s="275">
        <f t="shared" ref="D48:F48" si="40">SUM(D49:D65)</f>
        <v>2735000</v>
      </c>
      <c r="E48" s="275">
        <f t="shared" si="40"/>
        <v>2735000</v>
      </c>
      <c r="F48" s="275">
        <f t="shared" si="40"/>
        <v>2755000</v>
      </c>
      <c r="G48" s="555"/>
      <c r="H48" s="275">
        <f>SUM(H49:H65)</f>
        <v>1170545</v>
      </c>
      <c r="I48" s="275">
        <f>SUM(I49:I65)</f>
        <v>1493725</v>
      </c>
      <c r="J48" s="275">
        <f>SUM(J49:J65)</f>
        <v>1989729</v>
      </c>
      <c r="K48" s="555"/>
      <c r="L48" s="601">
        <f t="shared" si="37"/>
        <v>0.43758691588785048</v>
      </c>
      <c r="M48" s="601">
        <f t="shared" si="38"/>
        <v>0.54615173674588668</v>
      </c>
      <c r="N48" s="601">
        <f t="shared" si="39"/>
        <v>0.72750603290676419</v>
      </c>
      <c r="O48" s="555"/>
      <c r="P48" s="555">
        <f t="shared" ref="P48:R48" si="41">SUM(P49:P65)</f>
        <v>60000</v>
      </c>
      <c r="Q48" s="555">
        <f t="shared" si="41"/>
        <v>0</v>
      </c>
      <c r="R48" s="555">
        <f t="shared" si="41"/>
        <v>0</v>
      </c>
      <c r="S48" s="555">
        <f t="shared" si="24"/>
        <v>60000</v>
      </c>
      <c r="T48" s="281">
        <f>IF('8. WAMKK'!C48=0,0,+S48/'8. WAMKK'!C48)</f>
        <v>1.2371134020618556E-2</v>
      </c>
      <c r="U48" s="121"/>
      <c r="V48" s="556">
        <f t="shared" si="16"/>
        <v>0</v>
      </c>
    </row>
    <row r="49" spans="1:22" ht="12.75" customHeight="1" x14ac:dyDescent="0.25">
      <c r="A49" s="14" t="s">
        <v>47</v>
      </c>
      <c r="B49" s="20" t="s">
        <v>48</v>
      </c>
      <c r="C49" s="165">
        <v>850000</v>
      </c>
      <c r="D49" s="165">
        <v>850000</v>
      </c>
      <c r="E49" s="165">
        <v>850000</v>
      </c>
      <c r="F49" s="165">
        <v>850000</v>
      </c>
      <c r="G49" s="165"/>
      <c r="H49" s="165">
        <v>142232</v>
      </c>
      <c r="I49" s="165">
        <v>263471</v>
      </c>
      <c r="J49" s="165">
        <v>406489</v>
      </c>
      <c r="K49" s="165"/>
      <c r="L49" s="593">
        <f t="shared" si="37"/>
        <v>0.16733176470588235</v>
      </c>
      <c r="M49" s="593">
        <f t="shared" si="38"/>
        <v>0.3099658823529412</v>
      </c>
      <c r="N49" s="593">
        <f t="shared" si="39"/>
        <v>0.47822235294117649</v>
      </c>
      <c r="O49" s="165"/>
      <c r="P49" s="165">
        <f t="shared" si="21"/>
        <v>0</v>
      </c>
      <c r="Q49" s="165">
        <f t="shared" si="22"/>
        <v>0</v>
      </c>
      <c r="R49" s="165">
        <f t="shared" si="23"/>
        <v>0</v>
      </c>
      <c r="S49" s="165">
        <f t="shared" si="24"/>
        <v>0</v>
      </c>
      <c r="T49" s="281">
        <f>IF('8. WAMKK'!C49=0,0,+S49/'8. WAMKK'!C49)</f>
        <v>0</v>
      </c>
      <c r="U49" s="120"/>
      <c r="V49" s="195">
        <f t="shared" si="16"/>
        <v>0</v>
      </c>
    </row>
    <row r="50" spans="1:22" ht="12.75" customHeight="1" x14ac:dyDescent="0.25">
      <c r="A50" s="14" t="s">
        <v>101</v>
      </c>
      <c r="B50" s="20" t="s">
        <v>95</v>
      </c>
      <c r="C50" s="165"/>
      <c r="D50" s="165"/>
      <c r="E50" s="165"/>
      <c r="F50" s="165"/>
      <c r="G50" s="165"/>
      <c r="H50" s="165"/>
      <c r="I50" s="165"/>
      <c r="J50" s="165"/>
      <c r="K50" s="165"/>
      <c r="L50" s="593">
        <f t="shared" si="37"/>
        <v>0</v>
      </c>
      <c r="M50" s="593">
        <f t="shared" si="38"/>
        <v>0</v>
      </c>
      <c r="N50" s="593">
        <f t="shared" si="39"/>
        <v>0</v>
      </c>
      <c r="O50" s="165"/>
      <c r="P50" s="165">
        <f t="shared" si="21"/>
        <v>0</v>
      </c>
      <c r="Q50" s="165">
        <f t="shared" si="22"/>
        <v>0</v>
      </c>
      <c r="R50" s="165">
        <f t="shared" si="23"/>
        <v>0</v>
      </c>
      <c r="S50" s="165">
        <f t="shared" si="24"/>
        <v>0</v>
      </c>
      <c r="T50" s="281">
        <f>IF('8. WAMKK'!C50=0,0,+S50/'8. WAMKK'!C50)</f>
        <v>0</v>
      </c>
      <c r="U50" s="120"/>
      <c r="V50" s="195">
        <f t="shared" si="16"/>
        <v>0</v>
      </c>
    </row>
    <row r="51" spans="1:22" ht="12.75" customHeight="1" x14ac:dyDescent="0.25">
      <c r="A51" s="14"/>
      <c r="B51" s="20" t="s">
        <v>96</v>
      </c>
      <c r="C51" s="165"/>
      <c r="D51" s="165"/>
      <c r="E51" s="165"/>
      <c r="F51" s="165"/>
      <c r="G51" s="165"/>
      <c r="H51" s="165"/>
      <c r="I51" s="165"/>
      <c r="J51" s="165"/>
      <c r="K51" s="165"/>
      <c r="L51" s="593">
        <f t="shared" ref="L51:L65" si="42">IF(H51&gt;0,H51/C51,0)</f>
        <v>0</v>
      </c>
      <c r="M51" s="593">
        <f t="shared" ref="M51:M65" si="43">IF(I51&gt;0,I51/D51,0)</f>
        <v>0</v>
      </c>
      <c r="N51" s="593">
        <f t="shared" ref="N51:N65" si="44">IF(J51&gt;0,J51/E51,0)</f>
        <v>0</v>
      </c>
      <c r="O51" s="165"/>
      <c r="P51" s="165">
        <f t="shared" si="21"/>
        <v>0</v>
      </c>
      <c r="Q51" s="165">
        <f t="shared" si="22"/>
        <v>0</v>
      </c>
      <c r="R51" s="165">
        <f t="shared" si="23"/>
        <v>0</v>
      </c>
      <c r="S51" s="165">
        <f t="shared" si="24"/>
        <v>0</v>
      </c>
      <c r="T51" s="281">
        <f>IF('8. WAMKK'!C51=0,0,+S51/'8. WAMKK'!C51)</f>
        <v>0</v>
      </c>
      <c r="U51" s="120"/>
      <c r="V51" s="195">
        <f t="shared" si="16"/>
        <v>0</v>
      </c>
    </row>
    <row r="52" spans="1:22" ht="12.75" customHeight="1" x14ac:dyDescent="0.25">
      <c r="A52" s="14"/>
      <c r="B52" s="20" t="s">
        <v>97</v>
      </c>
      <c r="C52" s="165"/>
      <c r="D52" s="165"/>
      <c r="E52" s="165"/>
      <c r="F52" s="165"/>
      <c r="G52" s="165"/>
      <c r="H52" s="165"/>
      <c r="I52" s="165"/>
      <c r="J52" s="165"/>
      <c r="K52" s="165"/>
      <c r="L52" s="593">
        <f t="shared" si="42"/>
        <v>0</v>
      </c>
      <c r="M52" s="593">
        <f t="shared" si="43"/>
        <v>0</v>
      </c>
      <c r="N52" s="593">
        <f t="shared" si="44"/>
        <v>0</v>
      </c>
      <c r="O52" s="165"/>
      <c r="P52" s="165">
        <f t="shared" si="21"/>
        <v>0</v>
      </c>
      <c r="Q52" s="165">
        <f t="shared" si="22"/>
        <v>0</v>
      </c>
      <c r="R52" s="165">
        <f t="shared" si="23"/>
        <v>0</v>
      </c>
      <c r="S52" s="165">
        <f t="shared" si="24"/>
        <v>0</v>
      </c>
      <c r="T52" s="281">
        <f>IF('8. WAMKK'!C52=0,0,+S52/'8. WAMKK'!C52)</f>
        <v>0</v>
      </c>
      <c r="U52" s="120"/>
      <c r="V52" s="195">
        <f t="shared" si="16"/>
        <v>0</v>
      </c>
    </row>
    <row r="53" spans="1:22" ht="12.75" customHeight="1" x14ac:dyDescent="0.25">
      <c r="A53" s="14" t="s">
        <v>49</v>
      </c>
      <c r="B53" s="20" t="s">
        <v>50</v>
      </c>
      <c r="C53" s="165"/>
      <c r="D53" s="165"/>
      <c r="E53" s="165"/>
      <c r="F53" s="165"/>
      <c r="G53" s="165"/>
      <c r="H53" s="165"/>
      <c r="I53" s="165"/>
      <c r="J53" s="165"/>
      <c r="K53" s="165"/>
      <c r="L53" s="593">
        <f t="shared" si="42"/>
        <v>0</v>
      </c>
      <c r="M53" s="593">
        <f t="shared" si="43"/>
        <v>0</v>
      </c>
      <c r="N53" s="593">
        <f t="shared" si="44"/>
        <v>0</v>
      </c>
      <c r="O53" s="165"/>
      <c r="P53" s="165">
        <f t="shared" si="21"/>
        <v>0</v>
      </c>
      <c r="Q53" s="165">
        <f t="shared" si="22"/>
        <v>0</v>
      </c>
      <c r="R53" s="165">
        <f t="shared" si="23"/>
        <v>0</v>
      </c>
      <c r="S53" s="165">
        <f t="shared" si="24"/>
        <v>0</v>
      </c>
      <c r="T53" s="281">
        <f>IF('8. WAMKK'!C53=0,0,+S53/'8. WAMKK'!C53)</f>
        <v>0</v>
      </c>
      <c r="U53" s="120"/>
      <c r="V53" s="195">
        <f t="shared" si="16"/>
        <v>0</v>
      </c>
    </row>
    <row r="54" spans="1:22" ht="12.75" customHeight="1" x14ac:dyDescent="0.25">
      <c r="A54" s="14"/>
      <c r="B54" s="20" t="s">
        <v>88</v>
      </c>
      <c r="C54" s="165"/>
      <c r="D54" s="165"/>
      <c r="E54" s="165"/>
      <c r="F54" s="165"/>
      <c r="G54" s="165"/>
      <c r="H54" s="165"/>
      <c r="I54" s="165"/>
      <c r="J54" s="165"/>
      <c r="K54" s="165"/>
      <c r="L54" s="593">
        <f t="shared" si="42"/>
        <v>0</v>
      </c>
      <c r="M54" s="593">
        <f t="shared" si="43"/>
        <v>0</v>
      </c>
      <c r="N54" s="593">
        <f t="shared" si="44"/>
        <v>0</v>
      </c>
      <c r="O54" s="165"/>
      <c r="P54" s="165">
        <f t="shared" si="21"/>
        <v>0</v>
      </c>
      <c r="Q54" s="165">
        <f t="shared" si="22"/>
        <v>0</v>
      </c>
      <c r="R54" s="165">
        <f t="shared" si="23"/>
        <v>0</v>
      </c>
      <c r="S54" s="165">
        <f t="shared" si="24"/>
        <v>0</v>
      </c>
      <c r="T54" s="281">
        <f>IF('8. WAMKK'!C54=0,0,+S54/'8. WAMKK'!C54)</f>
        <v>0</v>
      </c>
      <c r="U54" s="120"/>
      <c r="V54" s="195">
        <f t="shared" si="16"/>
        <v>0</v>
      </c>
    </row>
    <row r="55" spans="1:22" ht="12.75" customHeight="1" x14ac:dyDescent="0.25">
      <c r="A55" s="14"/>
      <c r="B55" s="20" t="s">
        <v>51</v>
      </c>
      <c r="C55" s="165"/>
      <c r="D55" s="165"/>
      <c r="E55" s="165"/>
      <c r="F55" s="165"/>
      <c r="G55" s="165"/>
      <c r="H55" s="165"/>
      <c r="I55" s="165"/>
      <c r="J55" s="165"/>
      <c r="K55" s="165"/>
      <c r="L55" s="593">
        <f t="shared" si="42"/>
        <v>0</v>
      </c>
      <c r="M55" s="593">
        <f t="shared" si="43"/>
        <v>0</v>
      </c>
      <c r="N55" s="593">
        <f t="shared" si="44"/>
        <v>0</v>
      </c>
      <c r="O55" s="165"/>
      <c r="P55" s="165">
        <f t="shared" si="21"/>
        <v>0</v>
      </c>
      <c r="Q55" s="165">
        <f t="shared" si="22"/>
        <v>0</v>
      </c>
      <c r="R55" s="165">
        <f t="shared" si="23"/>
        <v>0</v>
      </c>
      <c r="S55" s="165">
        <f t="shared" si="24"/>
        <v>0</v>
      </c>
      <c r="T55" s="281">
        <f>IF('8. WAMKK'!C55=0,0,+S55/'8. WAMKK'!C55)</f>
        <v>0</v>
      </c>
      <c r="U55" s="120"/>
      <c r="V55" s="195">
        <f t="shared" si="16"/>
        <v>0</v>
      </c>
    </row>
    <row r="56" spans="1:22" ht="12.75" customHeight="1" x14ac:dyDescent="0.25">
      <c r="A56" s="14" t="s">
        <v>52</v>
      </c>
      <c r="B56" s="20" t="s">
        <v>53</v>
      </c>
      <c r="C56" s="165"/>
      <c r="D56" s="165"/>
      <c r="E56" s="165"/>
      <c r="F56" s="165"/>
      <c r="G56" s="165"/>
      <c r="H56" s="165"/>
      <c r="I56" s="165"/>
      <c r="J56" s="165"/>
      <c r="K56" s="165"/>
      <c r="L56" s="593">
        <f t="shared" si="42"/>
        <v>0</v>
      </c>
      <c r="M56" s="593">
        <f t="shared" si="43"/>
        <v>0</v>
      </c>
      <c r="N56" s="593">
        <f t="shared" si="44"/>
        <v>0</v>
      </c>
      <c r="O56" s="165"/>
      <c r="P56" s="165">
        <f t="shared" si="21"/>
        <v>0</v>
      </c>
      <c r="Q56" s="165">
        <f t="shared" si="22"/>
        <v>0</v>
      </c>
      <c r="R56" s="165">
        <f t="shared" si="23"/>
        <v>0</v>
      </c>
      <c r="S56" s="165">
        <f t="shared" si="24"/>
        <v>0</v>
      </c>
      <c r="T56" s="281">
        <f>IF('8. WAMKK'!C56=0,0,+S56/'8. WAMKK'!C56)</f>
        <v>0</v>
      </c>
      <c r="U56" s="120"/>
      <c r="V56" s="195">
        <f t="shared" si="16"/>
        <v>0</v>
      </c>
    </row>
    <row r="57" spans="1:22" ht="12.75" customHeight="1" x14ac:dyDescent="0.25">
      <c r="A57" s="14"/>
      <c r="B57" s="20" t="s">
        <v>54</v>
      </c>
      <c r="C57" s="165"/>
      <c r="D57" s="165"/>
      <c r="E57" s="165"/>
      <c r="F57" s="165"/>
      <c r="G57" s="165"/>
      <c r="H57" s="165"/>
      <c r="I57" s="165"/>
      <c r="J57" s="165"/>
      <c r="K57" s="165"/>
      <c r="L57" s="593">
        <f t="shared" si="42"/>
        <v>0</v>
      </c>
      <c r="M57" s="593">
        <f t="shared" si="43"/>
        <v>0</v>
      </c>
      <c r="N57" s="593">
        <f t="shared" si="44"/>
        <v>0</v>
      </c>
      <c r="O57" s="165"/>
      <c r="P57" s="165">
        <f t="shared" si="21"/>
        <v>0</v>
      </c>
      <c r="Q57" s="165">
        <f t="shared" si="22"/>
        <v>0</v>
      </c>
      <c r="R57" s="165">
        <f t="shared" si="23"/>
        <v>0</v>
      </c>
      <c r="S57" s="165">
        <f t="shared" si="24"/>
        <v>0</v>
      </c>
      <c r="T57" s="281">
        <f>IF('8. WAMKK'!C57=0,0,+S57/'8. WAMKK'!C57)</f>
        <v>0</v>
      </c>
      <c r="U57" s="120"/>
      <c r="V57" s="195">
        <f t="shared" si="16"/>
        <v>0</v>
      </c>
    </row>
    <row r="58" spans="1:22" ht="12.75" customHeight="1" x14ac:dyDescent="0.25">
      <c r="A58" s="14" t="s">
        <v>55</v>
      </c>
      <c r="B58" s="20" t="s">
        <v>89</v>
      </c>
      <c r="C58" s="165">
        <v>525000</v>
      </c>
      <c r="D58" s="165">
        <v>525000</v>
      </c>
      <c r="E58" s="165">
        <v>525000</v>
      </c>
      <c r="F58" s="165">
        <v>365000</v>
      </c>
      <c r="G58" s="165"/>
      <c r="H58" s="165">
        <v>168088</v>
      </c>
      <c r="I58" s="165">
        <v>175588</v>
      </c>
      <c r="J58" s="165">
        <v>190388</v>
      </c>
      <c r="K58" s="165"/>
      <c r="L58" s="593">
        <f t="shared" si="42"/>
        <v>0.32016761904761903</v>
      </c>
      <c r="M58" s="593">
        <f t="shared" si="43"/>
        <v>0.33445333333333332</v>
      </c>
      <c r="N58" s="593">
        <f t="shared" si="44"/>
        <v>0.36264380952380953</v>
      </c>
      <c r="O58" s="165"/>
      <c r="P58" s="165">
        <f t="shared" si="21"/>
        <v>0</v>
      </c>
      <c r="Q58" s="165">
        <f t="shared" si="22"/>
        <v>0</v>
      </c>
      <c r="R58" s="165">
        <f t="shared" si="23"/>
        <v>0</v>
      </c>
      <c r="S58" s="165">
        <f t="shared" si="24"/>
        <v>0</v>
      </c>
      <c r="T58" s="281">
        <f>IF('8. WAMKK'!C58=0,0,+S58/'8. WAMKK'!C58)</f>
        <v>0</v>
      </c>
      <c r="U58" s="120"/>
      <c r="V58" s="195">
        <f t="shared" si="16"/>
        <v>0</v>
      </c>
    </row>
    <row r="59" spans="1:22" ht="12.75" customHeight="1" x14ac:dyDescent="0.25">
      <c r="A59" s="14"/>
      <c r="B59" s="20" t="s">
        <v>56</v>
      </c>
      <c r="C59" s="313"/>
      <c r="D59" s="165"/>
      <c r="E59" s="165"/>
      <c r="F59" s="165"/>
      <c r="G59" s="165"/>
      <c r="H59" s="165"/>
      <c r="I59" s="165"/>
      <c r="J59" s="165"/>
      <c r="K59" s="165"/>
      <c r="L59" s="593">
        <f t="shared" si="42"/>
        <v>0</v>
      </c>
      <c r="M59" s="593">
        <f t="shared" si="43"/>
        <v>0</v>
      </c>
      <c r="N59" s="593">
        <f t="shared" si="44"/>
        <v>0</v>
      </c>
      <c r="O59" s="165"/>
      <c r="P59" s="165">
        <f t="shared" si="21"/>
        <v>0</v>
      </c>
      <c r="Q59" s="165">
        <f t="shared" si="22"/>
        <v>0</v>
      </c>
      <c r="R59" s="165">
        <f t="shared" si="23"/>
        <v>0</v>
      </c>
      <c r="S59" s="165">
        <f t="shared" si="24"/>
        <v>0</v>
      </c>
      <c r="T59" s="281">
        <f>IF('8. WAMKK'!C59=0,0,+S59/'8. WAMKK'!C59)</f>
        <v>0</v>
      </c>
      <c r="U59" s="120"/>
      <c r="V59" s="195">
        <f t="shared" si="16"/>
        <v>0</v>
      </c>
    </row>
    <row r="60" spans="1:22" ht="12.75" customHeight="1" x14ac:dyDescent="0.25">
      <c r="A60" s="14" t="s">
        <v>57</v>
      </c>
      <c r="B60" s="20" t="s">
        <v>58</v>
      </c>
      <c r="C60" s="165"/>
      <c r="D60" s="165"/>
      <c r="E60" s="165"/>
      <c r="F60" s="165"/>
      <c r="G60" s="165"/>
      <c r="H60" s="165"/>
      <c r="I60" s="165"/>
      <c r="J60" s="165"/>
      <c r="K60" s="165"/>
      <c r="L60" s="593">
        <f t="shared" si="42"/>
        <v>0</v>
      </c>
      <c r="M60" s="593">
        <f t="shared" si="43"/>
        <v>0</v>
      </c>
      <c r="N60" s="593">
        <f t="shared" si="44"/>
        <v>0</v>
      </c>
      <c r="O60" s="165"/>
      <c r="P60" s="165">
        <f t="shared" si="21"/>
        <v>0</v>
      </c>
      <c r="Q60" s="165">
        <f t="shared" si="22"/>
        <v>0</v>
      </c>
      <c r="R60" s="165">
        <f t="shared" si="23"/>
        <v>0</v>
      </c>
      <c r="S60" s="165">
        <f t="shared" si="24"/>
        <v>0</v>
      </c>
      <c r="T60" s="281">
        <f>IF('8. WAMKK'!C60=0,0,+S60/'8. WAMKK'!C60)</f>
        <v>0</v>
      </c>
      <c r="U60" s="120"/>
      <c r="V60" s="195">
        <f t="shared" si="16"/>
        <v>0</v>
      </c>
    </row>
    <row r="61" spans="1:22" ht="24.75" customHeight="1" x14ac:dyDescent="0.25">
      <c r="A61" s="20"/>
      <c r="B61" s="20" t="s">
        <v>59</v>
      </c>
      <c r="C61" s="165"/>
      <c r="D61" s="165"/>
      <c r="E61" s="165"/>
      <c r="F61" s="165"/>
      <c r="G61" s="165"/>
      <c r="H61" s="165"/>
      <c r="I61" s="165"/>
      <c r="J61" s="165"/>
      <c r="K61" s="165"/>
      <c r="L61" s="593">
        <f t="shared" si="42"/>
        <v>0</v>
      </c>
      <c r="M61" s="593">
        <f t="shared" si="43"/>
        <v>0</v>
      </c>
      <c r="N61" s="593">
        <f t="shared" si="44"/>
        <v>0</v>
      </c>
      <c r="O61" s="165"/>
      <c r="P61" s="165">
        <f t="shared" si="21"/>
        <v>0</v>
      </c>
      <c r="Q61" s="165">
        <f t="shared" si="22"/>
        <v>0</v>
      </c>
      <c r="R61" s="165">
        <f t="shared" si="23"/>
        <v>0</v>
      </c>
      <c r="S61" s="165">
        <f t="shared" si="24"/>
        <v>0</v>
      </c>
      <c r="T61" s="281">
        <f>IF('8. WAMKK'!C61=0,0,+S61/'8. WAMKK'!C61)</f>
        <v>0</v>
      </c>
      <c r="U61" s="120"/>
      <c r="V61" s="195">
        <f t="shared" si="16"/>
        <v>0</v>
      </c>
    </row>
    <row r="62" spans="1:22" ht="12.75" customHeight="1" x14ac:dyDescent="0.25">
      <c r="A62" s="14" t="s">
        <v>60</v>
      </c>
      <c r="B62" s="482" t="s">
        <v>61</v>
      </c>
      <c r="C62" s="165">
        <v>50000</v>
      </c>
      <c r="D62" s="165">
        <v>110000</v>
      </c>
      <c r="E62" s="165">
        <v>110000</v>
      </c>
      <c r="F62" s="165">
        <v>110000</v>
      </c>
      <c r="G62" s="165"/>
      <c r="H62" s="165">
        <v>50700</v>
      </c>
      <c r="I62" s="165">
        <v>55400</v>
      </c>
      <c r="J62" s="165">
        <v>59258</v>
      </c>
      <c r="K62" s="165"/>
      <c r="L62" s="593">
        <f t="shared" si="42"/>
        <v>1.014</v>
      </c>
      <c r="M62" s="593">
        <f t="shared" si="43"/>
        <v>0.50363636363636366</v>
      </c>
      <c r="N62" s="593">
        <f t="shared" si="44"/>
        <v>0.53870909090909092</v>
      </c>
      <c r="O62" s="165"/>
      <c r="P62" s="165">
        <f t="shared" si="21"/>
        <v>60000</v>
      </c>
      <c r="Q62" s="165">
        <f t="shared" si="22"/>
        <v>0</v>
      </c>
      <c r="R62" s="165">
        <f t="shared" si="23"/>
        <v>0</v>
      </c>
      <c r="S62" s="165">
        <f t="shared" si="24"/>
        <v>60000</v>
      </c>
      <c r="T62" s="281">
        <f>IF('8. WAMKK'!C62=0,0,+S62/'8. WAMKK'!C62)</f>
        <v>1.2</v>
      </c>
      <c r="U62" s="120"/>
      <c r="V62" s="195">
        <f t="shared" si="16"/>
        <v>0</v>
      </c>
    </row>
    <row r="63" spans="1:22" ht="39.75" customHeight="1" x14ac:dyDescent="0.25">
      <c r="A63" s="14"/>
      <c r="B63" s="20" t="s">
        <v>100</v>
      </c>
      <c r="C63" s="165"/>
      <c r="D63" s="165"/>
      <c r="E63" s="165"/>
      <c r="F63" s="165"/>
      <c r="G63" s="165"/>
      <c r="H63" s="165"/>
      <c r="I63" s="165"/>
      <c r="J63" s="165"/>
      <c r="K63" s="165"/>
      <c r="L63" s="593">
        <f t="shared" si="42"/>
        <v>0</v>
      </c>
      <c r="M63" s="593">
        <f t="shared" si="43"/>
        <v>0</v>
      </c>
      <c r="N63" s="593">
        <f t="shared" si="44"/>
        <v>0</v>
      </c>
      <c r="O63" s="165"/>
      <c r="P63" s="165">
        <f t="shared" si="21"/>
        <v>0</v>
      </c>
      <c r="Q63" s="165">
        <f t="shared" si="22"/>
        <v>0</v>
      </c>
      <c r="R63" s="165">
        <f t="shared" si="23"/>
        <v>0</v>
      </c>
      <c r="S63" s="165">
        <f t="shared" si="24"/>
        <v>0</v>
      </c>
      <c r="T63" s="281">
        <f>IF('8. WAMKK'!C63=0,0,+S63/'8. WAMKK'!C63)</f>
        <v>0</v>
      </c>
      <c r="U63" s="120"/>
      <c r="V63" s="195">
        <f t="shared" si="16"/>
        <v>0</v>
      </c>
    </row>
    <row r="64" spans="1:22" ht="12.75" customHeight="1" x14ac:dyDescent="0.25">
      <c r="A64" s="14" t="s">
        <v>62</v>
      </c>
      <c r="B64" s="20" t="s">
        <v>63</v>
      </c>
      <c r="C64" s="165">
        <v>1250000</v>
      </c>
      <c r="D64" s="165">
        <v>1250000</v>
      </c>
      <c r="E64" s="165">
        <v>1250000</v>
      </c>
      <c r="F64" s="165">
        <v>1430000</v>
      </c>
      <c r="G64" s="165"/>
      <c r="H64" s="165">
        <v>809525</v>
      </c>
      <c r="I64" s="165">
        <v>999266</v>
      </c>
      <c r="J64" s="165">
        <v>1333594</v>
      </c>
      <c r="K64" s="165"/>
      <c r="L64" s="593">
        <f t="shared" si="42"/>
        <v>0.64761999999999997</v>
      </c>
      <c r="M64" s="593">
        <f t="shared" si="43"/>
        <v>0.79941280000000003</v>
      </c>
      <c r="N64" s="593">
        <f t="shared" si="44"/>
        <v>1.0668751999999999</v>
      </c>
      <c r="O64" s="165"/>
      <c r="P64" s="165">
        <f t="shared" si="21"/>
        <v>0</v>
      </c>
      <c r="Q64" s="165">
        <f t="shared" si="22"/>
        <v>0</v>
      </c>
      <c r="R64" s="165">
        <f t="shared" si="23"/>
        <v>0</v>
      </c>
      <c r="S64" s="165">
        <f t="shared" si="24"/>
        <v>0</v>
      </c>
      <c r="T64" s="281">
        <f>IF('8. WAMKK'!C64=0,0,+S64/'8. WAMKK'!C64)</f>
        <v>0</v>
      </c>
      <c r="U64" s="120"/>
      <c r="V64" s="195">
        <f t="shared" si="16"/>
        <v>0</v>
      </c>
    </row>
    <row r="65" spans="1:22" ht="39" customHeight="1" x14ac:dyDescent="0.25">
      <c r="A65" s="14"/>
      <c r="B65" s="20" t="s">
        <v>64</v>
      </c>
      <c r="C65" s="165"/>
      <c r="D65" s="165"/>
      <c r="E65" s="165"/>
      <c r="F65" s="165"/>
      <c r="G65" s="165"/>
      <c r="H65" s="165"/>
      <c r="I65" s="165"/>
      <c r="J65" s="165"/>
      <c r="K65" s="165"/>
      <c r="L65" s="593">
        <f t="shared" si="42"/>
        <v>0</v>
      </c>
      <c r="M65" s="593">
        <f t="shared" si="43"/>
        <v>0</v>
      </c>
      <c r="N65" s="593">
        <f t="shared" si="44"/>
        <v>0</v>
      </c>
      <c r="O65" s="165"/>
      <c r="P65" s="165">
        <f t="shared" si="21"/>
        <v>0</v>
      </c>
      <c r="Q65" s="165">
        <f t="shared" si="22"/>
        <v>0</v>
      </c>
      <c r="R65" s="165">
        <f t="shared" si="23"/>
        <v>0</v>
      </c>
      <c r="S65" s="165">
        <f t="shared" si="24"/>
        <v>0</v>
      </c>
      <c r="T65" s="281">
        <f>IF('8. WAMKK'!C65=0,0,+S65/'8. WAMKK'!C65)</f>
        <v>0</v>
      </c>
      <c r="U65" s="120"/>
      <c r="V65" s="195">
        <f t="shared" si="16"/>
        <v>0</v>
      </c>
    </row>
    <row r="66" spans="1:22" s="42" customFormat="1" ht="12.75" customHeight="1" x14ac:dyDescent="0.25">
      <c r="A66" s="38" t="s">
        <v>65</v>
      </c>
      <c r="B66" s="39" t="s">
        <v>66</v>
      </c>
      <c r="C66" s="275">
        <f>+C67+C69</f>
        <v>230000</v>
      </c>
      <c r="D66" s="275">
        <f t="shared" ref="D66:F66" si="45">+D67+D69</f>
        <v>230000</v>
      </c>
      <c r="E66" s="275">
        <f t="shared" si="45"/>
        <v>230000</v>
      </c>
      <c r="F66" s="275">
        <f t="shared" si="45"/>
        <v>310000</v>
      </c>
      <c r="G66" s="555"/>
      <c r="H66" s="275">
        <f>+H67+H69</f>
        <v>140010</v>
      </c>
      <c r="I66" s="275">
        <f>+I67+I69</f>
        <v>180010</v>
      </c>
      <c r="J66" s="275">
        <f>+J67+J69</f>
        <v>260020</v>
      </c>
      <c r="K66" s="555"/>
      <c r="L66" s="594">
        <f t="shared" ref="L66:L70" si="46">IF(H66&gt;0,H66/C66,0)</f>
        <v>0.60873913043478256</v>
      </c>
      <c r="M66" s="594">
        <f t="shared" ref="M66:M70" si="47">IF(I66&gt;0,I66/D66,0)</f>
        <v>0.78265217391304343</v>
      </c>
      <c r="N66" s="594">
        <f t="shared" ref="N66:N70" si="48">IF(J66&gt;0,J66/E66,0)</f>
        <v>1.1305217391304347</v>
      </c>
      <c r="O66" s="555"/>
      <c r="P66" s="555">
        <f t="shared" ref="P66:R66" si="49">+P67+P69</f>
        <v>0</v>
      </c>
      <c r="Q66" s="555">
        <f t="shared" si="49"/>
        <v>0</v>
      </c>
      <c r="R66" s="555">
        <f t="shared" si="49"/>
        <v>0</v>
      </c>
      <c r="S66" s="555">
        <f t="shared" si="24"/>
        <v>0</v>
      </c>
      <c r="T66" s="281">
        <f>IF('8. WAMKK'!C66=0,0,+S66/'8. WAMKK'!C66)</f>
        <v>0</v>
      </c>
      <c r="U66" s="121"/>
      <c r="V66" s="556">
        <f t="shared" si="16"/>
        <v>0</v>
      </c>
    </row>
    <row r="67" spans="1:22" ht="12.75" customHeight="1" x14ac:dyDescent="0.25">
      <c r="A67" s="14" t="s">
        <v>67</v>
      </c>
      <c r="B67" s="20" t="s">
        <v>68</v>
      </c>
      <c r="C67" s="165">
        <v>230000</v>
      </c>
      <c r="D67" s="165">
        <v>230000</v>
      </c>
      <c r="E67" s="165">
        <v>230000</v>
      </c>
      <c r="F67" s="165">
        <v>310000</v>
      </c>
      <c r="G67" s="165"/>
      <c r="H67" s="165">
        <v>140010</v>
      </c>
      <c r="I67" s="165">
        <v>180010</v>
      </c>
      <c r="J67" s="165">
        <v>260020</v>
      </c>
      <c r="K67" s="165"/>
      <c r="L67" s="593">
        <f t="shared" si="46"/>
        <v>0.60873913043478256</v>
      </c>
      <c r="M67" s="593">
        <f t="shared" si="47"/>
        <v>0.78265217391304343</v>
      </c>
      <c r="N67" s="593">
        <f t="shared" si="48"/>
        <v>1.1305217391304347</v>
      </c>
      <c r="O67" s="165"/>
      <c r="P67" s="165">
        <f t="shared" si="21"/>
        <v>0</v>
      </c>
      <c r="Q67" s="165">
        <f t="shared" si="22"/>
        <v>0</v>
      </c>
      <c r="R67" s="165">
        <f t="shared" si="23"/>
        <v>0</v>
      </c>
      <c r="S67" s="165">
        <f t="shared" si="24"/>
        <v>0</v>
      </c>
      <c r="T67" s="281">
        <f>IF('8. WAMKK'!C67=0,0,+S67/'8. WAMKK'!C67)</f>
        <v>0</v>
      </c>
      <c r="U67" s="120"/>
      <c r="V67" s="195">
        <f t="shared" si="16"/>
        <v>0</v>
      </c>
    </row>
    <row r="68" spans="1:22" ht="12.75" customHeight="1" x14ac:dyDescent="0.25">
      <c r="A68" s="14"/>
      <c r="B68" s="20" t="s">
        <v>69</v>
      </c>
      <c r="C68" s="165"/>
      <c r="D68" s="165"/>
      <c r="E68" s="165"/>
      <c r="F68" s="165"/>
      <c r="G68" s="165"/>
      <c r="H68" s="165"/>
      <c r="I68" s="165"/>
      <c r="J68" s="165"/>
      <c r="K68" s="165"/>
      <c r="L68" s="593">
        <f t="shared" si="46"/>
        <v>0</v>
      </c>
      <c r="M68" s="593">
        <f t="shared" si="47"/>
        <v>0</v>
      </c>
      <c r="N68" s="593">
        <f t="shared" si="48"/>
        <v>0</v>
      </c>
      <c r="O68" s="165"/>
      <c r="P68" s="165">
        <f t="shared" si="21"/>
        <v>0</v>
      </c>
      <c r="Q68" s="165">
        <f t="shared" si="22"/>
        <v>0</v>
      </c>
      <c r="R68" s="165">
        <f t="shared" si="23"/>
        <v>0</v>
      </c>
      <c r="S68" s="165">
        <f t="shared" si="24"/>
        <v>0</v>
      </c>
      <c r="T68" s="281">
        <f>IF('8. WAMKK'!C68=0,0,+S68/'8. WAMKK'!C68)</f>
        <v>0</v>
      </c>
      <c r="U68" s="120"/>
      <c r="V68" s="195">
        <f t="shared" si="16"/>
        <v>0</v>
      </c>
    </row>
    <row r="69" spans="1:22" ht="12.75" customHeight="1" x14ac:dyDescent="0.25">
      <c r="A69" s="14" t="s">
        <v>70</v>
      </c>
      <c r="B69" s="20" t="s">
        <v>98</v>
      </c>
      <c r="C69" s="165"/>
      <c r="D69" s="165"/>
      <c r="E69" s="165"/>
      <c r="F69" s="165"/>
      <c r="G69" s="165"/>
      <c r="H69" s="165"/>
      <c r="I69" s="165"/>
      <c r="J69" s="165"/>
      <c r="K69" s="165"/>
      <c r="L69" s="593">
        <f t="shared" si="46"/>
        <v>0</v>
      </c>
      <c r="M69" s="593">
        <f t="shared" si="47"/>
        <v>0</v>
      </c>
      <c r="N69" s="593">
        <f t="shared" si="48"/>
        <v>0</v>
      </c>
      <c r="O69" s="165"/>
      <c r="P69" s="165">
        <f t="shared" si="21"/>
        <v>0</v>
      </c>
      <c r="Q69" s="165">
        <f t="shared" si="22"/>
        <v>0</v>
      </c>
      <c r="R69" s="165">
        <f t="shared" si="23"/>
        <v>0</v>
      </c>
      <c r="S69" s="165">
        <f t="shared" si="24"/>
        <v>0</v>
      </c>
      <c r="T69" s="281">
        <f>IF('8. WAMKK'!C69=0,0,+S69/'8. WAMKK'!C69)</f>
        <v>0</v>
      </c>
      <c r="U69" s="120"/>
      <c r="V69" s="195">
        <f t="shared" si="16"/>
        <v>0</v>
      </c>
    </row>
    <row r="70" spans="1:22" ht="12.75" customHeight="1" x14ac:dyDescent="0.25">
      <c r="A70" s="14"/>
      <c r="B70" s="20" t="s">
        <v>71</v>
      </c>
      <c r="C70" s="165"/>
      <c r="D70" s="165"/>
      <c r="E70" s="165"/>
      <c r="F70" s="165"/>
      <c r="G70" s="165"/>
      <c r="H70" s="165"/>
      <c r="I70" s="165"/>
      <c r="J70" s="165"/>
      <c r="K70" s="165"/>
      <c r="L70" s="593">
        <f t="shared" si="46"/>
        <v>0</v>
      </c>
      <c r="M70" s="593">
        <f t="shared" si="47"/>
        <v>0</v>
      </c>
      <c r="N70" s="593">
        <f t="shared" si="48"/>
        <v>0</v>
      </c>
      <c r="O70" s="165"/>
      <c r="P70" s="165">
        <f t="shared" si="21"/>
        <v>0</v>
      </c>
      <c r="Q70" s="165">
        <f t="shared" si="22"/>
        <v>0</v>
      </c>
      <c r="R70" s="165">
        <f t="shared" si="23"/>
        <v>0</v>
      </c>
      <c r="S70" s="165">
        <f t="shared" si="24"/>
        <v>0</v>
      </c>
      <c r="T70" s="281">
        <f>IF('8. WAMKK'!C70=0,0,+S70/'8. WAMKK'!C70)</f>
        <v>0</v>
      </c>
      <c r="U70" s="120"/>
      <c r="V70" s="195">
        <f t="shared" si="16"/>
        <v>0</v>
      </c>
    </row>
    <row r="71" spans="1:22" s="42" customFormat="1" ht="12.75" customHeight="1" x14ac:dyDescent="0.25">
      <c r="A71" s="38" t="s">
        <v>72</v>
      </c>
      <c r="B71" s="39" t="s">
        <v>73</v>
      </c>
      <c r="C71" s="275">
        <f>SUM(C72:C81)</f>
        <v>16040000</v>
      </c>
      <c r="D71" s="275">
        <f t="shared" ref="D71:F71" si="50">SUM(D72:D81)</f>
        <v>16040000</v>
      </c>
      <c r="E71" s="275">
        <f t="shared" si="50"/>
        <v>16040000</v>
      </c>
      <c r="F71" s="275">
        <f t="shared" si="50"/>
        <v>16040000</v>
      </c>
      <c r="G71" s="555"/>
      <c r="H71" s="275">
        <f>SUM(H72:H81)</f>
        <v>6542773</v>
      </c>
      <c r="I71" s="275">
        <f>SUM(I72:I81)</f>
        <v>9046817</v>
      </c>
      <c r="J71" s="275">
        <f>SUM(J72:J81)</f>
        <v>12532879</v>
      </c>
      <c r="K71" s="555"/>
      <c r="L71" s="594">
        <f t="shared" ref="L71:L80" si="51">IF(H71&gt;0,H71/C71,0)</f>
        <v>0.40790355361596009</v>
      </c>
      <c r="M71" s="594">
        <f t="shared" ref="M71:M80" si="52">IF(I71&gt;0,I71/D71,0)</f>
        <v>0.56401602244389026</v>
      </c>
      <c r="N71" s="594">
        <f t="shared" ref="N71:N80" si="53">IF(J71&gt;0,J71/E71,0)</f>
        <v>0.78135155860349126</v>
      </c>
      <c r="O71" s="555"/>
      <c r="P71" s="555">
        <f t="shared" ref="P71:R71" si="54">SUM(P72:P81)</f>
        <v>0</v>
      </c>
      <c r="Q71" s="555">
        <f t="shared" si="54"/>
        <v>0</v>
      </c>
      <c r="R71" s="555">
        <f t="shared" si="54"/>
        <v>0</v>
      </c>
      <c r="S71" s="555">
        <f t="shared" si="24"/>
        <v>0</v>
      </c>
      <c r="T71" s="281">
        <f>IF('8. WAMKK'!C71=0,0,+S71/'8. WAMKK'!C71)</f>
        <v>0</v>
      </c>
      <c r="U71" s="121"/>
      <c r="V71" s="556">
        <f t="shared" si="16"/>
        <v>0</v>
      </c>
    </row>
    <row r="72" spans="1:22" ht="12.75" customHeight="1" x14ac:dyDescent="0.25">
      <c r="A72" s="14" t="s">
        <v>74</v>
      </c>
      <c r="B72" s="20" t="s">
        <v>75</v>
      </c>
      <c r="C72" s="165">
        <f>12000000</f>
        <v>12000000</v>
      </c>
      <c r="D72" s="165">
        <v>12000000</v>
      </c>
      <c r="E72" s="165">
        <v>12000000</v>
      </c>
      <c r="F72" s="165">
        <v>12000000</v>
      </c>
      <c r="G72" s="165"/>
      <c r="H72" s="165">
        <v>4600410</v>
      </c>
      <c r="I72" s="165">
        <v>6342227</v>
      </c>
      <c r="J72" s="165">
        <v>9458186</v>
      </c>
      <c r="K72" s="165"/>
      <c r="L72" s="593">
        <f t="shared" si="51"/>
        <v>0.38336750000000003</v>
      </c>
      <c r="M72" s="593">
        <f t="shared" si="52"/>
        <v>0.52851891666666662</v>
      </c>
      <c r="N72" s="593">
        <f t="shared" si="53"/>
        <v>0.78818216666666663</v>
      </c>
      <c r="O72" s="165"/>
      <c r="P72" s="165">
        <f t="shared" si="21"/>
        <v>0</v>
      </c>
      <c r="Q72" s="165">
        <f t="shared" si="22"/>
        <v>0</v>
      </c>
      <c r="R72" s="165">
        <f t="shared" si="23"/>
        <v>0</v>
      </c>
      <c r="S72" s="165">
        <f t="shared" si="24"/>
        <v>0</v>
      </c>
      <c r="T72" s="281">
        <f>IF('8. WAMKK'!C72=0,0,+S72/'8. WAMKK'!C72)</f>
        <v>0</v>
      </c>
      <c r="U72" s="120"/>
      <c r="V72" s="195">
        <f t="shared" ref="V72:V101" si="55">+S72-E72+C72</f>
        <v>0</v>
      </c>
    </row>
    <row r="73" spans="1:22" ht="12.75" customHeight="1" x14ac:dyDescent="0.25">
      <c r="A73" s="14"/>
      <c r="B73" s="20" t="s">
        <v>76</v>
      </c>
      <c r="C73" s="165"/>
      <c r="D73" s="165"/>
      <c r="E73" s="165"/>
      <c r="F73" s="165"/>
      <c r="G73" s="165"/>
      <c r="H73" s="165"/>
      <c r="I73" s="165"/>
      <c r="J73" s="165"/>
      <c r="K73" s="165"/>
      <c r="L73" s="593">
        <f t="shared" si="51"/>
        <v>0</v>
      </c>
      <c r="M73" s="593">
        <f t="shared" si="52"/>
        <v>0</v>
      </c>
      <c r="N73" s="593">
        <f t="shared" si="53"/>
        <v>0</v>
      </c>
      <c r="O73" s="165"/>
      <c r="P73" s="165">
        <f t="shared" si="21"/>
        <v>0</v>
      </c>
      <c r="Q73" s="165">
        <f t="shared" si="22"/>
        <v>0</v>
      </c>
      <c r="R73" s="165">
        <f t="shared" si="23"/>
        <v>0</v>
      </c>
      <c r="S73" s="165">
        <f t="shared" si="24"/>
        <v>0</v>
      </c>
      <c r="T73" s="281">
        <f>IF('8. WAMKK'!C73=0,0,+S73/'8. WAMKK'!C73)</f>
        <v>0</v>
      </c>
      <c r="U73" s="120"/>
      <c r="V73" s="195">
        <f t="shared" si="55"/>
        <v>0</v>
      </c>
    </row>
    <row r="74" spans="1:22" ht="12.75" customHeight="1" x14ac:dyDescent="0.25">
      <c r="A74" s="14" t="s">
        <v>77</v>
      </c>
      <c r="B74" s="20" t="s">
        <v>78</v>
      </c>
      <c r="C74" s="165">
        <v>4000000</v>
      </c>
      <c r="D74" s="165">
        <v>4000000</v>
      </c>
      <c r="E74" s="165">
        <v>4000000</v>
      </c>
      <c r="F74" s="165">
        <v>4000000</v>
      </c>
      <c r="G74" s="165"/>
      <c r="H74" s="165">
        <v>1932000</v>
      </c>
      <c r="I74" s="165">
        <v>2694000</v>
      </c>
      <c r="J74" s="165">
        <v>3063000</v>
      </c>
      <c r="K74" s="165"/>
      <c r="L74" s="593">
        <f t="shared" si="51"/>
        <v>0.48299999999999998</v>
      </c>
      <c r="M74" s="593">
        <f t="shared" si="52"/>
        <v>0.67349999999999999</v>
      </c>
      <c r="N74" s="593">
        <f t="shared" si="53"/>
        <v>0.76575000000000004</v>
      </c>
      <c r="O74" s="165"/>
      <c r="P74" s="165">
        <f t="shared" si="21"/>
        <v>0</v>
      </c>
      <c r="Q74" s="165">
        <f t="shared" si="22"/>
        <v>0</v>
      </c>
      <c r="R74" s="165">
        <f t="shared" si="23"/>
        <v>0</v>
      </c>
      <c r="S74" s="165">
        <f t="shared" si="24"/>
        <v>0</v>
      </c>
      <c r="T74" s="281">
        <f>IF('8. WAMKK'!C74=0,0,+S74/'8. WAMKK'!C74)</f>
        <v>0</v>
      </c>
      <c r="U74" s="120"/>
      <c r="V74" s="195">
        <f t="shared" si="55"/>
        <v>0</v>
      </c>
    </row>
    <row r="75" spans="1:22" ht="12.75" customHeight="1" x14ac:dyDescent="0.25">
      <c r="A75" s="14"/>
      <c r="B75" s="20" t="s">
        <v>99</v>
      </c>
      <c r="C75" s="165"/>
      <c r="D75" s="165"/>
      <c r="E75" s="165"/>
      <c r="F75" s="165"/>
      <c r="G75" s="165"/>
      <c r="H75" s="165"/>
      <c r="I75" s="165"/>
      <c r="J75" s="165"/>
      <c r="K75" s="165"/>
      <c r="L75" s="593">
        <f t="shared" si="51"/>
        <v>0</v>
      </c>
      <c r="M75" s="593">
        <f t="shared" si="52"/>
        <v>0</v>
      </c>
      <c r="N75" s="593">
        <f t="shared" si="53"/>
        <v>0</v>
      </c>
      <c r="O75" s="165"/>
      <c r="P75" s="165">
        <f t="shared" si="21"/>
        <v>0</v>
      </c>
      <c r="Q75" s="165">
        <f t="shared" si="22"/>
        <v>0</v>
      </c>
      <c r="R75" s="165">
        <f t="shared" si="23"/>
        <v>0</v>
      </c>
      <c r="S75" s="165">
        <f t="shared" si="24"/>
        <v>0</v>
      </c>
      <c r="T75" s="281">
        <f>IF('8. WAMKK'!C75=0,0,+S75/'8. WAMKK'!C75)</f>
        <v>0</v>
      </c>
      <c r="U75" s="120"/>
      <c r="V75" s="195">
        <f t="shared" si="55"/>
        <v>0</v>
      </c>
    </row>
    <row r="76" spans="1:22" ht="12.75" customHeight="1" x14ac:dyDescent="0.25">
      <c r="A76" s="14" t="s">
        <v>79</v>
      </c>
      <c r="B76" s="20" t="s">
        <v>80</v>
      </c>
      <c r="C76" s="165"/>
      <c r="D76" s="165"/>
      <c r="E76" s="165"/>
      <c r="F76" s="165"/>
      <c r="G76" s="165"/>
      <c r="H76" s="165"/>
      <c r="I76" s="165"/>
      <c r="J76" s="165"/>
      <c r="K76" s="165"/>
      <c r="L76" s="593">
        <f t="shared" si="51"/>
        <v>0</v>
      </c>
      <c r="M76" s="593">
        <f t="shared" si="52"/>
        <v>0</v>
      </c>
      <c r="N76" s="593">
        <f t="shared" si="53"/>
        <v>0</v>
      </c>
      <c r="O76" s="165"/>
      <c r="P76" s="165">
        <f t="shared" si="21"/>
        <v>0</v>
      </c>
      <c r="Q76" s="165">
        <f t="shared" si="22"/>
        <v>0</v>
      </c>
      <c r="R76" s="165">
        <f t="shared" si="23"/>
        <v>0</v>
      </c>
      <c r="S76" s="165">
        <f t="shared" si="24"/>
        <v>0</v>
      </c>
      <c r="T76" s="281">
        <f>IF('8. WAMKK'!C76=0,0,+S76/'8. WAMKK'!C76)</f>
        <v>0</v>
      </c>
      <c r="U76" s="120"/>
      <c r="V76" s="195">
        <f t="shared" si="55"/>
        <v>0</v>
      </c>
    </row>
    <row r="77" spans="1:22" ht="12.75" customHeight="1" x14ac:dyDescent="0.25">
      <c r="A77" s="14"/>
      <c r="B77" s="20" t="s">
        <v>104</v>
      </c>
      <c r="C77" s="165"/>
      <c r="D77" s="165"/>
      <c r="E77" s="165"/>
      <c r="F77" s="165"/>
      <c r="G77" s="165"/>
      <c r="H77" s="165"/>
      <c r="I77" s="165"/>
      <c r="J77" s="165"/>
      <c r="K77" s="165"/>
      <c r="L77" s="593">
        <f t="shared" si="51"/>
        <v>0</v>
      </c>
      <c r="M77" s="593">
        <f t="shared" si="52"/>
        <v>0</v>
      </c>
      <c r="N77" s="593">
        <f t="shared" si="53"/>
        <v>0</v>
      </c>
      <c r="O77" s="165"/>
      <c r="P77" s="165">
        <f t="shared" si="21"/>
        <v>0</v>
      </c>
      <c r="Q77" s="165">
        <f t="shared" si="22"/>
        <v>0</v>
      </c>
      <c r="R77" s="165">
        <f t="shared" si="23"/>
        <v>0</v>
      </c>
      <c r="S77" s="165">
        <f t="shared" si="24"/>
        <v>0</v>
      </c>
      <c r="T77" s="281">
        <f>IF('8. WAMKK'!C77=0,0,+S77/'8. WAMKK'!C77)</f>
        <v>0</v>
      </c>
      <c r="U77" s="120"/>
      <c r="V77" s="195">
        <f t="shared" si="55"/>
        <v>0</v>
      </c>
    </row>
    <row r="78" spans="1:22" ht="12.75" customHeight="1" x14ac:dyDescent="0.25">
      <c r="A78" s="14" t="s">
        <v>82</v>
      </c>
      <c r="B78" s="20" t="s">
        <v>83</v>
      </c>
      <c r="C78" s="165"/>
      <c r="D78" s="165"/>
      <c r="E78" s="165"/>
      <c r="F78" s="165"/>
      <c r="G78" s="165"/>
      <c r="H78" s="165"/>
      <c r="I78" s="165"/>
      <c r="J78" s="165"/>
      <c r="K78" s="165"/>
      <c r="L78" s="593">
        <f t="shared" si="51"/>
        <v>0</v>
      </c>
      <c r="M78" s="593">
        <f t="shared" si="52"/>
        <v>0</v>
      </c>
      <c r="N78" s="593">
        <f t="shared" si="53"/>
        <v>0</v>
      </c>
      <c r="O78" s="165"/>
      <c r="P78" s="165">
        <f t="shared" si="21"/>
        <v>0</v>
      </c>
      <c r="Q78" s="165">
        <f t="shared" si="22"/>
        <v>0</v>
      </c>
      <c r="R78" s="165">
        <f t="shared" si="23"/>
        <v>0</v>
      </c>
      <c r="S78" s="165">
        <f t="shared" si="24"/>
        <v>0</v>
      </c>
      <c r="T78" s="281">
        <f>IF('8. WAMKK'!C78=0,0,+S78/'8. WAMKK'!C78)</f>
        <v>0</v>
      </c>
      <c r="U78" s="120"/>
      <c r="V78" s="195">
        <f t="shared" si="55"/>
        <v>0</v>
      </c>
    </row>
    <row r="79" spans="1:22" ht="12.75" customHeight="1" x14ac:dyDescent="0.25">
      <c r="A79" s="14"/>
      <c r="B79" s="20" t="s">
        <v>84</v>
      </c>
      <c r="C79" s="165"/>
      <c r="D79" s="165"/>
      <c r="E79" s="165"/>
      <c r="F79" s="165"/>
      <c r="G79" s="165"/>
      <c r="H79" s="165"/>
      <c r="I79" s="165"/>
      <c r="J79" s="165"/>
      <c r="K79" s="165"/>
      <c r="L79" s="593">
        <f t="shared" si="51"/>
        <v>0</v>
      </c>
      <c r="M79" s="593">
        <f t="shared" si="52"/>
        <v>0</v>
      </c>
      <c r="N79" s="593">
        <f t="shared" si="53"/>
        <v>0</v>
      </c>
      <c r="O79" s="165"/>
      <c r="P79" s="165">
        <f t="shared" si="21"/>
        <v>0</v>
      </c>
      <c r="Q79" s="165">
        <f t="shared" si="22"/>
        <v>0</v>
      </c>
      <c r="R79" s="165">
        <f t="shared" si="23"/>
        <v>0</v>
      </c>
      <c r="S79" s="165">
        <f t="shared" si="24"/>
        <v>0</v>
      </c>
      <c r="T79" s="281">
        <f>IF('8. WAMKK'!C79=0,0,+S79/'8. WAMKK'!C79)</f>
        <v>0</v>
      </c>
      <c r="U79" s="120"/>
      <c r="V79" s="195">
        <f t="shared" si="55"/>
        <v>0</v>
      </c>
    </row>
    <row r="80" spans="1:22" ht="12.75" customHeight="1" x14ac:dyDescent="0.25">
      <c r="A80" s="14" t="s">
        <v>85</v>
      </c>
      <c r="B80" s="20" t="s">
        <v>86</v>
      </c>
      <c r="C80" s="165">
        <v>40000</v>
      </c>
      <c r="D80" s="165">
        <v>40000</v>
      </c>
      <c r="E80" s="165">
        <v>40000</v>
      </c>
      <c r="F80" s="165">
        <v>40000</v>
      </c>
      <c r="G80" s="165"/>
      <c r="H80" s="165">
        <v>10363</v>
      </c>
      <c r="I80" s="165">
        <v>10590</v>
      </c>
      <c r="J80" s="165">
        <v>11693</v>
      </c>
      <c r="K80" s="165"/>
      <c r="L80" s="593">
        <f t="shared" si="51"/>
        <v>0.259075</v>
      </c>
      <c r="M80" s="593">
        <f t="shared" si="52"/>
        <v>0.26474999999999999</v>
      </c>
      <c r="N80" s="593">
        <f t="shared" si="53"/>
        <v>0.292325</v>
      </c>
      <c r="O80" s="165"/>
      <c r="P80" s="165">
        <f t="shared" ref="P80:P102" si="56">+(D80-C80)*P$10</f>
        <v>0</v>
      </c>
      <c r="Q80" s="165">
        <f t="shared" ref="Q80:Q102" si="57">+(E80-D80)*Q$10</f>
        <v>0</v>
      </c>
      <c r="R80" s="165">
        <f t="shared" ref="R80:R102" si="58">+(F80-E80)*R$10</f>
        <v>0</v>
      </c>
      <c r="S80" s="165">
        <f t="shared" ref="S80:S83" si="59">+P80*P$10+Q80*Q$10+R80*R$10</f>
        <v>0</v>
      </c>
      <c r="T80" s="281">
        <f>IF('8. WAMKK'!C80=0,0,+S80/'8. WAMKK'!C80)</f>
        <v>0</v>
      </c>
      <c r="U80" s="120"/>
      <c r="V80" s="195">
        <f t="shared" si="55"/>
        <v>0</v>
      </c>
    </row>
    <row r="81" spans="1:24" ht="12.75" customHeight="1" x14ac:dyDescent="0.25">
      <c r="A81" s="14"/>
      <c r="B81" s="20" t="s">
        <v>90</v>
      </c>
      <c r="C81" s="165"/>
      <c r="D81" s="165"/>
      <c r="E81" s="165"/>
      <c r="F81" s="165"/>
      <c r="G81" s="165"/>
      <c r="H81" s="165"/>
      <c r="I81" s="165"/>
      <c r="J81" s="165"/>
      <c r="K81" s="165"/>
      <c r="L81" s="589"/>
      <c r="M81" s="589"/>
      <c r="N81" s="589"/>
      <c r="O81" s="165"/>
      <c r="P81" s="165">
        <f t="shared" si="56"/>
        <v>0</v>
      </c>
      <c r="Q81" s="165">
        <f t="shared" si="57"/>
        <v>0</v>
      </c>
      <c r="R81" s="165">
        <f t="shared" si="58"/>
        <v>0</v>
      </c>
      <c r="S81" s="165">
        <f t="shared" si="59"/>
        <v>0</v>
      </c>
      <c r="T81" s="281">
        <f>IF('8. WAMKK'!C81=0,0,+S81/'8. WAMKK'!C81)</f>
        <v>0</v>
      </c>
      <c r="U81" s="120"/>
      <c r="V81" s="195">
        <f t="shared" si="55"/>
        <v>0</v>
      </c>
    </row>
    <row r="82" spans="1:24" ht="12.75" customHeight="1" x14ac:dyDescent="0.25">
      <c r="A82" s="29"/>
      <c r="B82" s="21"/>
      <c r="C82" s="165"/>
      <c r="D82" s="165"/>
      <c r="E82" s="165"/>
      <c r="F82" s="165"/>
      <c r="G82" s="165"/>
      <c r="H82" s="165"/>
      <c r="I82" s="165"/>
      <c r="J82" s="165"/>
      <c r="K82" s="165"/>
      <c r="L82" s="592"/>
      <c r="M82" s="592"/>
      <c r="N82" s="592"/>
      <c r="O82" s="165"/>
      <c r="P82" s="165">
        <f t="shared" si="56"/>
        <v>0</v>
      </c>
      <c r="Q82" s="165">
        <f t="shared" si="57"/>
        <v>0</v>
      </c>
      <c r="R82" s="165">
        <f t="shared" si="58"/>
        <v>0</v>
      </c>
      <c r="S82" s="165">
        <f t="shared" si="59"/>
        <v>0</v>
      </c>
      <c r="T82" s="281">
        <f>IF('8. WAMKK'!C82=0,0,+S82/'8. WAMKK'!C82)</f>
        <v>0</v>
      </c>
      <c r="U82" s="120"/>
      <c r="V82" s="195">
        <f t="shared" si="55"/>
        <v>0</v>
      </c>
    </row>
    <row r="83" spans="1:24" s="42" customFormat="1" ht="12.75" customHeight="1" x14ac:dyDescent="0.25">
      <c r="A83" s="4" t="s">
        <v>154</v>
      </c>
      <c r="B83" s="48" t="s">
        <v>155</v>
      </c>
      <c r="C83" s="314">
        <f>SUM(C84:C85)</f>
        <v>200000</v>
      </c>
      <c r="D83" s="314">
        <f t="shared" ref="D83:F83" si="60">SUM(D84:D85)</f>
        <v>200000</v>
      </c>
      <c r="E83" s="314">
        <f t="shared" si="60"/>
        <v>200000</v>
      </c>
      <c r="F83" s="314">
        <f t="shared" si="60"/>
        <v>200000</v>
      </c>
      <c r="G83" s="314"/>
      <c r="H83" s="314">
        <f t="shared" ref="H83:J83" si="61">SUM(H84:H85)</f>
        <v>133390</v>
      </c>
      <c r="I83" s="314">
        <f t="shared" si="61"/>
        <v>133390</v>
      </c>
      <c r="J83" s="314">
        <f t="shared" si="61"/>
        <v>133390</v>
      </c>
      <c r="K83" s="315"/>
      <c r="L83" s="590">
        <f t="shared" ref="L83" si="62">IF(H83&gt;0,H83/C83,0)</f>
        <v>0.66695000000000004</v>
      </c>
      <c r="M83" s="590">
        <f t="shared" ref="M83" si="63">IF(I83&gt;0,I83/D83,0)</f>
        <v>0.66695000000000004</v>
      </c>
      <c r="N83" s="590">
        <f t="shared" ref="N83" si="64">IF(J83&gt;0,J83/E83,0)</f>
        <v>0.66695000000000004</v>
      </c>
      <c r="O83" s="315"/>
      <c r="P83" s="315">
        <f t="shared" si="56"/>
        <v>0</v>
      </c>
      <c r="Q83" s="315">
        <f t="shared" si="57"/>
        <v>0</v>
      </c>
      <c r="R83" s="315">
        <f t="shared" si="58"/>
        <v>0</v>
      </c>
      <c r="S83" s="315">
        <f t="shared" si="59"/>
        <v>0</v>
      </c>
      <c r="T83" s="282">
        <f>IF('8. WAMKK'!C80=0,0,+S83/'8. WAMKK'!C80)</f>
        <v>0</v>
      </c>
      <c r="U83" s="120"/>
      <c r="V83" s="195">
        <f t="shared" si="55"/>
        <v>0</v>
      </c>
    </row>
    <row r="84" spans="1:24" ht="12.75" customHeight="1" x14ac:dyDescent="0.25">
      <c r="A84" s="43"/>
      <c r="B84" s="20"/>
      <c r="C84" s="165">
        <v>200000</v>
      </c>
      <c r="D84" s="165">
        <v>200000</v>
      </c>
      <c r="E84" s="165">
        <v>200000</v>
      </c>
      <c r="F84" s="165">
        <v>200000</v>
      </c>
      <c r="G84" s="165"/>
      <c r="H84" s="165">
        <v>133390</v>
      </c>
      <c r="I84" s="165">
        <v>133390</v>
      </c>
      <c r="J84" s="165">
        <v>133390</v>
      </c>
      <c r="K84" s="316"/>
      <c r="L84" s="593">
        <f t="shared" ref="L84" si="65">IF(H84&gt;0,H84/C84,0)</f>
        <v>0.66695000000000004</v>
      </c>
      <c r="M84" s="593">
        <f t="shared" ref="M84" si="66">IF(I84&gt;0,I84/D84,0)</f>
        <v>0.66695000000000004</v>
      </c>
      <c r="N84" s="593">
        <f t="shared" ref="N84" si="67">IF(J84&gt;0,J84/E84,0)</f>
        <v>0.66695000000000004</v>
      </c>
      <c r="O84" s="316"/>
      <c r="P84" s="165"/>
      <c r="Q84" s="165"/>
      <c r="R84" s="165"/>
      <c r="S84" s="165"/>
      <c r="T84" s="281"/>
      <c r="U84" s="120"/>
      <c r="V84" s="195"/>
      <c r="W84" s="2"/>
    </row>
    <row r="85" spans="1:24" ht="12.75" customHeight="1" x14ac:dyDescent="0.25">
      <c r="A85" s="14"/>
      <c r="B85" s="20"/>
      <c r="C85" s="316"/>
      <c r="D85" s="165"/>
      <c r="E85" s="165"/>
      <c r="F85" s="165"/>
      <c r="G85" s="165"/>
      <c r="H85" s="165"/>
      <c r="I85" s="165"/>
      <c r="J85" s="165"/>
      <c r="K85" s="165"/>
      <c r="L85" s="592"/>
      <c r="M85" s="592"/>
      <c r="N85" s="592"/>
      <c r="O85" s="165"/>
      <c r="P85" s="165">
        <f t="shared" si="56"/>
        <v>0</v>
      </c>
      <c r="Q85" s="165">
        <f t="shared" si="57"/>
        <v>0</v>
      </c>
      <c r="R85" s="165">
        <f t="shared" si="58"/>
        <v>0</v>
      </c>
      <c r="S85" s="165">
        <f t="shared" ref="S85:S86" si="68">+P85*P$10+Q85*Q$10+R85*R$10</f>
        <v>0</v>
      </c>
      <c r="T85" s="281">
        <f>IF('8. WAMKK'!C82=0,0,+S85/'8. WAMKK'!C82)</f>
        <v>0</v>
      </c>
      <c r="U85" s="120"/>
      <c r="V85" s="195">
        <f t="shared" si="55"/>
        <v>0</v>
      </c>
    </row>
    <row r="86" spans="1:24" s="42" customFormat="1" ht="12.75" customHeight="1" x14ac:dyDescent="0.25">
      <c r="A86" s="4" t="s">
        <v>169</v>
      </c>
      <c r="B86" s="48" t="s">
        <v>170</v>
      </c>
      <c r="C86" s="314">
        <f>SUM(C87:C88)</f>
        <v>0</v>
      </c>
      <c r="D86" s="314">
        <f t="shared" ref="D86:F86" si="69">SUM(D87:D88)</f>
        <v>0</v>
      </c>
      <c r="E86" s="314">
        <f t="shared" si="69"/>
        <v>0</v>
      </c>
      <c r="F86" s="314">
        <f t="shared" si="69"/>
        <v>0</v>
      </c>
      <c r="G86" s="314"/>
      <c r="H86" s="314">
        <f t="shared" ref="H86:J86" si="70">SUM(H87:H88)</f>
        <v>0</v>
      </c>
      <c r="I86" s="314">
        <f t="shared" si="70"/>
        <v>0</v>
      </c>
      <c r="J86" s="314">
        <f t="shared" si="70"/>
        <v>0</v>
      </c>
      <c r="K86" s="315"/>
      <c r="L86" s="590">
        <f t="shared" ref="L86" si="71">IF(H86&gt;0,H86/C86,0)</f>
        <v>0</v>
      </c>
      <c r="M86" s="590">
        <f t="shared" ref="M86" si="72">IF(I86&gt;0,I86/D86,0)</f>
        <v>0</v>
      </c>
      <c r="N86" s="590">
        <f t="shared" ref="N86" si="73">IF(J86&gt;0,J86/E86,0)</f>
        <v>0</v>
      </c>
      <c r="O86" s="315"/>
      <c r="P86" s="315">
        <f t="shared" ref="P86:P88" si="74">+(D86-C86)*P$10</f>
        <v>0</v>
      </c>
      <c r="Q86" s="315">
        <f t="shared" ref="Q86:Q88" si="75">+(E86-D86)*Q$10</f>
        <v>0</v>
      </c>
      <c r="R86" s="315">
        <f t="shared" ref="R86:R88" si="76">+(F86-E86)*R$10</f>
        <v>0</v>
      </c>
      <c r="S86" s="315">
        <f t="shared" si="68"/>
        <v>0</v>
      </c>
      <c r="T86" s="282">
        <f>IF('8. WAMKK'!C83=0,0,+S86/'8. WAMKK'!C83)</f>
        <v>0</v>
      </c>
      <c r="U86" s="120"/>
      <c r="V86" s="195">
        <f t="shared" ref="V86:V88" si="77">+S86-E86+C86</f>
        <v>0</v>
      </c>
    </row>
    <row r="87" spans="1:24" ht="12.75" customHeight="1" x14ac:dyDescent="0.25">
      <c r="A87" s="43"/>
      <c r="B87" s="20"/>
      <c r="C87" s="316"/>
      <c r="D87" s="316"/>
      <c r="E87" s="316"/>
      <c r="F87" s="316"/>
      <c r="G87" s="316"/>
      <c r="H87" s="165"/>
      <c r="I87" s="165"/>
      <c r="J87" s="165"/>
      <c r="K87" s="316"/>
      <c r="L87" s="593"/>
      <c r="M87" s="593"/>
      <c r="N87" s="593"/>
      <c r="O87" s="316"/>
      <c r="P87" s="165"/>
      <c r="Q87" s="165"/>
      <c r="R87" s="165"/>
      <c r="S87" s="165"/>
      <c r="T87" s="281"/>
      <c r="U87" s="120"/>
      <c r="V87" s="195"/>
      <c r="W87" s="2"/>
    </row>
    <row r="88" spans="1:24" ht="12.75" hidden="1" customHeight="1" x14ac:dyDescent="0.25">
      <c r="A88" s="14"/>
      <c r="B88" s="20"/>
      <c r="C88" s="316"/>
      <c r="D88" s="165"/>
      <c r="E88" s="165"/>
      <c r="F88" s="165"/>
      <c r="G88" s="165"/>
      <c r="H88" s="165"/>
      <c r="I88" s="165"/>
      <c r="J88" s="165"/>
      <c r="K88" s="165"/>
      <c r="L88" s="592" t="e">
        <f t="shared" ref="L88" si="78">+H88/C88</f>
        <v>#DIV/0!</v>
      </c>
      <c r="M88" s="592" t="e">
        <f t="shared" ref="M88" si="79">+I88/D88</f>
        <v>#DIV/0!</v>
      </c>
      <c r="N88" s="592" t="e">
        <f t="shared" ref="N88" si="80">+J88/E88</f>
        <v>#DIV/0!</v>
      </c>
      <c r="O88" s="165"/>
      <c r="P88" s="165">
        <f t="shared" si="74"/>
        <v>0</v>
      </c>
      <c r="Q88" s="165">
        <f t="shared" si="75"/>
        <v>0</v>
      </c>
      <c r="R88" s="165">
        <f t="shared" si="76"/>
        <v>0</v>
      </c>
      <c r="S88" s="165">
        <f t="shared" ref="S88" si="81">SUM(P88:R88)</f>
        <v>0</v>
      </c>
      <c r="T88" s="281">
        <f>IF('8. WAMKK'!C85=0,0,+S88/'8. WAMKK'!C85)</f>
        <v>0</v>
      </c>
      <c r="U88" s="120"/>
      <c r="V88" s="195">
        <f t="shared" si="77"/>
        <v>0</v>
      </c>
    </row>
    <row r="89" spans="1:24" ht="17.25" customHeight="1" x14ac:dyDescent="0.25">
      <c r="A89" s="481"/>
      <c r="B89" s="471" t="s">
        <v>372</v>
      </c>
      <c r="C89" s="478">
        <f>C13+C29+C32+C83+C86</f>
        <v>114421000</v>
      </c>
      <c r="D89" s="478">
        <f t="shared" ref="D89:J89" si="82">D13+D29+D32+D83+D86</f>
        <v>114421000</v>
      </c>
      <c r="E89" s="478">
        <f t="shared" si="82"/>
        <v>114421000</v>
      </c>
      <c r="F89" s="478">
        <f t="shared" si="82"/>
        <v>114421000</v>
      </c>
      <c r="G89" s="478"/>
      <c r="H89" s="478">
        <f t="shared" si="82"/>
        <v>49739913</v>
      </c>
      <c r="I89" s="478">
        <f t="shared" si="82"/>
        <v>70078694</v>
      </c>
      <c r="J89" s="478">
        <f t="shared" si="82"/>
        <v>100557468</v>
      </c>
      <c r="K89" s="312"/>
      <c r="L89" s="596">
        <f t="shared" ref="L89" si="83">IF(H89&gt;0,H89/C89,0)</f>
        <v>0.43470965120039151</v>
      </c>
      <c r="M89" s="596">
        <f t="shared" ref="M89" si="84">IF(I89&gt;0,I89/D89,0)</f>
        <v>0.61246356875049157</v>
      </c>
      <c r="N89" s="596">
        <f t="shared" ref="N89" si="85">IF(J89&gt;0,J89/E89,0)</f>
        <v>0.87883752108441637</v>
      </c>
      <c r="O89" s="312"/>
      <c r="P89" s="478">
        <f t="shared" si="56"/>
        <v>0</v>
      </c>
      <c r="Q89" s="478">
        <f t="shared" si="57"/>
        <v>0</v>
      </c>
      <c r="R89" s="478">
        <f t="shared" si="58"/>
        <v>0</v>
      </c>
      <c r="S89" s="478">
        <f>+P89*P$10+Q89*Q$10+R89*R$10</f>
        <v>0</v>
      </c>
      <c r="T89" s="475">
        <f>IF('8. WAMKK'!C89=0,0,+S89/'8. WAMKK'!C89)</f>
        <v>0</v>
      </c>
      <c r="U89" s="120"/>
      <c r="V89" s="195">
        <f t="shared" si="55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597"/>
      <c r="M90" s="597"/>
      <c r="N90" s="597"/>
      <c r="O90" s="98"/>
      <c r="P90" s="98"/>
      <c r="Q90" s="98"/>
      <c r="R90" s="98"/>
      <c r="S90" s="98"/>
      <c r="T90" s="98"/>
      <c r="U90" s="22"/>
      <c r="V90" s="195">
        <f t="shared" si="55"/>
        <v>0</v>
      </c>
      <c r="W90" s="122"/>
      <c r="X90" s="122"/>
    </row>
    <row r="91" spans="1:24" ht="10.35" customHeight="1" x14ac:dyDescent="0.25">
      <c r="A91" s="466"/>
      <c r="B91" s="466"/>
      <c r="C91" s="467"/>
      <c r="D91" s="468"/>
      <c r="E91" s="468"/>
      <c r="F91" s="468"/>
      <c r="G91" s="468"/>
      <c r="H91" s="468"/>
      <c r="I91" s="468"/>
      <c r="J91" s="468"/>
      <c r="K91" s="468"/>
      <c r="L91" s="598"/>
      <c r="M91" s="598"/>
      <c r="N91" s="598"/>
      <c r="O91" s="468"/>
      <c r="P91" s="468"/>
      <c r="Q91" s="468"/>
      <c r="R91" s="468"/>
      <c r="S91" s="468"/>
      <c r="T91" s="468"/>
      <c r="U91" s="469"/>
      <c r="V91" s="470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597"/>
      <c r="M92" s="597"/>
      <c r="N92" s="597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4" s="42" customFormat="1" ht="12.75" customHeight="1" x14ac:dyDescent="0.25">
      <c r="A93" s="4" t="s">
        <v>237</v>
      </c>
      <c r="B93" s="48" t="s">
        <v>238</v>
      </c>
      <c r="C93" s="314">
        <f>SUM(C94:C94)</f>
        <v>0</v>
      </c>
      <c r="D93" s="314">
        <f>SUM(D94:D94)</f>
        <v>0</v>
      </c>
      <c r="E93" s="314">
        <f>SUM(E94:E94)</f>
        <v>0</v>
      </c>
      <c r="F93" s="314">
        <f>SUM(F94:F94)</f>
        <v>0</v>
      </c>
      <c r="G93" s="314"/>
      <c r="H93" s="314">
        <f>SUM(H94:H94)</f>
        <v>0</v>
      </c>
      <c r="I93" s="314">
        <f>SUM(I94:I94)</f>
        <v>0</v>
      </c>
      <c r="J93" s="314">
        <f>SUM(J94:J94)</f>
        <v>0</v>
      </c>
      <c r="K93" s="315"/>
      <c r="L93" s="590">
        <f t="shared" ref="L93" si="86">IF(H93&gt;0,H93/C93,0)</f>
        <v>0</v>
      </c>
      <c r="M93" s="590">
        <f t="shared" ref="M93" si="87">IF(I93&gt;0,I93/D93,0)</f>
        <v>0</v>
      </c>
      <c r="N93" s="590">
        <f t="shared" ref="N93" si="88">IF(J93&gt;0,J93/E93,0)</f>
        <v>0</v>
      </c>
      <c r="O93" s="315"/>
      <c r="P93" s="315">
        <f t="shared" ref="P93:P94" si="89">+(D93-C93)*P$10</f>
        <v>0</v>
      </c>
      <c r="Q93" s="315">
        <f t="shared" ref="Q93:Q94" si="90">+(E93-D93)*Q$10</f>
        <v>0</v>
      </c>
      <c r="R93" s="315">
        <f t="shared" ref="R93:R94" si="91">+(F93-E93)*R$10</f>
        <v>0</v>
      </c>
      <c r="S93" s="315">
        <f t="shared" ref="S93:S102" si="92">+P93*P$10+Q93*Q$10+R93*R$10</f>
        <v>0</v>
      </c>
      <c r="T93" s="282">
        <f>IF('8. WAMKK'!C90=0,0,+S93/'8. WAMKK'!C90)</f>
        <v>0</v>
      </c>
      <c r="U93" s="120"/>
      <c r="V93" s="195">
        <f t="shared" ref="V93:V94" si="93">+S93-E93+C93</f>
        <v>0</v>
      </c>
    </row>
    <row r="94" spans="1:24" ht="12.75" customHeight="1" x14ac:dyDescent="0.25">
      <c r="A94" s="43"/>
      <c r="B94" s="20"/>
      <c r="C94" s="316"/>
      <c r="D94" s="316"/>
      <c r="E94" s="316"/>
      <c r="F94" s="316"/>
      <c r="G94" s="316"/>
      <c r="H94" s="165"/>
      <c r="I94" s="165"/>
      <c r="J94" s="165"/>
      <c r="K94" s="316"/>
      <c r="L94" s="593"/>
      <c r="M94" s="593"/>
      <c r="N94" s="593"/>
      <c r="O94" s="316"/>
      <c r="P94" s="165">
        <f t="shared" si="89"/>
        <v>0</v>
      </c>
      <c r="Q94" s="165">
        <f t="shared" si="90"/>
        <v>0</v>
      </c>
      <c r="R94" s="165">
        <f t="shared" si="91"/>
        <v>0</v>
      </c>
      <c r="S94" s="165">
        <f t="shared" si="92"/>
        <v>0</v>
      </c>
      <c r="T94" s="281">
        <f>IF('8. WAMKK'!C91=0,0,+S94/'8. WAMKK'!C91)</f>
        <v>0</v>
      </c>
      <c r="U94" s="120"/>
      <c r="V94" s="195">
        <f t="shared" si="93"/>
        <v>0</v>
      </c>
      <c r="W94" s="2"/>
    </row>
    <row r="95" spans="1:24" s="42" customFormat="1" ht="12.75" customHeight="1" x14ac:dyDescent="0.25">
      <c r="A95" s="4" t="s">
        <v>278</v>
      </c>
      <c r="B95" s="3" t="s">
        <v>279</v>
      </c>
      <c r="C95" s="314">
        <f>SUM(C96:C98)</f>
        <v>26680000</v>
      </c>
      <c r="D95" s="314">
        <f t="shared" ref="D95:J95" si="94">SUM(D96:D98)</f>
        <v>26680000</v>
      </c>
      <c r="E95" s="314">
        <f t="shared" si="94"/>
        <v>26680000</v>
      </c>
      <c r="F95" s="314">
        <f t="shared" si="94"/>
        <v>26680000</v>
      </c>
      <c r="G95" s="314"/>
      <c r="H95" s="314">
        <f t="shared" si="94"/>
        <v>16394285</v>
      </c>
      <c r="I95" s="314">
        <f t="shared" si="94"/>
        <v>23234984</v>
      </c>
      <c r="J95" s="314">
        <f t="shared" si="94"/>
        <v>33569216</v>
      </c>
      <c r="K95" s="315"/>
      <c r="L95" s="590">
        <f t="shared" ref="L95:L102" si="95">IF(H95&gt;0,H95/C95,0)</f>
        <v>0.61447844827586207</v>
      </c>
      <c r="M95" s="590">
        <f t="shared" ref="M95:M102" si="96">IF(I95&gt;0,I95/D95,0)</f>
        <v>0.87087646176911548</v>
      </c>
      <c r="N95" s="590">
        <f t="shared" ref="N95:N102" si="97">IF(J95&gt;0,J95/E95,0)</f>
        <v>1.258216491754123</v>
      </c>
      <c r="O95" s="315"/>
      <c r="P95" s="315">
        <f t="shared" si="56"/>
        <v>0</v>
      </c>
      <c r="Q95" s="315">
        <f t="shared" si="57"/>
        <v>0</v>
      </c>
      <c r="R95" s="315">
        <f t="shared" si="58"/>
        <v>0</v>
      </c>
      <c r="S95" s="315">
        <f t="shared" si="92"/>
        <v>0</v>
      </c>
      <c r="T95" s="282">
        <f>IF('8. WAMKK'!C93=0,0,+S95/'8. WAMKK'!C93)</f>
        <v>0</v>
      </c>
      <c r="U95" s="120"/>
      <c r="V95" s="195">
        <f t="shared" si="55"/>
        <v>0</v>
      </c>
    </row>
    <row r="96" spans="1:24" ht="12.75" customHeight="1" x14ac:dyDescent="0.25">
      <c r="A96" s="14" t="s">
        <v>289</v>
      </c>
      <c r="B96" s="20" t="s">
        <v>290</v>
      </c>
      <c r="C96" s="316">
        <v>21000000</v>
      </c>
      <c r="D96" s="165">
        <v>21000000</v>
      </c>
      <c r="E96" s="165">
        <v>21000000</v>
      </c>
      <c r="F96" s="165">
        <v>21000000</v>
      </c>
      <c r="G96" s="165"/>
      <c r="H96" s="165">
        <v>12907712</v>
      </c>
      <c r="I96" s="165">
        <v>18299692</v>
      </c>
      <c r="J96" s="165">
        <v>26433093</v>
      </c>
      <c r="K96" s="165"/>
      <c r="L96" s="593">
        <f t="shared" si="95"/>
        <v>0.61465295238095241</v>
      </c>
      <c r="M96" s="593">
        <f t="shared" si="96"/>
        <v>0.87141390476190472</v>
      </c>
      <c r="N96" s="593">
        <f t="shared" si="97"/>
        <v>1.2587187142857144</v>
      </c>
      <c r="O96" s="165"/>
      <c r="P96" s="165">
        <f t="shared" si="56"/>
        <v>0</v>
      </c>
      <c r="Q96" s="165">
        <f t="shared" si="57"/>
        <v>0</v>
      </c>
      <c r="R96" s="165">
        <f t="shared" si="58"/>
        <v>0</v>
      </c>
      <c r="S96" s="165">
        <f t="shared" si="92"/>
        <v>0</v>
      </c>
      <c r="T96" s="281">
        <f>IF('8. WAMKK'!C94=0,0,+S96/'8. WAMKK'!C94)</f>
        <v>0</v>
      </c>
      <c r="U96" s="120"/>
      <c r="V96" s="195">
        <f t="shared" si="55"/>
        <v>0</v>
      </c>
    </row>
    <row r="97" spans="1:23" ht="12.75" customHeight="1" x14ac:dyDescent="0.25">
      <c r="A97" s="14" t="s">
        <v>292</v>
      </c>
      <c r="B97" s="20" t="s">
        <v>293</v>
      </c>
      <c r="C97" s="316">
        <f>C96*0.27</f>
        <v>5670000</v>
      </c>
      <c r="D97" s="165">
        <v>5670000</v>
      </c>
      <c r="E97" s="165">
        <v>5670000</v>
      </c>
      <c r="F97" s="165">
        <v>5670000</v>
      </c>
      <c r="G97" s="165"/>
      <c r="H97" s="165">
        <v>3484658</v>
      </c>
      <c r="I97" s="553">
        <v>4931997</v>
      </c>
      <c r="J97" s="165">
        <v>7127925</v>
      </c>
      <c r="K97" s="165"/>
      <c r="L97" s="593">
        <f t="shared" si="95"/>
        <v>0.61457813051146382</v>
      </c>
      <c r="M97" s="593">
        <f t="shared" si="96"/>
        <v>0.86984074074074069</v>
      </c>
      <c r="N97" s="593">
        <f t="shared" si="97"/>
        <v>1.2571296296296297</v>
      </c>
      <c r="O97" s="165"/>
      <c r="P97" s="165">
        <f t="shared" si="56"/>
        <v>0</v>
      </c>
      <c r="Q97" s="165">
        <f t="shared" si="57"/>
        <v>0</v>
      </c>
      <c r="R97" s="165">
        <f t="shared" si="58"/>
        <v>0</v>
      </c>
      <c r="S97" s="165">
        <f t="shared" si="92"/>
        <v>0</v>
      </c>
      <c r="T97" s="281">
        <f>IF('8. WAMKK'!C97=0,0,+S97/'8. WAMKK'!C97)</f>
        <v>0</v>
      </c>
      <c r="U97" s="120"/>
      <c r="V97" s="195">
        <f t="shared" si="55"/>
        <v>0</v>
      </c>
    </row>
    <row r="98" spans="1:23" ht="12.75" customHeight="1" x14ac:dyDescent="0.25">
      <c r="A98" s="529" t="s">
        <v>454</v>
      </c>
      <c r="B98" s="482" t="s">
        <v>456</v>
      </c>
      <c r="C98" s="316">
        <v>10000</v>
      </c>
      <c r="D98" s="165">
        <v>10000</v>
      </c>
      <c r="E98" s="165">
        <v>10000</v>
      </c>
      <c r="F98" s="165">
        <v>10000</v>
      </c>
      <c r="G98" s="165"/>
      <c r="H98" s="165">
        <f>170+1745</f>
        <v>1915</v>
      </c>
      <c r="I98" s="165">
        <f>258+3037</f>
        <v>3295</v>
      </c>
      <c r="J98" s="165">
        <f>341+7857</f>
        <v>8198</v>
      </c>
      <c r="K98" s="165"/>
      <c r="L98" s="599">
        <f t="shared" si="95"/>
        <v>0.1915</v>
      </c>
      <c r="M98" s="599">
        <f t="shared" si="96"/>
        <v>0.32950000000000002</v>
      </c>
      <c r="N98" s="599">
        <f t="shared" si="97"/>
        <v>0.81979999999999997</v>
      </c>
      <c r="O98" s="165"/>
      <c r="P98" s="165">
        <f t="shared" si="56"/>
        <v>0</v>
      </c>
      <c r="Q98" s="165">
        <f t="shared" si="57"/>
        <v>0</v>
      </c>
      <c r="R98" s="165">
        <f t="shared" si="58"/>
        <v>0</v>
      </c>
      <c r="S98" s="165">
        <f t="shared" si="92"/>
        <v>0</v>
      </c>
      <c r="T98" s="281">
        <f>IF('8. WAMKK'!C98=0,0,+S98/'8. WAMKK'!C98)</f>
        <v>0</v>
      </c>
      <c r="U98" s="120"/>
      <c r="V98" s="195">
        <f t="shared" si="55"/>
        <v>0</v>
      </c>
    </row>
    <row r="99" spans="1:23" s="42" customFormat="1" ht="12.75" customHeight="1" x14ac:dyDescent="0.25">
      <c r="A99" s="4" t="s">
        <v>327</v>
      </c>
      <c r="B99" s="3" t="s">
        <v>328</v>
      </c>
      <c r="C99" s="314">
        <f>SUM(C100:C101)</f>
        <v>87741000</v>
      </c>
      <c r="D99" s="314">
        <f t="shared" ref="D99:J99" si="98">SUM(D100:D101)</f>
        <v>87741000</v>
      </c>
      <c r="E99" s="314">
        <f t="shared" si="98"/>
        <v>87741000</v>
      </c>
      <c r="F99" s="314">
        <f t="shared" si="98"/>
        <v>87741000</v>
      </c>
      <c r="G99" s="314"/>
      <c r="H99" s="314">
        <f t="shared" si="98"/>
        <v>35337417</v>
      </c>
      <c r="I99" s="314">
        <f t="shared" si="98"/>
        <v>47957545</v>
      </c>
      <c r="J99" s="314">
        <f t="shared" si="98"/>
        <v>70300984</v>
      </c>
      <c r="K99" s="315"/>
      <c r="L99" s="590">
        <f t="shared" si="95"/>
        <v>0.40274691421342362</v>
      </c>
      <c r="M99" s="590">
        <f t="shared" si="96"/>
        <v>0.54658078891282291</v>
      </c>
      <c r="N99" s="590">
        <f t="shared" si="97"/>
        <v>0.80123299255764124</v>
      </c>
      <c r="O99" s="315"/>
      <c r="P99" s="315">
        <f t="shared" si="56"/>
        <v>0</v>
      </c>
      <c r="Q99" s="315">
        <f t="shared" si="57"/>
        <v>0</v>
      </c>
      <c r="R99" s="315">
        <f t="shared" si="58"/>
        <v>0</v>
      </c>
      <c r="S99" s="315">
        <f t="shared" si="92"/>
        <v>0</v>
      </c>
      <c r="T99" s="282">
        <f>IF('8. WAMKK'!C99=0,0,+S99/'8. WAMKK'!C99)</f>
        <v>0</v>
      </c>
      <c r="U99" s="120"/>
      <c r="V99" s="195">
        <f t="shared" si="55"/>
        <v>0</v>
      </c>
    </row>
    <row r="100" spans="1:23" ht="12.75" customHeight="1" x14ac:dyDescent="0.25">
      <c r="A100" s="43" t="s">
        <v>353</v>
      </c>
      <c r="B100" s="20" t="s">
        <v>380</v>
      </c>
      <c r="C100" s="316">
        <f>+C104</f>
        <v>86752046</v>
      </c>
      <c r="D100" s="316">
        <v>86752046</v>
      </c>
      <c r="E100" s="316">
        <v>86752046</v>
      </c>
      <c r="F100" s="316">
        <v>86752046</v>
      </c>
      <c r="G100" s="316"/>
      <c r="H100" s="165">
        <v>34348463</v>
      </c>
      <c r="I100" s="165">
        <v>46968591</v>
      </c>
      <c r="J100" s="165">
        <v>69312030</v>
      </c>
      <c r="K100" s="316"/>
      <c r="L100" s="593">
        <f t="shared" si="95"/>
        <v>0.39593836207620969</v>
      </c>
      <c r="M100" s="593">
        <f t="shared" si="96"/>
        <v>0.5414119109075537</v>
      </c>
      <c r="N100" s="593">
        <f t="shared" si="97"/>
        <v>0.7989670929490239</v>
      </c>
      <c r="O100" s="316"/>
      <c r="P100" s="165">
        <f t="shared" si="56"/>
        <v>0</v>
      </c>
      <c r="Q100" s="165">
        <f t="shared" si="57"/>
        <v>0</v>
      </c>
      <c r="R100" s="165">
        <f t="shared" si="58"/>
        <v>0</v>
      </c>
      <c r="S100" s="165">
        <f t="shared" si="92"/>
        <v>0</v>
      </c>
      <c r="T100" s="281">
        <f>IF('8. WAMKK'!C100=0,0,+S100/'8. WAMKK'!C100)</f>
        <v>0</v>
      </c>
      <c r="U100" s="120"/>
      <c r="V100" s="195">
        <f t="shared" si="55"/>
        <v>0</v>
      </c>
      <c r="W100" s="2"/>
    </row>
    <row r="101" spans="1:23" ht="12.75" customHeight="1" x14ac:dyDescent="0.25">
      <c r="A101" s="14" t="s">
        <v>341</v>
      </c>
      <c r="B101" s="20" t="s">
        <v>342</v>
      </c>
      <c r="C101" s="563">
        <v>988954</v>
      </c>
      <c r="D101" s="165">
        <v>988954</v>
      </c>
      <c r="E101" s="165">
        <v>988954</v>
      </c>
      <c r="F101" s="165">
        <v>988954</v>
      </c>
      <c r="G101" s="165"/>
      <c r="H101" s="165">
        <v>988954</v>
      </c>
      <c r="I101" s="165">
        <v>988954</v>
      </c>
      <c r="J101" s="165">
        <v>988954</v>
      </c>
      <c r="K101" s="165"/>
      <c r="L101" s="592">
        <f t="shared" si="95"/>
        <v>1</v>
      </c>
      <c r="M101" s="592">
        <f t="shared" si="96"/>
        <v>1</v>
      </c>
      <c r="N101" s="592">
        <f t="shared" si="97"/>
        <v>1</v>
      </c>
      <c r="O101" s="165"/>
      <c r="P101" s="165">
        <f t="shared" si="56"/>
        <v>0</v>
      </c>
      <c r="Q101" s="165">
        <f t="shared" si="57"/>
        <v>0</v>
      </c>
      <c r="R101" s="165">
        <f t="shared" si="58"/>
        <v>0</v>
      </c>
      <c r="S101" s="165">
        <f t="shared" si="92"/>
        <v>0</v>
      </c>
      <c r="T101" s="281">
        <f>IF('8. WAMKK'!C103=0,0,+S101/'8. WAMKK'!C103)</f>
        <v>0</v>
      </c>
      <c r="U101" s="120"/>
      <c r="V101" s="195">
        <f t="shared" si="55"/>
        <v>0</v>
      </c>
    </row>
    <row r="102" spans="1:23" ht="21.75" customHeight="1" x14ac:dyDescent="0.25">
      <c r="A102" s="471"/>
      <c r="B102" s="471" t="s">
        <v>370</v>
      </c>
      <c r="C102" s="478">
        <f>+C95+C99+C93</f>
        <v>114421000</v>
      </c>
      <c r="D102" s="478">
        <f>+D95+D99+D93</f>
        <v>114421000</v>
      </c>
      <c r="E102" s="478">
        <f>+E95+E99+E93</f>
        <v>114421000</v>
      </c>
      <c r="F102" s="478">
        <f>+F95+F99+F93</f>
        <v>114421000</v>
      </c>
      <c r="G102" s="478"/>
      <c r="H102" s="478">
        <f>+H95+H99+H93</f>
        <v>51731702</v>
      </c>
      <c r="I102" s="478">
        <f>+I95+I99+I93</f>
        <v>71192529</v>
      </c>
      <c r="J102" s="478">
        <f>+J95+J99+J93</f>
        <v>103870200</v>
      </c>
      <c r="K102" s="312"/>
      <c r="L102" s="596">
        <f t="shared" si="95"/>
        <v>0.45211719876596079</v>
      </c>
      <c r="M102" s="596">
        <f t="shared" si="96"/>
        <v>0.62219810174705692</v>
      </c>
      <c r="N102" s="596">
        <f t="shared" si="97"/>
        <v>0.907789653997081</v>
      </c>
      <c r="O102" s="312"/>
      <c r="P102" s="478">
        <f t="shared" si="56"/>
        <v>0</v>
      </c>
      <c r="Q102" s="478">
        <f t="shared" si="57"/>
        <v>0</v>
      </c>
      <c r="R102" s="478">
        <f t="shared" si="58"/>
        <v>0</v>
      </c>
      <c r="S102" s="478">
        <f t="shared" si="92"/>
        <v>0</v>
      </c>
      <c r="T102" s="475">
        <f>IF('8. WAMKK'!C104=0,0,+S102/'8. WAMKK'!C104)</f>
        <v>0</v>
      </c>
      <c r="U102" s="120"/>
      <c r="V102" s="195">
        <f>+S102-E102+C102</f>
        <v>0</v>
      </c>
    </row>
    <row r="103" spans="1:23" ht="12.75" customHeight="1" x14ac:dyDescent="0.25">
      <c r="C103" s="317"/>
      <c r="D103" s="317"/>
      <c r="E103" s="317"/>
      <c r="F103" s="317"/>
      <c r="G103" s="317"/>
      <c r="H103" s="317"/>
      <c r="I103" s="317"/>
      <c r="J103" s="317"/>
      <c r="K103" s="317"/>
      <c r="L103" s="600"/>
      <c r="M103" s="600"/>
      <c r="N103" s="600"/>
      <c r="O103" s="317"/>
      <c r="P103" s="317"/>
      <c r="Q103" s="317"/>
      <c r="R103" s="317"/>
      <c r="S103" s="317"/>
    </row>
    <row r="104" spans="1:23" ht="12.75" customHeight="1" x14ac:dyDescent="0.25">
      <c r="C104" s="317">
        <f>+C89-C95-C101</f>
        <v>86752046</v>
      </c>
      <c r="D104" s="317"/>
      <c r="E104" s="317"/>
      <c r="F104" s="317"/>
      <c r="G104" s="317"/>
      <c r="H104" s="317"/>
      <c r="I104" s="317"/>
      <c r="J104" s="317"/>
      <c r="K104" s="317"/>
      <c r="L104" s="600"/>
      <c r="M104" s="600"/>
      <c r="N104" s="600"/>
      <c r="O104" s="317"/>
      <c r="P104" s="317"/>
      <c r="Q104" s="317"/>
      <c r="R104" s="317"/>
      <c r="S104" s="317"/>
    </row>
    <row r="105" spans="1:23" ht="12.75" customHeight="1" x14ac:dyDescent="0.25">
      <c r="L105" s="600"/>
      <c r="M105" s="600"/>
      <c r="N105" s="600"/>
    </row>
    <row r="106" spans="1:23" ht="12.75" customHeight="1" x14ac:dyDescent="0.25">
      <c r="L106" s="600"/>
      <c r="M106" s="600"/>
      <c r="N106" s="600"/>
    </row>
    <row r="107" spans="1:23" ht="12.75" customHeight="1" x14ac:dyDescent="0.25">
      <c r="A107" s="59"/>
      <c r="B107" s="59" t="s">
        <v>464</v>
      </c>
      <c r="C107" s="17" t="e">
        <f>+#REF!+#REF!</f>
        <v>#REF!</v>
      </c>
      <c r="D107" s="19"/>
      <c r="L107" s="600"/>
      <c r="M107" s="600"/>
      <c r="N107" s="600"/>
    </row>
  </sheetData>
  <mergeCells count="5">
    <mergeCell ref="C9:F9"/>
    <mergeCell ref="H9:N9"/>
    <mergeCell ref="P9:T9"/>
    <mergeCell ref="H10:J10"/>
    <mergeCell ref="L10:N10"/>
  </mergeCells>
  <phoneticPr fontId="3" type="noConversion"/>
  <printOptions horizontalCentered="1"/>
  <pageMargins left="0" right="0" top="0.59055118110236227" bottom="0" header="0.51181102362204722" footer="0.51181102362204722"/>
  <pageSetup paperSize="9" scale="38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153"/>
  <sheetViews>
    <sheetView view="pageBreakPreview" zoomScale="75" zoomScaleNormal="75" zoomScaleSheetLayoutView="75" workbookViewId="0">
      <selection activeCell="D4" sqref="D4"/>
    </sheetView>
  </sheetViews>
  <sheetFormatPr defaultRowHeight="13.2" x14ac:dyDescent="0.25"/>
  <cols>
    <col min="1" max="1" width="6.44140625" style="22" bestFit="1" customWidth="1"/>
    <col min="2" max="2" width="41.44140625" style="22" customWidth="1"/>
    <col min="3" max="3" width="19.33203125" style="22" customWidth="1"/>
    <col min="4" max="4" width="18.5546875" style="23" customWidth="1"/>
    <col min="5" max="6" width="19.33203125" style="23" customWidth="1"/>
    <col min="7" max="7" width="2" style="23" bestFit="1" customWidth="1"/>
    <col min="8" max="8" width="15.5546875" style="22" customWidth="1"/>
    <col min="9" max="9" width="15.5546875" style="23" customWidth="1"/>
    <col min="10" max="10" width="15.77734375" style="23" customWidth="1"/>
    <col min="11" max="11" width="0.6640625" style="23" customWidth="1"/>
    <col min="12" max="13" width="10.5546875" style="22" customWidth="1"/>
    <col min="14" max="14" width="12.6640625" style="22" bestFit="1" customWidth="1"/>
    <col min="15" max="15" width="0.6640625" style="23" customWidth="1"/>
    <col min="16" max="17" width="14.5546875" style="22" customWidth="1"/>
    <col min="18" max="18" width="16" style="22" bestFit="1" customWidth="1"/>
    <col min="19" max="19" width="15.5546875" style="22" customWidth="1"/>
    <col min="20" max="20" width="10.5546875" style="22" customWidth="1"/>
    <col min="21" max="21" width="0.6640625" style="23" customWidth="1"/>
    <col min="22" max="22" width="4.6640625" customWidth="1"/>
  </cols>
  <sheetData>
    <row r="1" spans="1:27" ht="24.6" x14ac:dyDescent="0.4">
      <c r="A1" s="228" t="s">
        <v>451</v>
      </c>
      <c r="B1" s="227"/>
      <c r="C1" s="227"/>
      <c r="D1" s="227"/>
      <c r="E1" s="227"/>
      <c r="F1" s="342"/>
      <c r="G1" s="226"/>
      <c r="H1" s="225"/>
      <c r="I1" s="225"/>
      <c r="J1" s="224" t="str">
        <f>+'1. Sülysáp összesen'!J1</f>
        <v>2021. ÉVI KÖLTSÉGVETÉS MÓDOSÍTÁSA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ht="21" hidden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25"/>
    </row>
    <row r="3" spans="1:27" ht="21" hidden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225"/>
    </row>
    <row r="4" spans="1:27" x14ac:dyDescent="0.25">
      <c r="A4" s="46"/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6"/>
      <c r="U4"/>
    </row>
    <row r="5" spans="1:27" ht="14.1" hidden="1" customHeight="1" x14ac:dyDescent="0.25">
      <c r="A5" s="46"/>
      <c r="B5" s="46"/>
      <c r="C5" s="343"/>
      <c r="D5" s="343"/>
      <c r="E5" s="343"/>
      <c r="F5" s="343"/>
      <c r="G5" s="343"/>
      <c r="H5" s="344"/>
      <c r="I5" s="344"/>
      <c r="J5" s="344"/>
      <c r="K5" s="343"/>
      <c r="L5" s="345"/>
      <c r="M5" s="36"/>
      <c r="N5" s="36"/>
      <c r="O5" s="343"/>
      <c r="P5" s="344"/>
      <c r="Q5" s="344"/>
      <c r="R5" s="344"/>
      <c r="S5" s="344"/>
      <c r="T5" s="36"/>
      <c r="U5" s="267"/>
    </row>
    <row r="6" spans="1:27" ht="14.1" hidden="1" customHeight="1" x14ac:dyDescent="0.25">
      <c r="A6" s="46"/>
      <c r="B6" s="46"/>
      <c r="C6" s="343"/>
      <c r="D6" s="343"/>
      <c r="E6" s="343"/>
      <c r="F6" s="343"/>
      <c r="G6" s="343"/>
      <c r="H6" s="344"/>
      <c r="I6" s="344"/>
      <c r="J6" s="344"/>
      <c r="K6" s="343"/>
      <c r="L6" s="345"/>
      <c r="M6" s="36"/>
      <c r="N6" s="36"/>
      <c r="O6" s="343"/>
      <c r="P6" s="344"/>
      <c r="Q6" s="344"/>
      <c r="R6" s="344"/>
      <c r="S6" s="344"/>
      <c r="T6" s="36"/>
      <c r="U6" s="267"/>
    </row>
    <row r="7" spans="1:27" ht="15.6" x14ac:dyDescent="0.3">
      <c r="A7" s="46"/>
      <c r="B7" s="46"/>
      <c r="C7" s="733" t="s">
        <v>401</v>
      </c>
      <c r="D7" s="734"/>
      <c r="E7" s="734"/>
      <c r="F7" s="735"/>
      <c r="G7" s="346"/>
      <c r="H7" s="733" t="s">
        <v>400</v>
      </c>
      <c r="I7" s="736"/>
      <c r="J7" s="736"/>
      <c r="K7" s="736"/>
      <c r="L7" s="736"/>
      <c r="M7" s="736"/>
      <c r="N7" s="737"/>
      <c r="O7" s="346"/>
      <c r="P7" s="733" t="s">
        <v>397</v>
      </c>
      <c r="Q7" s="734"/>
      <c r="R7" s="734"/>
      <c r="S7" s="734"/>
      <c r="T7" s="735"/>
      <c r="U7"/>
    </row>
    <row r="8" spans="1:27" ht="13.8" x14ac:dyDescent="0.25">
      <c r="A8" s="46"/>
      <c r="B8" s="46"/>
      <c r="C8" s="517"/>
      <c r="D8" s="464"/>
      <c r="E8" s="464"/>
      <c r="F8" s="489"/>
      <c r="G8" s="343"/>
      <c r="H8" s="738" t="s">
        <v>413</v>
      </c>
      <c r="I8" s="739"/>
      <c r="J8" s="739"/>
      <c r="K8" s="463"/>
      <c r="L8" s="740" t="s">
        <v>412</v>
      </c>
      <c r="M8" s="739"/>
      <c r="N8" s="741"/>
      <c r="O8" s="343"/>
      <c r="P8" s="488">
        <f>+'1. Sülysáp összesen'!P8</f>
        <v>1</v>
      </c>
      <c r="Q8" s="347">
        <f>+' 2. Önk. Bevételek'!Q8</f>
        <v>1</v>
      </c>
      <c r="R8" s="347">
        <v>0</v>
      </c>
      <c r="S8" s="464"/>
      <c r="T8" s="489"/>
      <c r="U8"/>
    </row>
    <row r="9" spans="1:27" ht="20.100000000000001" customHeight="1" x14ac:dyDescent="0.25">
      <c r="A9" s="348"/>
      <c r="B9" s="349" t="s">
        <v>370</v>
      </c>
      <c r="C9" s="490">
        <f>+C22</f>
        <v>1522303964</v>
      </c>
      <c r="D9" s="350">
        <f t="shared" ref="D9:J9" si="0">+D22</f>
        <v>1543459351</v>
      </c>
      <c r="E9" s="350">
        <f t="shared" si="0"/>
        <v>1564659351</v>
      </c>
      <c r="F9" s="518">
        <f t="shared" si="0"/>
        <v>1527780478</v>
      </c>
      <c r="G9" s="350"/>
      <c r="H9" s="490">
        <f t="shared" si="0"/>
        <v>768518861</v>
      </c>
      <c r="I9" s="350">
        <f t="shared" si="0"/>
        <v>1170238488</v>
      </c>
      <c r="J9" s="350">
        <f t="shared" si="0"/>
        <v>1614625662</v>
      </c>
      <c r="K9" s="351"/>
      <c r="L9" s="686">
        <f t="shared" ref="L9:N9" si="1">IF(D9=0,0,H9/D9)</f>
        <v>0.49791972849954247</v>
      </c>
      <c r="M9" s="687">
        <f t="shared" si="1"/>
        <v>0.7479190197227793</v>
      </c>
      <c r="N9" s="688">
        <f t="shared" si="1"/>
        <v>1.0568440199692093</v>
      </c>
      <c r="O9" s="351"/>
      <c r="P9" s="490">
        <f>IF(D9&gt;0,+D9-C9,0)</f>
        <v>21155387</v>
      </c>
      <c r="Q9" s="350">
        <f>IF(E9&gt;0,+E9-D9,0)</f>
        <v>21200000</v>
      </c>
      <c r="R9" s="350">
        <f>IF(F9&gt;0,+F9-E9,0)</f>
        <v>-36878873</v>
      </c>
      <c r="S9" s="350">
        <f>+P9*P$8+Q9*Q$8+R9*R$8</f>
        <v>42355387</v>
      </c>
      <c r="T9" s="491">
        <f>+S9/C9</f>
        <v>2.782321271023111E-2</v>
      </c>
      <c r="U9" s="248"/>
      <c r="V9" s="232">
        <f>+S9-E9+C9</f>
        <v>0</v>
      </c>
    </row>
    <row r="10" spans="1:27" ht="13.8" x14ac:dyDescent="0.25">
      <c r="A10" s="354"/>
      <c r="B10" s="355"/>
      <c r="C10" s="492"/>
      <c r="D10" s="343"/>
      <c r="E10" s="343"/>
      <c r="F10" s="519"/>
      <c r="G10" s="343"/>
      <c r="H10" s="492"/>
      <c r="I10" s="343"/>
      <c r="J10" s="343"/>
      <c r="K10" s="343"/>
      <c r="L10" s="356"/>
      <c r="M10" s="357"/>
      <c r="N10" s="493"/>
      <c r="O10" s="343"/>
      <c r="P10" s="492"/>
      <c r="Q10" s="343"/>
      <c r="R10" s="343"/>
      <c r="S10" s="343"/>
      <c r="T10" s="493"/>
      <c r="U10" s="240"/>
      <c r="V10" s="241"/>
    </row>
    <row r="11" spans="1:27" s="1" customFormat="1" ht="64.5" customHeight="1" x14ac:dyDescent="0.25">
      <c r="A11" s="27" t="s">
        <v>481</v>
      </c>
      <c r="B11" s="27" t="s">
        <v>364</v>
      </c>
      <c r="C11" s="520" t="s">
        <v>485</v>
      </c>
      <c r="D11" s="358" t="s">
        <v>486</v>
      </c>
      <c r="E11" s="358" t="s">
        <v>487</v>
      </c>
      <c r="F11" s="521" t="s">
        <v>488</v>
      </c>
      <c r="G11" s="358"/>
      <c r="H11" s="494" t="s">
        <v>498</v>
      </c>
      <c r="I11" s="359" t="s">
        <v>499</v>
      </c>
      <c r="J11" s="359" t="s">
        <v>500</v>
      </c>
      <c r="K11" s="358"/>
      <c r="L11" s="360" t="s">
        <v>501</v>
      </c>
      <c r="M11" s="360" t="s">
        <v>502</v>
      </c>
      <c r="N11" s="495" t="s">
        <v>503</v>
      </c>
      <c r="O11" s="358"/>
      <c r="P11" s="494" t="s">
        <v>495</v>
      </c>
      <c r="Q11" s="359" t="s">
        <v>496</v>
      </c>
      <c r="R11" s="359" t="s">
        <v>497</v>
      </c>
      <c r="S11" s="359" t="s">
        <v>398</v>
      </c>
      <c r="T11" s="495" t="s">
        <v>399</v>
      </c>
      <c r="U11" s="341"/>
      <c r="V11" s="132" t="s">
        <v>403</v>
      </c>
    </row>
    <row r="12" spans="1:27" x14ac:dyDescent="0.25">
      <c r="A12" s="361"/>
      <c r="B12" s="47"/>
      <c r="C12" s="522"/>
      <c r="D12" s="362"/>
      <c r="E12" s="362"/>
      <c r="F12" s="523"/>
      <c r="G12" s="362"/>
      <c r="H12" s="496"/>
      <c r="I12" s="342"/>
      <c r="J12" s="342"/>
      <c r="K12" s="362"/>
      <c r="L12" s="696"/>
      <c r="M12" s="696"/>
      <c r="N12" s="697"/>
      <c r="O12" s="362"/>
      <c r="P12" s="496"/>
      <c r="Q12" s="342"/>
      <c r="R12" s="342"/>
      <c r="S12" s="342"/>
      <c r="T12" s="497"/>
      <c r="U12" s="366"/>
      <c r="V12" s="195"/>
    </row>
    <row r="13" spans="1:27" x14ac:dyDescent="0.25">
      <c r="A13" s="34" t="s">
        <v>237</v>
      </c>
      <c r="B13" s="514" t="s">
        <v>441</v>
      </c>
      <c r="C13" s="160">
        <f>+C36</f>
        <v>741516395</v>
      </c>
      <c r="D13" s="160">
        <f t="shared" ref="D13:E13" si="2">+D36</f>
        <v>741516395</v>
      </c>
      <c r="E13" s="160">
        <f t="shared" si="2"/>
        <v>741045093</v>
      </c>
      <c r="F13" s="160">
        <f t="shared" ref="F13" si="3">+F36</f>
        <v>733919609</v>
      </c>
      <c r="G13" s="506"/>
      <c r="H13" s="373">
        <f t="shared" ref="H13:J13" si="4">+H36</f>
        <v>379556150</v>
      </c>
      <c r="I13" s="160">
        <f t="shared" si="4"/>
        <v>562676544</v>
      </c>
      <c r="J13" s="160">
        <f t="shared" si="4"/>
        <v>737188599</v>
      </c>
      <c r="K13" s="160"/>
      <c r="L13" s="672">
        <f t="shared" ref="L13:N22" si="5">IF(D13=0,0,H13/D13)</f>
        <v>0.5118648118360215</v>
      </c>
      <c r="M13" s="672">
        <f t="shared" si="5"/>
        <v>0.75930135603772231</v>
      </c>
      <c r="N13" s="672">
        <f t="shared" si="5"/>
        <v>1.0044541526890856</v>
      </c>
      <c r="O13" s="680"/>
      <c r="P13" s="175">
        <f t="shared" ref="P13:R19" si="6">+(D13-C13)*P$8</f>
        <v>0</v>
      </c>
      <c r="Q13" s="175">
        <f t="shared" si="6"/>
        <v>-471302</v>
      </c>
      <c r="R13" s="175">
        <f t="shared" si="6"/>
        <v>0</v>
      </c>
      <c r="S13" s="175">
        <f>+P13*P$8+Q13*Q$8+R13*R$8</f>
        <v>-471302</v>
      </c>
      <c r="T13" s="176">
        <f t="shared" ref="T13:T23" si="7">IF(C13=0,0,+S13/C13)</f>
        <v>-6.3559215032595474E-4</v>
      </c>
      <c r="U13" s="485"/>
      <c r="V13" s="241">
        <f t="shared" ref="V13:V23" si="8">+S13-E13+C13</f>
        <v>0</v>
      </c>
    </row>
    <row r="14" spans="1:27" ht="15" customHeight="1" x14ac:dyDescent="0.25">
      <c r="A14" s="34" t="s">
        <v>257</v>
      </c>
      <c r="B14" s="514" t="s">
        <v>440</v>
      </c>
      <c r="C14" s="160">
        <f>+C48</f>
        <v>240330297</v>
      </c>
      <c r="D14" s="160">
        <f t="shared" ref="D14:E14" si="9">+D48</f>
        <v>263496440</v>
      </c>
      <c r="E14" s="160">
        <f t="shared" si="9"/>
        <v>285167742</v>
      </c>
      <c r="F14" s="160">
        <f t="shared" ref="F14" si="10">+F48</f>
        <v>203746174</v>
      </c>
      <c r="G14" s="506"/>
      <c r="H14" s="160">
        <f t="shared" ref="H14:J14" si="11">+H48</f>
        <v>46110402</v>
      </c>
      <c r="I14" s="160">
        <f t="shared" si="11"/>
        <v>121917895</v>
      </c>
      <c r="J14" s="160">
        <f t="shared" si="11"/>
        <v>213746174</v>
      </c>
      <c r="K14" s="160"/>
      <c r="L14" s="672">
        <f t="shared" si="5"/>
        <v>0.17499440220141116</v>
      </c>
      <c r="M14" s="672">
        <f t="shared" si="5"/>
        <v>0.42753045679339147</v>
      </c>
      <c r="N14" s="672">
        <f t="shared" si="5"/>
        <v>1.0490806762339497</v>
      </c>
      <c r="O14" s="680"/>
      <c r="P14" s="175">
        <f t="shared" si="6"/>
        <v>23166143</v>
      </c>
      <c r="Q14" s="175">
        <f t="shared" si="6"/>
        <v>21671302</v>
      </c>
      <c r="R14" s="175">
        <f t="shared" si="6"/>
        <v>0</v>
      </c>
      <c r="S14" s="175">
        <f t="shared" ref="S14:S22" si="12">+P14*P$8+Q14*Q$8+R14*R$8</f>
        <v>44837445</v>
      </c>
      <c r="T14" s="176">
        <f t="shared" si="7"/>
        <v>0.18656592847301312</v>
      </c>
      <c r="U14" s="485"/>
      <c r="V14" s="241">
        <f t="shared" si="8"/>
        <v>0</v>
      </c>
    </row>
    <row r="15" spans="1:27" x14ac:dyDescent="0.25">
      <c r="A15" s="34" t="s">
        <v>265</v>
      </c>
      <c r="B15" s="514" t="s">
        <v>266</v>
      </c>
      <c r="C15" s="160">
        <f>+C60</f>
        <v>132000000</v>
      </c>
      <c r="D15" s="160">
        <f t="shared" ref="D15:E15" si="13">+D60</f>
        <v>132000000</v>
      </c>
      <c r="E15" s="160">
        <f t="shared" si="13"/>
        <v>132000000</v>
      </c>
      <c r="F15" s="160">
        <f t="shared" ref="F15" si="14">+F60</f>
        <v>200000000</v>
      </c>
      <c r="G15" s="506"/>
      <c r="H15" s="160">
        <f t="shared" ref="H15:J15" si="15">+H60</f>
        <v>72544113</v>
      </c>
      <c r="I15" s="160">
        <f t="shared" si="15"/>
        <v>185601504</v>
      </c>
      <c r="J15" s="160">
        <f t="shared" si="15"/>
        <v>249032958</v>
      </c>
      <c r="K15" s="160"/>
      <c r="L15" s="672">
        <f t="shared" si="5"/>
        <v>0.54957661363636368</v>
      </c>
      <c r="M15" s="672">
        <f t="shared" si="5"/>
        <v>1.406072</v>
      </c>
      <c r="N15" s="672">
        <f t="shared" si="5"/>
        <v>1.24516479</v>
      </c>
      <c r="O15" s="680"/>
      <c r="P15" s="175">
        <f t="shared" si="6"/>
        <v>0</v>
      </c>
      <c r="Q15" s="175">
        <f t="shared" si="6"/>
        <v>0</v>
      </c>
      <c r="R15" s="175">
        <f t="shared" si="6"/>
        <v>0</v>
      </c>
      <c r="S15" s="175">
        <f t="shared" si="12"/>
        <v>0</v>
      </c>
      <c r="T15" s="176">
        <f t="shared" si="7"/>
        <v>0</v>
      </c>
      <c r="U15" s="485"/>
      <c r="V15" s="241">
        <f t="shared" si="8"/>
        <v>0</v>
      </c>
    </row>
    <row r="16" spans="1:27" x14ac:dyDescent="0.25">
      <c r="A16" s="34" t="s">
        <v>278</v>
      </c>
      <c r="B16" s="514" t="s">
        <v>279</v>
      </c>
      <c r="C16" s="373">
        <f>+C72</f>
        <v>91151000</v>
      </c>
      <c r="D16" s="160">
        <f t="shared" ref="D16:E16" si="16">+D72</f>
        <v>88651000</v>
      </c>
      <c r="E16" s="160">
        <f t="shared" si="16"/>
        <v>88651000</v>
      </c>
      <c r="F16" s="160">
        <f t="shared" ref="F16" si="17">+F72</f>
        <v>96889577</v>
      </c>
      <c r="G16" s="506"/>
      <c r="H16" s="373">
        <f t="shared" ref="H16:J16" si="18">+H72</f>
        <v>50808323</v>
      </c>
      <c r="I16" s="373">
        <f t="shared" si="18"/>
        <v>78863706</v>
      </c>
      <c r="J16" s="160">
        <f t="shared" si="18"/>
        <v>109047412</v>
      </c>
      <c r="K16" s="160"/>
      <c r="L16" s="672">
        <f t="shared" si="5"/>
        <v>0.57312746613123366</v>
      </c>
      <c r="M16" s="672">
        <f t="shared" si="5"/>
        <v>0.889597477749828</v>
      </c>
      <c r="N16" s="672">
        <f t="shared" si="5"/>
        <v>1.1254813507958652</v>
      </c>
      <c r="O16" s="680"/>
      <c r="P16" s="175">
        <f t="shared" si="6"/>
        <v>-2500000</v>
      </c>
      <c r="Q16" s="175">
        <f t="shared" si="6"/>
        <v>0</v>
      </c>
      <c r="R16" s="175">
        <f t="shared" si="6"/>
        <v>0</v>
      </c>
      <c r="S16" s="175">
        <f t="shared" si="12"/>
        <v>-2500000</v>
      </c>
      <c r="T16" s="176">
        <f t="shared" si="7"/>
        <v>-2.742701670853858E-2</v>
      </c>
      <c r="U16" s="485"/>
      <c r="V16" s="241">
        <f t="shared" si="8"/>
        <v>0</v>
      </c>
    </row>
    <row r="17" spans="1:22" x14ac:dyDescent="0.25">
      <c r="A17" s="34" t="s">
        <v>304</v>
      </c>
      <c r="B17" s="514" t="s">
        <v>305</v>
      </c>
      <c r="C17" s="160">
        <f>+C84</f>
        <v>90845000</v>
      </c>
      <c r="D17" s="160">
        <f t="shared" ref="D17:E17" si="19">+D84</f>
        <v>90845000</v>
      </c>
      <c r="E17" s="160">
        <f t="shared" si="19"/>
        <v>90845000</v>
      </c>
      <c r="F17" s="160">
        <f t="shared" ref="F17" si="20">+F84</f>
        <v>64227622</v>
      </c>
      <c r="G17" s="506"/>
      <c r="H17" s="160">
        <f t="shared" ref="H17:J17" si="21">+H84</f>
        <v>1169292</v>
      </c>
      <c r="I17" s="160">
        <f t="shared" si="21"/>
        <v>1753938</v>
      </c>
      <c r="J17" s="160">
        <f t="shared" si="21"/>
        <v>54425789</v>
      </c>
      <c r="K17" s="160"/>
      <c r="L17" s="672">
        <f t="shared" si="5"/>
        <v>1.2871286256811052E-2</v>
      </c>
      <c r="M17" s="672">
        <f t="shared" si="5"/>
        <v>1.9306929385216578E-2</v>
      </c>
      <c r="N17" s="672">
        <f t="shared" si="5"/>
        <v>0.8473891342263925</v>
      </c>
      <c r="O17" s="680"/>
      <c r="P17" s="175">
        <f t="shared" si="6"/>
        <v>0</v>
      </c>
      <c r="Q17" s="175">
        <f t="shared" si="6"/>
        <v>0</v>
      </c>
      <c r="R17" s="175">
        <f t="shared" si="6"/>
        <v>0</v>
      </c>
      <c r="S17" s="175">
        <f t="shared" si="12"/>
        <v>0</v>
      </c>
      <c r="T17" s="176">
        <f t="shared" si="7"/>
        <v>0</v>
      </c>
      <c r="U17" s="485"/>
      <c r="V17" s="241">
        <f t="shared" si="8"/>
        <v>0</v>
      </c>
    </row>
    <row r="18" spans="1:22" x14ac:dyDescent="0.25">
      <c r="A18" s="34" t="s">
        <v>314</v>
      </c>
      <c r="B18" s="514" t="s">
        <v>315</v>
      </c>
      <c r="C18" s="160">
        <f>+C96</f>
        <v>4181435</v>
      </c>
      <c r="D18" s="160">
        <f t="shared" ref="D18:E18" si="22">+D96</f>
        <v>4181435</v>
      </c>
      <c r="E18" s="160">
        <f t="shared" si="22"/>
        <v>4181435</v>
      </c>
      <c r="F18" s="160">
        <f t="shared" ref="F18" si="23">+F96</f>
        <v>4181435</v>
      </c>
      <c r="G18" s="506"/>
      <c r="H18" s="160">
        <f t="shared" ref="H18:J18" si="24">+H96</f>
        <v>420000</v>
      </c>
      <c r="I18" s="160">
        <f t="shared" si="24"/>
        <v>630000</v>
      </c>
      <c r="J18" s="160">
        <f t="shared" si="24"/>
        <v>1791310</v>
      </c>
      <c r="K18" s="160"/>
      <c r="L18" s="672">
        <f t="shared" si="5"/>
        <v>0.10044398633483481</v>
      </c>
      <c r="M18" s="672">
        <f t="shared" si="5"/>
        <v>0.15066597950225222</v>
      </c>
      <c r="N18" s="672">
        <f t="shared" si="5"/>
        <v>0.42839599324155464</v>
      </c>
      <c r="O18" s="680"/>
      <c r="P18" s="175">
        <f t="shared" si="6"/>
        <v>0</v>
      </c>
      <c r="Q18" s="175">
        <f t="shared" si="6"/>
        <v>0</v>
      </c>
      <c r="R18" s="175">
        <f t="shared" si="6"/>
        <v>0</v>
      </c>
      <c r="S18" s="175">
        <f t="shared" si="12"/>
        <v>0</v>
      </c>
      <c r="T18" s="176">
        <f t="shared" si="7"/>
        <v>0</v>
      </c>
      <c r="U18" s="485"/>
      <c r="V18" s="241">
        <f t="shared" si="8"/>
        <v>0</v>
      </c>
    </row>
    <row r="19" spans="1:22" x14ac:dyDescent="0.25">
      <c r="A19" s="34" t="s">
        <v>320</v>
      </c>
      <c r="B19" s="514" t="s">
        <v>321</v>
      </c>
      <c r="C19" s="160">
        <f>+C108</f>
        <v>5900000</v>
      </c>
      <c r="D19" s="160">
        <f t="shared" ref="D19:E19" si="25">+D108</f>
        <v>5900000</v>
      </c>
      <c r="E19" s="160">
        <f t="shared" si="25"/>
        <v>5900000</v>
      </c>
      <c r="F19" s="160">
        <f t="shared" ref="F19" si="26">+F108</f>
        <v>7946980</v>
      </c>
      <c r="G19" s="506"/>
      <c r="H19" s="160">
        <f t="shared" ref="H19:J19" si="27">+H108</f>
        <v>1041500</v>
      </c>
      <c r="I19" s="160">
        <f t="shared" si="27"/>
        <v>1925820</v>
      </c>
      <c r="J19" s="160">
        <f t="shared" si="27"/>
        <v>7946980</v>
      </c>
      <c r="K19" s="160"/>
      <c r="L19" s="672">
        <f t="shared" si="5"/>
        <v>0.17652542372881355</v>
      </c>
      <c r="M19" s="672">
        <f t="shared" si="5"/>
        <v>0.3264101694915254</v>
      </c>
      <c r="N19" s="672">
        <f t="shared" si="5"/>
        <v>1</v>
      </c>
      <c r="O19" s="680"/>
      <c r="P19" s="175">
        <f t="shared" si="6"/>
        <v>0</v>
      </c>
      <c r="Q19" s="175">
        <f t="shared" si="6"/>
        <v>0</v>
      </c>
      <c r="R19" s="175">
        <f t="shared" si="6"/>
        <v>0</v>
      </c>
      <c r="S19" s="175">
        <f t="shared" si="12"/>
        <v>0</v>
      </c>
      <c r="T19" s="176">
        <f t="shared" si="7"/>
        <v>0</v>
      </c>
      <c r="U19" s="485"/>
      <c r="V19" s="241">
        <f t="shared" si="8"/>
        <v>0</v>
      </c>
    </row>
    <row r="20" spans="1:22" x14ac:dyDescent="0.25">
      <c r="A20" s="34" t="s">
        <v>327</v>
      </c>
      <c r="B20" s="514" t="s">
        <v>328</v>
      </c>
      <c r="C20" s="160">
        <f>+C120</f>
        <v>804865436</v>
      </c>
      <c r="D20" s="160">
        <f t="shared" ref="D20:J20" si="28">+D120</f>
        <v>805354680</v>
      </c>
      <c r="E20" s="160">
        <f t="shared" si="28"/>
        <v>805354680</v>
      </c>
      <c r="F20" s="160">
        <f t="shared" si="28"/>
        <v>805354680</v>
      </c>
      <c r="G20" s="506"/>
      <c r="H20" s="160">
        <f t="shared" si="28"/>
        <v>509451386</v>
      </c>
      <c r="I20" s="160">
        <f t="shared" si="28"/>
        <v>633262754</v>
      </c>
      <c r="J20" s="160">
        <f t="shared" si="28"/>
        <v>800667198</v>
      </c>
      <c r="K20" s="160"/>
      <c r="L20" s="672">
        <f t="shared" si="5"/>
        <v>0.63258015213868257</v>
      </c>
      <c r="M20" s="672">
        <f t="shared" si="5"/>
        <v>0.78631535859455115</v>
      </c>
      <c r="N20" s="672">
        <f t="shared" si="5"/>
        <v>0.99417960543794193</v>
      </c>
      <c r="O20" s="680"/>
      <c r="P20" s="160">
        <f t="shared" ref="P20:R20" si="29">+P120</f>
        <v>978488</v>
      </c>
      <c r="Q20" s="160">
        <f t="shared" si="29"/>
        <v>0</v>
      </c>
      <c r="R20" s="160">
        <f t="shared" si="29"/>
        <v>0</v>
      </c>
      <c r="S20" s="160">
        <f t="shared" si="12"/>
        <v>978488</v>
      </c>
      <c r="T20" s="176">
        <f t="shared" si="7"/>
        <v>1.2157162629108102E-3</v>
      </c>
      <c r="U20" s="485"/>
      <c r="V20" s="241">
        <f t="shared" si="8"/>
        <v>489244</v>
      </c>
    </row>
    <row r="21" spans="1:22" x14ac:dyDescent="0.25">
      <c r="A21" s="34"/>
      <c r="B21" s="514" t="s">
        <v>437</v>
      </c>
      <c r="C21" s="160">
        <f>-C144</f>
        <v>-588485599</v>
      </c>
      <c r="D21" s="160">
        <f t="shared" ref="D21:J21" si="30">-D144</f>
        <v>-588485599</v>
      </c>
      <c r="E21" s="160">
        <f t="shared" si="30"/>
        <v>-588485599</v>
      </c>
      <c r="F21" s="160">
        <f t="shared" si="30"/>
        <v>-588485599</v>
      </c>
      <c r="G21" s="160"/>
      <c r="H21" s="160">
        <f t="shared" si="30"/>
        <v>-292582305</v>
      </c>
      <c r="I21" s="160">
        <f t="shared" si="30"/>
        <v>-416393673</v>
      </c>
      <c r="J21" s="160">
        <f t="shared" si="30"/>
        <v>-559220758</v>
      </c>
      <c r="K21" s="160"/>
      <c r="L21" s="672">
        <f t="shared" si="5"/>
        <v>0.49717836000945198</v>
      </c>
      <c r="M21" s="672">
        <f t="shared" si="5"/>
        <v>0.70756816089904007</v>
      </c>
      <c r="N21" s="672">
        <f t="shared" si="5"/>
        <v>0.95027093092893167</v>
      </c>
      <c r="O21" s="680"/>
      <c r="P21" s="160">
        <f t="shared" ref="P21:R21" si="31">-P144</f>
        <v>0</v>
      </c>
      <c r="Q21" s="160">
        <f t="shared" si="31"/>
        <v>0</v>
      </c>
      <c r="R21" s="160">
        <f t="shared" si="31"/>
        <v>0</v>
      </c>
      <c r="S21" s="160">
        <f t="shared" si="12"/>
        <v>0</v>
      </c>
      <c r="T21" s="176">
        <f t="shared" si="7"/>
        <v>0</v>
      </c>
      <c r="U21" s="485"/>
      <c r="V21" s="241">
        <f t="shared" si="8"/>
        <v>0</v>
      </c>
    </row>
    <row r="22" spans="1:22" x14ac:dyDescent="0.25">
      <c r="A22" s="12"/>
      <c r="B22" s="515" t="s">
        <v>370</v>
      </c>
      <c r="C22" s="164">
        <f>SUM(C13:C21)</f>
        <v>1522303964</v>
      </c>
      <c r="D22" s="164">
        <f>SUM(D13:D21)</f>
        <v>1543459351</v>
      </c>
      <c r="E22" s="164">
        <f>SUM(E13:E21)</f>
        <v>1564659351</v>
      </c>
      <c r="F22" s="164">
        <f>SUM(F13:F21)</f>
        <v>1527780478</v>
      </c>
      <c r="G22" s="507"/>
      <c r="H22" s="164">
        <f>SUM(H13:H21)</f>
        <v>768518861</v>
      </c>
      <c r="I22" s="164">
        <f>SUM(I13:I21)</f>
        <v>1170238488</v>
      </c>
      <c r="J22" s="164">
        <f>SUM(J13:J21)</f>
        <v>1614625662</v>
      </c>
      <c r="K22" s="164"/>
      <c r="L22" s="674">
        <f t="shared" si="5"/>
        <v>0.49791972849954247</v>
      </c>
      <c r="M22" s="674">
        <f t="shared" si="5"/>
        <v>0.7479190197227793</v>
      </c>
      <c r="N22" s="674">
        <f t="shared" si="5"/>
        <v>1.0568440199692093</v>
      </c>
      <c r="O22" s="681"/>
      <c r="P22" s="164">
        <f>SUM(P13:P21)</f>
        <v>21644631</v>
      </c>
      <c r="Q22" s="164">
        <f>SUM(Q13:Q21)</f>
        <v>21200000</v>
      </c>
      <c r="R22" s="164">
        <f>SUM(R13:R21)</f>
        <v>0</v>
      </c>
      <c r="S22" s="164">
        <f t="shared" si="12"/>
        <v>42844631</v>
      </c>
      <c r="T22" s="176">
        <f t="shared" si="7"/>
        <v>2.8144596620126781E-2</v>
      </c>
      <c r="U22" s="486"/>
      <c r="V22" s="241">
        <f t="shared" si="8"/>
        <v>489244</v>
      </c>
    </row>
    <row r="23" spans="1:22" x14ac:dyDescent="0.25">
      <c r="A23" s="34"/>
      <c r="B23" s="516" t="s">
        <v>403</v>
      </c>
      <c r="C23" s="178"/>
      <c r="D23" s="178"/>
      <c r="E23" s="178"/>
      <c r="F23" s="178"/>
      <c r="G23" s="508"/>
      <c r="H23" s="178"/>
      <c r="I23" s="178"/>
      <c r="J23" s="178"/>
      <c r="K23" s="178"/>
      <c r="L23" s="682"/>
      <c r="M23" s="682"/>
      <c r="N23" s="682"/>
      <c r="O23" s="683"/>
      <c r="P23" s="178"/>
      <c r="Q23" s="178"/>
      <c r="R23" s="178"/>
      <c r="S23" s="178"/>
      <c r="T23" s="176">
        <f t="shared" si="7"/>
        <v>0</v>
      </c>
      <c r="U23" s="487"/>
      <c r="V23" s="241">
        <f t="shared" si="8"/>
        <v>0</v>
      </c>
    </row>
    <row r="24" spans="1:22" x14ac:dyDescent="0.25">
      <c r="C24" s="498"/>
      <c r="D24" s="74"/>
      <c r="E24" s="74"/>
      <c r="F24" s="524"/>
      <c r="G24" s="74"/>
      <c r="H24" s="498"/>
      <c r="K24" s="74"/>
      <c r="L24" s="648"/>
      <c r="M24" s="648"/>
      <c r="N24" s="689"/>
      <c r="O24" s="640"/>
      <c r="P24" s="498"/>
      <c r="Q24" s="73"/>
      <c r="R24" s="73"/>
      <c r="S24" s="73"/>
      <c r="T24" s="499"/>
      <c r="U24" s="74"/>
    </row>
    <row r="25" spans="1:22" x14ac:dyDescent="0.25">
      <c r="C25" s="498"/>
      <c r="D25" s="74"/>
      <c r="E25" s="74"/>
      <c r="F25" s="524"/>
      <c r="G25" s="74"/>
      <c r="H25" s="510"/>
      <c r="I25" s="217"/>
      <c r="K25" s="74"/>
      <c r="L25" s="648"/>
      <c r="M25" s="648"/>
      <c r="N25" s="689"/>
      <c r="O25" s="640"/>
      <c r="P25" s="498"/>
      <c r="Q25" s="73"/>
      <c r="R25" s="73"/>
      <c r="S25" s="73"/>
      <c r="T25" s="499"/>
      <c r="U25" s="74"/>
    </row>
    <row r="26" spans="1:22" x14ac:dyDescent="0.25">
      <c r="C26" s="498"/>
      <c r="D26" s="74"/>
      <c r="E26" s="74"/>
      <c r="F26" s="524"/>
      <c r="G26" s="74"/>
      <c r="H26" s="510"/>
      <c r="I26" s="218"/>
      <c r="K26" s="74"/>
      <c r="L26" s="648"/>
      <c r="M26" s="648"/>
      <c r="N26" s="689"/>
      <c r="O26" s="640"/>
      <c r="P26" s="498"/>
      <c r="Q26" s="73"/>
      <c r="R26" s="73"/>
      <c r="S26" s="73"/>
      <c r="T26" s="499"/>
      <c r="U26" s="74"/>
    </row>
    <row r="27" spans="1:22" x14ac:dyDescent="0.25">
      <c r="A27" s="320" t="s">
        <v>237</v>
      </c>
      <c r="B27" s="320" t="str">
        <f>+B13</f>
        <v>Működési célú tám-ok államháztartáson belülről</v>
      </c>
      <c r="C27" s="498"/>
      <c r="D27" s="74"/>
      <c r="E27" s="74"/>
      <c r="F27" s="524"/>
      <c r="G27" s="74"/>
      <c r="H27" s="498"/>
      <c r="K27" s="74"/>
      <c r="L27" s="648"/>
      <c r="M27" s="648"/>
      <c r="N27" s="689"/>
      <c r="O27" s="640"/>
      <c r="P27" s="498"/>
      <c r="Q27" s="73"/>
      <c r="R27" s="73"/>
      <c r="S27" s="73"/>
      <c r="T27" s="499"/>
      <c r="U27" s="74"/>
    </row>
    <row r="28" spans="1:22" x14ac:dyDescent="0.25">
      <c r="B28" s="22" t="str">
        <f>+'3. Önk. Kiadások'!A1</f>
        <v>Sülysáp Város Önkormányzata</v>
      </c>
      <c r="C28" s="498">
        <f>+' 2. Önk. Bevételek'!C13</f>
        <v>741516395</v>
      </c>
      <c r="D28" s="73">
        <f>+' 2. Önk. Bevételek'!D13</f>
        <v>741516395</v>
      </c>
      <c r="E28" s="73">
        <f>+' 2. Önk. Bevételek'!E13</f>
        <v>739845093</v>
      </c>
      <c r="F28" s="459">
        <f>+' 2. Önk. Bevételek'!F13</f>
        <v>728443095</v>
      </c>
      <c r="G28" s="73">
        <f>+'3. Önk. Kiadások'!G13</f>
        <v>0</v>
      </c>
      <c r="H28" s="498">
        <f>+' 2. Önk. Bevételek'!H13</f>
        <v>379556150</v>
      </c>
      <c r="I28" s="73">
        <f>+' 2. Önk. Bevételek'!I13</f>
        <v>547676544</v>
      </c>
      <c r="J28" s="73">
        <f>+' 2. Önk. Bevételek'!J13</f>
        <v>731614402</v>
      </c>
      <c r="K28" s="73"/>
      <c r="L28" s="650">
        <f t="shared" ref="L28:N36" si="32">IF(D28=0,0,H28/D28)</f>
        <v>0.5118648118360215</v>
      </c>
      <c r="M28" s="650">
        <f t="shared" si="32"/>
        <v>0.74025839892946343</v>
      </c>
      <c r="N28" s="689">
        <f t="shared" si="32"/>
        <v>1.0043535411643925</v>
      </c>
      <c r="O28" s="632"/>
      <c r="P28" s="498">
        <f>+' 2. Önk. Bevételek'!P13</f>
        <v>0</v>
      </c>
      <c r="Q28" s="73">
        <f>+' 2. Önk. Bevételek'!Q13</f>
        <v>-1671302</v>
      </c>
      <c r="R28" s="73">
        <f>+' 2. Önk. Bevételek'!R13</f>
        <v>0</v>
      </c>
      <c r="S28" s="73">
        <f>+P28*P$8+Q28*Q$8+R28*R$8</f>
        <v>-1671302</v>
      </c>
      <c r="T28" s="499"/>
      <c r="U28" s="74"/>
    </row>
    <row r="29" spans="1:22" x14ac:dyDescent="0.25">
      <c r="B29" s="56" t="str">
        <f>+'4. Dr Gáspár HSZK'!A1</f>
        <v>Dr. Gáspár István HSZK</v>
      </c>
      <c r="C29" s="498">
        <f>+'4. Dr Gáspár HSZK'!C93</f>
        <v>0</v>
      </c>
      <c r="D29" s="73">
        <f>+'4. Dr Gáspár HSZK'!D93</f>
        <v>0</v>
      </c>
      <c r="E29" s="73">
        <f>+'4. Dr Gáspár HSZK'!E93</f>
        <v>0</v>
      </c>
      <c r="F29" s="459">
        <f>+'4. Dr Gáspár HSZK'!F93</f>
        <v>0</v>
      </c>
      <c r="G29" s="73"/>
      <c r="H29" s="498">
        <f>+'4. Dr Gáspár HSZK'!H93</f>
        <v>0</v>
      </c>
      <c r="I29" s="73">
        <f>+'4. Dr Gáspár HSZK'!I93</f>
        <v>0</v>
      </c>
      <c r="J29" s="73">
        <f>+'4. Dr Gáspár HSZK'!J93</f>
        <v>574197</v>
      </c>
      <c r="K29" s="73"/>
      <c r="L29" s="650">
        <f t="shared" si="32"/>
        <v>0</v>
      </c>
      <c r="M29" s="650">
        <f t="shared" si="32"/>
        <v>0</v>
      </c>
      <c r="N29" s="689">
        <f t="shared" si="32"/>
        <v>0</v>
      </c>
      <c r="O29" s="632"/>
      <c r="P29" s="498">
        <f>+'4. Dr Gáspár HSZK'!P93</f>
        <v>0</v>
      </c>
      <c r="Q29" s="73">
        <f>+'4. Dr Gáspár HSZK'!Q93</f>
        <v>0</v>
      </c>
      <c r="R29" s="73">
        <f>+'4. Dr Gáspár HSZK'!R93</f>
        <v>0</v>
      </c>
      <c r="S29" s="73">
        <f t="shared" ref="S29:S34" si="33">+P29*P$8+Q29*Q$8+R29*R$8</f>
        <v>0</v>
      </c>
      <c r="T29" s="499"/>
      <c r="U29" s="74"/>
    </row>
    <row r="30" spans="1:22" x14ac:dyDescent="0.25">
      <c r="B30" s="56" t="str">
        <f>+'5. Csicsergő'!A1</f>
        <v>SÜLYSÁPI CSICSERGŐ ÓVODA</v>
      </c>
      <c r="C30" s="498">
        <f>+'5. Csicsergő'!C93</f>
        <v>0</v>
      </c>
      <c r="D30" s="73">
        <f>+'5. Csicsergő'!D93</f>
        <v>0</v>
      </c>
      <c r="E30" s="73">
        <f>+'5. Csicsergő'!E93</f>
        <v>0</v>
      </c>
      <c r="F30" s="459">
        <f>+'5. Csicsergő'!F93</f>
        <v>0</v>
      </c>
      <c r="G30" s="73"/>
      <c r="H30" s="498">
        <f>+'5. Csicsergő'!H93</f>
        <v>0</v>
      </c>
      <c r="I30" s="73">
        <f>+'5. Csicsergő'!I93</f>
        <v>0</v>
      </c>
      <c r="J30" s="73">
        <f>+'5. Csicsergő'!J93</f>
        <v>0</v>
      </c>
      <c r="K30" s="73"/>
      <c r="L30" s="650">
        <f t="shared" si="32"/>
        <v>0</v>
      </c>
      <c r="M30" s="650">
        <f t="shared" si="32"/>
        <v>0</v>
      </c>
      <c r="N30" s="689">
        <f t="shared" si="32"/>
        <v>0</v>
      </c>
      <c r="O30" s="632"/>
      <c r="P30" s="498">
        <f>+'5. Csicsergő'!P93</f>
        <v>0</v>
      </c>
      <c r="Q30" s="73">
        <f>+'5. Csicsergő'!Q93</f>
        <v>0</v>
      </c>
      <c r="R30" s="73">
        <f>+'5. Csicsergő'!R93</f>
        <v>0</v>
      </c>
      <c r="S30" s="73">
        <f t="shared" si="33"/>
        <v>0</v>
      </c>
      <c r="T30" s="499"/>
      <c r="U30" s="74"/>
    </row>
    <row r="31" spans="1:22" x14ac:dyDescent="0.25">
      <c r="B31" s="22" t="str">
        <f>+'6. Gólyahír'!A1</f>
        <v>GÓLYAHÍR BÖLCSŐDE</v>
      </c>
      <c r="C31" s="498">
        <f>+'6. Gólyahír'!C93</f>
        <v>0</v>
      </c>
      <c r="D31" s="73">
        <f>+'6. Gólyahír'!D93</f>
        <v>0</v>
      </c>
      <c r="E31" s="73">
        <f>+'6. Gólyahír'!E93</f>
        <v>0</v>
      </c>
      <c r="F31" s="459">
        <f>+'6. Gólyahír'!F93</f>
        <v>0</v>
      </c>
      <c r="G31" s="73"/>
      <c r="H31" s="498">
        <f>+'6. Gólyahír'!H93</f>
        <v>0</v>
      </c>
      <c r="I31" s="73">
        <f>+'6. Gólyahír'!I93</f>
        <v>0</v>
      </c>
      <c r="J31" s="73">
        <f>+'6. Gólyahír'!J93</f>
        <v>0</v>
      </c>
      <c r="K31" s="73"/>
      <c r="L31" s="650">
        <f t="shared" si="32"/>
        <v>0</v>
      </c>
      <c r="M31" s="650">
        <f t="shared" si="32"/>
        <v>0</v>
      </c>
      <c r="N31" s="689">
        <f t="shared" si="32"/>
        <v>0</v>
      </c>
      <c r="O31" s="632"/>
      <c r="P31" s="498">
        <f>+'6. Gólyahír'!P93</f>
        <v>0</v>
      </c>
      <c r="Q31" s="73">
        <f>+'6. Gólyahír'!Q93</f>
        <v>0</v>
      </c>
      <c r="R31" s="73">
        <f>+'6. Gólyahír'!R93</f>
        <v>0</v>
      </c>
      <c r="S31" s="73">
        <f t="shared" si="33"/>
        <v>0</v>
      </c>
      <c r="T31" s="499"/>
      <c r="U31" s="74"/>
    </row>
    <row r="32" spans="1:22" x14ac:dyDescent="0.25">
      <c r="B32" s="73" t="str">
        <f>+'7. Polg.Hiv.'!A1</f>
        <v>SÜLYSÁPI POLGÁRMESTERI HIVATAL</v>
      </c>
      <c r="C32" s="498">
        <f>+'7. Polg.Hiv.'!C93</f>
        <v>0</v>
      </c>
      <c r="D32" s="73">
        <f>+'7. Polg.Hiv.'!D93</f>
        <v>0</v>
      </c>
      <c r="E32" s="73">
        <f>+'7. Polg.Hiv.'!E93</f>
        <v>0</v>
      </c>
      <c r="F32" s="459">
        <f>+'7. Polg.Hiv.'!F93</f>
        <v>0</v>
      </c>
      <c r="G32" s="73"/>
      <c r="H32" s="498">
        <f>+'7. Polg.Hiv.'!H93</f>
        <v>0</v>
      </c>
      <c r="I32" s="73">
        <f>+'7. Polg.Hiv.'!I93</f>
        <v>0</v>
      </c>
      <c r="J32" s="73">
        <f>+'7. Polg.Hiv.'!J93</f>
        <v>0</v>
      </c>
      <c r="K32" s="73"/>
      <c r="L32" s="650">
        <f t="shared" si="32"/>
        <v>0</v>
      </c>
      <c r="M32" s="650">
        <f t="shared" si="32"/>
        <v>0</v>
      </c>
      <c r="N32" s="689">
        <f t="shared" si="32"/>
        <v>0</v>
      </c>
      <c r="O32" s="632"/>
      <c r="P32" s="498">
        <f>+'7. Polg.Hiv.'!P93</f>
        <v>0</v>
      </c>
      <c r="Q32" s="73">
        <f>+'7. Polg.Hiv.'!Q93</f>
        <v>0</v>
      </c>
      <c r="R32" s="73">
        <f>+'7. Polg.Hiv.'!R93</f>
        <v>0</v>
      </c>
      <c r="S32" s="73">
        <f t="shared" si="33"/>
        <v>0</v>
      </c>
      <c r="T32" s="499"/>
      <c r="U32" s="74"/>
    </row>
    <row r="33" spans="1:21" x14ac:dyDescent="0.25">
      <c r="B33" s="73" t="str">
        <f>+'8. WAMKK'!A1</f>
        <v>Wass Albert Művelődési Központ és Könyvtár</v>
      </c>
      <c r="C33" s="498">
        <f>+'8. WAMKK'!C93</f>
        <v>0</v>
      </c>
      <c r="D33" s="73">
        <f>+'8. WAMKK'!D93</f>
        <v>0</v>
      </c>
      <c r="E33" s="73">
        <f>+'8. WAMKK'!E93</f>
        <v>1200000</v>
      </c>
      <c r="F33" s="459">
        <f>+'8. WAMKK'!F93</f>
        <v>5476514</v>
      </c>
      <c r="G33" s="73"/>
      <c r="H33" s="498">
        <f>+'8. WAMKK'!H93</f>
        <v>0</v>
      </c>
      <c r="I33" s="73">
        <f>+'8. WAMKK'!I93</f>
        <v>15000000</v>
      </c>
      <c r="J33" s="73">
        <f>+'8. WAMKK'!J93</f>
        <v>5000000</v>
      </c>
      <c r="K33" s="73"/>
      <c r="L33" s="650">
        <f t="shared" si="32"/>
        <v>0</v>
      </c>
      <c r="M33" s="650">
        <f t="shared" si="32"/>
        <v>12.5</v>
      </c>
      <c r="N33" s="689">
        <f t="shared" si="32"/>
        <v>0.91298954042662905</v>
      </c>
      <c r="O33" s="632"/>
      <c r="P33" s="498">
        <f>+'8. WAMKK'!P93</f>
        <v>0</v>
      </c>
      <c r="Q33" s="73">
        <f>+'8. WAMKK'!Q93</f>
        <v>1200000</v>
      </c>
      <c r="R33" s="73">
        <f>+'8. WAMKK'!R93</f>
        <v>0</v>
      </c>
      <c r="S33" s="73">
        <f t="shared" si="33"/>
        <v>1200000</v>
      </c>
      <c r="T33" s="499"/>
      <c r="U33" s="74"/>
    </row>
    <row r="34" spans="1:21" x14ac:dyDescent="0.25">
      <c r="B34" s="73" t="str">
        <f>+'9. Közp. Konyha'!A1</f>
        <v>Központi Konyha</v>
      </c>
      <c r="C34" s="498">
        <f>+'9. Közp. Konyha'!C93</f>
        <v>0</v>
      </c>
      <c r="D34" s="73">
        <f>+'9. Közp. Konyha'!D93</f>
        <v>0</v>
      </c>
      <c r="E34" s="73">
        <f>+'9. Közp. Konyha'!E93</f>
        <v>0</v>
      </c>
      <c r="F34" s="459">
        <f>+'9. Közp. Konyha'!F93</f>
        <v>0</v>
      </c>
      <c r="G34" s="73"/>
      <c r="H34" s="498">
        <f>+'9. Közp. Konyha'!H93</f>
        <v>0</v>
      </c>
      <c r="I34" s="73">
        <f>+'9. Közp. Konyha'!I93</f>
        <v>0</v>
      </c>
      <c r="J34" s="73">
        <f>+'9. Közp. Konyha'!J93</f>
        <v>0</v>
      </c>
      <c r="K34" s="73"/>
      <c r="L34" s="650">
        <f t="shared" si="32"/>
        <v>0</v>
      </c>
      <c r="M34" s="650">
        <f t="shared" si="32"/>
        <v>0</v>
      </c>
      <c r="N34" s="689">
        <f t="shared" si="32"/>
        <v>0</v>
      </c>
      <c r="O34" s="632"/>
      <c r="P34" s="498">
        <f>+'9. Közp. Konyha'!P93</f>
        <v>0</v>
      </c>
      <c r="Q34" s="73">
        <f>+'9. Közp. Konyha'!Q93</f>
        <v>0</v>
      </c>
      <c r="R34" s="73">
        <f>+'9. Közp. Konyha'!R93</f>
        <v>0</v>
      </c>
      <c r="S34" s="73">
        <f t="shared" si="33"/>
        <v>0</v>
      </c>
      <c r="T34" s="499"/>
      <c r="U34" s="74"/>
    </row>
    <row r="35" spans="1:21" ht="8.1" customHeight="1" x14ac:dyDescent="0.25">
      <c r="B35" s="383" t="s">
        <v>442</v>
      </c>
      <c r="C35" s="500"/>
      <c r="D35" s="382"/>
      <c r="E35" s="382"/>
      <c r="F35" s="511"/>
      <c r="G35" s="382"/>
      <c r="H35" s="500"/>
      <c r="I35" s="382"/>
      <c r="J35" s="382"/>
      <c r="K35" s="382"/>
      <c r="L35" s="690"/>
      <c r="M35" s="690"/>
      <c r="N35" s="691"/>
      <c r="O35" s="684"/>
      <c r="P35" s="500"/>
      <c r="Q35" s="382"/>
      <c r="R35" s="382"/>
      <c r="S35" s="382"/>
      <c r="T35" s="499"/>
      <c r="U35" s="74"/>
    </row>
    <row r="36" spans="1:21" x14ac:dyDescent="0.25">
      <c r="A36" s="384" t="str">
        <f>+A27</f>
        <v>B1</v>
      </c>
      <c r="B36" s="364" t="s">
        <v>436</v>
      </c>
      <c r="C36" s="501">
        <f>SUM(C28:C35)</f>
        <v>741516395</v>
      </c>
      <c r="D36" s="365">
        <f t="shared" ref="D36" si="34">SUM(D28:D35)</f>
        <v>741516395</v>
      </c>
      <c r="E36" s="365">
        <f t="shared" ref="E36" si="35">SUM(E28:E35)</f>
        <v>741045093</v>
      </c>
      <c r="F36" s="512">
        <f t="shared" ref="F36" si="36">SUM(F28:F35)</f>
        <v>733919609</v>
      </c>
      <c r="G36" s="365"/>
      <c r="H36" s="501">
        <f>SUM(H28:H35)</f>
        <v>379556150</v>
      </c>
      <c r="I36" s="365">
        <f t="shared" ref="I36" si="37">SUM(I28:I35)</f>
        <v>562676544</v>
      </c>
      <c r="J36" s="365">
        <f t="shared" ref="J36" si="38">SUM(J28:J35)</f>
        <v>737188599</v>
      </c>
      <c r="K36" s="365"/>
      <c r="L36" s="692">
        <f t="shared" si="32"/>
        <v>0.5118648118360215</v>
      </c>
      <c r="M36" s="692">
        <f t="shared" si="32"/>
        <v>0.75930135603772231</v>
      </c>
      <c r="N36" s="693">
        <f t="shared" si="32"/>
        <v>1.0044541526890856</v>
      </c>
      <c r="O36" s="685"/>
      <c r="P36" s="501">
        <f>SUM(P28:P35)</f>
        <v>0</v>
      </c>
      <c r="Q36" s="365">
        <f t="shared" ref="Q36" si="39">SUM(Q28:Q35)</f>
        <v>-471302</v>
      </c>
      <c r="R36" s="365">
        <f t="shared" ref="R36" si="40">SUM(R28:R35)</f>
        <v>0</v>
      </c>
      <c r="S36" s="365">
        <f>+P36*P$8+Q36*Q$8+R36*R$8</f>
        <v>-471302</v>
      </c>
      <c r="T36" s="499"/>
      <c r="U36" s="74"/>
    </row>
    <row r="37" spans="1:21" x14ac:dyDescent="0.25">
      <c r="C37" s="498"/>
      <c r="D37" s="74"/>
      <c r="E37" s="74"/>
      <c r="F37" s="524"/>
      <c r="G37" s="74"/>
      <c r="H37" s="498"/>
      <c r="K37" s="74"/>
      <c r="L37" s="648"/>
      <c r="M37" s="648"/>
      <c r="N37" s="689"/>
      <c r="O37" s="640"/>
      <c r="P37" s="498"/>
      <c r="Q37" s="73"/>
      <c r="R37" s="73"/>
      <c r="S37" s="73"/>
      <c r="T37" s="499"/>
      <c r="U37" s="74"/>
    </row>
    <row r="38" spans="1:21" x14ac:dyDescent="0.25">
      <c r="C38" s="498"/>
      <c r="D38" s="74"/>
      <c r="E38" s="74"/>
      <c r="F38" s="524"/>
      <c r="G38" s="74"/>
      <c r="H38" s="498"/>
      <c r="K38" s="74"/>
      <c r="L38" s="648"/>
      <c r="M38" s="648"/>
      <c r="N38" s="689"/>
      <c r="O38" s="640"/>
      <c r="P38" s="498"/>
      <c r="Q38" s="73"/>
      <c r="R38" s="73"/>
      <c r="S38" s="73"/>
      <c r="T38" s="499"/>
      <c r="U38" s="74"/>
    </row>
    <row r="39" spans="1:21" x14ac:dyDescent="0.25">
      <c r="A39" s="320" t="s">
        <v>257</v>
      </c>
      <c r="B39" s="320" t="str">
        <f>+B14</f>
        <v>Felhalmozási célú tám-ok államházt-on belülről</v>
      </c>
      <c r="C39" s="498"/>
      <c r="D39" s="74"/>
      <c r="E39" s="74"/>
      <c r="F39" s="524"/>
      <c r="G39" s="74"/>
      <c r="H39" s="498"/>
      <c r="K39" s="74"/>
      <c r="L39" s="648"/>
      <c r="M39" s="648"/>
      <c r="N39" s="689"/>
      <c r="O39" s="640"/>
      <c r="P39" s="498"/>
      <c r="Q39" s="73"/>
      <c r="R39" s="73"/>
      <c r="S39" s="73">
        <f t="shared" ref="S39:S46" si="41">+P39*P$8+Q39*Q$8+R39*R$8</f>
        <v>0</v>
      </c>
      <c r="T39" s="499"/>
      <c r="U39" s="74"/>
    </row>
    <row r="40" spans="1:21" x14ac:dyDescent="0.25">
      <c r="B40" s="56" t="str">
        <f t="shared" ref="B40:B46" si="42">+B28</f>
        <v>Sülysáp Város Önkormányzata</v>
      </c>
      <c r="C40" s="498">
        <f>+' 2. Önk. Bevételek'!C30</f>
        <v>240330297</v>
      </c>
      <c r="D40" s="73">
        <f>+' 2. Önk. Bevételek'!D30</f>
        <v>263496440</v>
      </c>
      <c r="E40" s="73">
        <f>+' 2. Önk. Bevételek'!E30</f>
        <v>285167742</v>
      </c>
      <c r="F40" s="459">
        <f>+' 2. Önk. Bevételek'!F30</f>
        <v>203746174</v>
      </c>
      <c r="G40" s="74"/>
      <c r="H40" s="498">
        <f>+' 2. Önk. Bevételek'!H30</f>
        <v>46110402</v>
      </c>
      <c r="I40" s="73">
        <f>+' 2. Önk. Bevételek'!I30</f>
        <v>121917895</v>
      </c>
      <c r="J40" s="73">
        <f>+' 2. Önk. Bevételek'!J30</f>
        <v>203746174</v>
      </c>
      <c r="K40" s="74"/>
      <c r="L40" s="650">
        <f t="shared" ref="L40:L46" si="43">IF(D40=0,0,H40/D40)</f>
        <v>0.17499440220141116</v>
      </c>
      <c r="M40" s="650">
        <f t="shared" ref="M40:M46" si="44">IF(E40=0,0,I40/E40)</f>
        <v>0.42753045679339147</v>
      </c>
      <c r="N40" s="689">
        <f t="shared" ref="N40:N46" si="45">IF(F40=0,0,J40/F40)</f>
        <v>1</v>
      </c>
      <c r="O40" s="640"/>
      <c r="P40" s="498">
        <f>+' 2. Önk. Bevételek'!P30</f>
        <v>23166143</v>
      </c>
      <c r="Q40" s="73">
        <f>+' 2. Önk. Bevételek'!Q30</f>
        <v>21671302</v>
      </c>
      <c r="R40" s="73">
        <f>+' 2. Önk. Bevételek'!R30</f>
        <v>0</v>
      </c>
      <c r="S40" s="73">
        <f t="shared" si="41"/>
        <v>44837445</v>
      </c>
      <c r="T40" s="499"/>
      <c r="U40" s="74"/>
    </row>
    <row r="41" spans="1:21" x14ac:dyDescent="0.25">
      <c r="B41" s="56" t="str">
        <f t="shared" si="42"/>
        <v>Dr. Gáspár István HSZK</v>
      </c>
      <c r="C41" s="498"/>
      <c r="D41" s="73"/>
      <c r="E41" s="73"/>
      <c r="F41" s="459"/>
      <c r="G41" s="73"/>
      <c r="H41" s="498"/>
      <c r="I41" s="73"/>
      <c r="J41" s="73"/>
      <c r="K41" s="73"/>
      <c r="L41" s="650">
        <f t="shared" si="43"/>
        <v>0</v>
      </c>
      <c r="M41" s="650">
        <f t="shared" si="44"/>
        <v>0</v>
      </c>
      <c r="N41" s="689">
        <f t="shared" si="45"/>
        <v>0</v>
      </c>
      <c r="O41" s="632"/>
      <c r="P41" s="498"/>
      <c r="Q41" s="73"/>
      <c r="R41" s="73"/>
      <c r="S41" s="73">
        <f t="shared" si="41"/>
        <v>0</v>
      </c>
      <c r="T41" s="499"/>
      <c r="U41" s="74"/>
    </row>
    <row r="42" spans="1:21" x14ac:dyDescent="0.25">
      <c r="B42" s="56" t="str">
        <f t="shared" si="42"/>
        <v>SÜLYSÁPI CSICSERGŐ ÓVODA</v>
      </c>
      <c r="C42" s="498"/>
      <c r="D42" s="73"/>
      <c r="E42" s="73"/>
      <c r="F42" s="459"/>
      <c r="G42" s="73"/>
      <c r="H42" s="498"/>
      <c r="I42" s="73"/>
      <c r="J42" s="73"/>
      <c r="K42" s="73"/>
      <c r="L42" s="650">
        <f t="shared" si="43"/>
        <v>0</v>
      </c>
      <c r="M42" s="650">
        <f t="shared" si="44"/>
        <v>0</v>
      </c>
      <c r="N42" s="689">
        <f t="shared" si="45"/>
        <v>0</v>
      </c>
      <c r="O42" s="632"/>
      <c r="P42" s="498"/>
      <c r="Q42" s="73"/>
      <c r="R42" s="73"/>
      <c r="S42" s="73">
        <f t="shared" si="41"/>
        <v>0</v>
      </c>
      <c r="T42" s="499"/>
      <c r="U42" s="74"/>
    </row>
    <row r="43" spans="1:21" x14ac:dyDescent="0.25">
      <c r="B43" s="56" t="str">
        <f t="shared" si="42"/>
        <v>GÓLYAHÍR BÖLCSŐDE</v>
      </c>
      <c r="C43" s="498"/>
      <c r="D43" s="73"/>
      <c r="E43" s="73"/>
      <c r="F43" s="459"/>
      <c r="G43" s="73"/>
      <c r="H43" s="498"/>
      <c r="I43" s="73"/>
      <c r="J43" s="73"/>
      <c r="K43" s="73"/>
      <c r="L43" s="650">
        <f t="shared" si="43"/>
        <v>0</v>
      </c>
      <c r="M43" s="650">
        <f t="shared" si="44"/>
        <v>0</v>
      </c>
      <c r="N43" s="689">
        <f t="shared" si="45"/>
        <v>0</v>
      </c>
      <c r="O43" s="632"/>
      <c r="P43" s="498"/>
      <c r="Q43" s="73"/>
      <c r="R43" s="73"/>
      <c r="S43" s="73">
        <f t="shared" si="41"/>
        <v>0</v>
      </c>
      <c r="T43" s="499"/>
      <c r="U43" s="74"/>
    </row>
    <row r="44" spans="1:21" x14ac:dyDescent="0.25">
      <c r="B44" s="56" t="str">
        <f t="shared" si="42"/>
        <v>SÜLYSÁPI POLGÁRMESTERI HIVATAL</v>
      </c>
      <c r="C44" s="498"/>
      <c r="D44" s="73"/>
      <c r="E44" s="73"/>
      <c r="F44" s="459"/>
      <c r="G44" s="73"/>
      <c r="H44" s="498"/>
      <c r="I44" s="73"/>
      <c r="J44" s="73"/>
      <c r="K44" s="73"/>
      <c r="L44" s="650">
        <f t="shared" si="43"/>
        <v>0</v>
      </c>
      <c r="M44" s="650">
        <f t="shared" si="44"/>
        <v>0</v>
      </c>
      <c r="N44" s="689">
        <f t="shared" si="45"/>
        <v>0</v>
      </c>
      <c r="O44" s="632"/>
      <c r="P44" s="498"/>
      <c r="Q44" s="73"/>
      <c r="R44" s="73"/>
      <c r="S44" s="73">
        <f t="shared" si="41"/>
        <v>0</v>
      </c>
      <c r="T44" s="499"/>
      <c r="U44" s="74"/>
    </row>
    <row r="45" spans="1:21" x14ac:dyDescent="0.25">
      <c r="B45" s="56" t="str">
        <f t="shared" si="42"/>
        <v>Wass Albert Művelődési Központ és Könyvtár</v>
      </c>
      <c r="C45" s="498"/>
      <c r="D45" s="73"/>
      <c r="E45" s="73"/>
      <c r="F45" s="459">
        <f>+'8. WAMKK'!F95</f>
        <v>0</v>
      </c>
      <c r="G45" s="73"/>
      <c r="H45" s="498"/>
      <c r="I45" s="73"/>
      <c r="J45" s="73">
        <f>+'8. WAMKK'!J95</f>
        <v>10000000</v>
      </c>
      <c r="K45" s="73"/>
      <c r="L45" s="650">
        <f t="shared" si="43"/>
        <v>0</v>
      </c>
      <c r="M45" s="650">
        <f t="shared" si="44"/>
        <v>0</v>
      </c>
      <c r="N45" s="689">
        <f t="shared" si="45"/>
        <v>0</v>
      </c>
      <c r="O45" s="632"/>
      <c r="P45" s="498"/>
      <c r="Q45" s="73"/>
      <c r="R45" s="73"/>
      <c r="S45" s="73">
        <f t="shared" si="41"/>
        <v>0</v>
      </c>
      <c r="T45" s="499"/>
      <c r="U45" s="74"/>
    </row>
    <row r="46" spans="1:21" x14ac:dyDescent="0.25">
      <c r="B46" s="56" t="str">
        <f t="shared" si="42"/>
        <v>Központi Konyha</v>
      </c>
      <c r="C46" s="498"/>
      <c r="D46" s="73"/>
      <c r="E46" s="73"/>
      <c r="F46" s="459"/>
      <c r="G46" s="73"/>
      <c r="H46" s="498"/>
      <c r="I46" s="73"/>
      <c r="J46" s="73"/>
      <c r="K46" s="73"/>
      <c r="L46" s="650">
        <f t="shared" si="43"/>
        <v>0</v>
      </c>
      <c r="M46" s="650">
        <f t="shared" si="44"/>
        <v>0</v>
      </c>
      <c r="N46" s="689">
        <f t="shared" si="45"/>
        <v>0</v>
      </c>
      <c r="O46" s="632"/>
      <c r="P46" s="498"/>
      <c r="Q46" s="73"/>
      <c r="R46" s="73"/>
      <c r="S46" s="73">
        <f t="shared" si="41"/>
        <v>0</v>
      </c>
      <c r="T46" s="499"/>
      <c r="U46" s="74"/>
    </row>
    <row r="47" spans="1:21" ht="8.1" customHeight="1" x14ac:dyDescent="0.25">
      <c r="B47" s="383" t="s">
        <v>442</v>
      </c>
      <c r="C47" s="500"/>
      <c r="D47" s="382"/>
      <c r="E47" s="382"/>
      <c r="F47" s="511"/>
      <c r="G47" s="382"/>
      <c r="H47" s="500"/>
      <c r="I47" s="382"/>
      <c r="J47" s="382"/>
      <c r="K47" s="382"/>
      <c r="L47" s="690"/>
      <c r="M47" s="690"/>
      <c r="N47" s="691"/>
      <c r="O47" s="684"/>
      <c r="P47" s="500"/>
      <c r="Q47" s="382"/>
      <c r="R47" s="382"/>
      <c r="S47" s="382"/>
      <c r="T47" s="499"/>
      <c r="U47" s="74"/>
    </row>
    <row r="48" spans="1:21" x14ac:dyDescent="0.25">
      <c r="A48" s="384" t="str">
        <f>+A39</f>
        <v>B2</v>
      </c>
      <c r="B48" s="364" t="s">
        <v>436</v>
      </c>
      <c r="C48" s="501">
        <f>SUM(C40:C47)</f>
        <v>240330297</v>
      </c>
      <c r="D48" s="365">
        <f t="shared" ref="D48" si="46">SUM(D40:D47)</f>
        <v>263496440</v>
      </c>
      <c r="E48" s="365">
        <f t="shared" ref="E48" si="47">SUM(E40:E47)</f>
        <v>285167742</v>
      </c>
      <c r="F48" s="512">
        <f t="shared" ref="F48" si="48">SUM(F40:F47)</f>
        <v>203746174</v>
      </c>
      <c r="G48" s="365"/>
      <c r="H48" s="501">
        <f>SUM(H40:H47)</f>
        <v>46110402</v>
      </c>
      <c r="I48" s="365">
        <f t="shared" ref="I48" si="49">SUM(I40:I47)</f>
        <v>121917895</v>
      </c>
      <c r="J48" s="365">
        <f t="shared" ref="J48" si="50">SUM(J40:J47)</f>
        <v>213746174</v>
      </c>
      <c r="K48" s="365"/>
      <c r="L48" s="692">
        <f t="shared" ref="L48" si="51">IF(D48=0,0,H48/D48)</f>
        <v>0.17499440220141116</v>
      </c>
      <c r="M48" s="692">
        <f t="shared" ref="M48" si="52">IF(E48=0,0,I48/E48)</f>
        <v>0.42753045679339147</v>
      </c>
      <c r="N48" s="693">
        <f t="shared" ref="N48" si="53">IF(F48=0,0,J48/F48)</f>
        <v>1.0490806762339497</v>
      </c>
      <c r="O48" s="685"/>
      <c r="P48" s="501">
        <f>SUM(P40:P47)</f>
        <v>23166143</v>
      </c>
      <c r="Q48" s="365">
        <f t="shared" ref="Q48" si="54">SUM(Q40:Q47)</f>
        <v>21671302</v>
      </c>
      <c r="R48" s="365">
        <f t="shared" ref="R48" si="55">SUM(R40:R47)</f>
        <v>0</v>
      </c>
      <c r="S48" s="365">
        <f>+P48*P$8+Q48*Q$8+R48*R$8</f>
        <v>44837445</v>
      </c>
      <c r="T48" s="499"/>
      <c r="U48" s="74"/>
    </row>
    <row r="49" spans="1:21" x14ac:dyDescent="0.25">
      <c r="C49" s="498"/>
      <c r="D49" s="74"/>
      <c r="E49" s="74"/>
      <c r="F49" s="524"/>
      <c r="G49" s="74"/>
      <c r="H49" s="498"/>
      <c r="K49" s="74"/>
      <c r="L49" s="648"/>
      <c r="M49" s="648"/>
      <c r="N49" s="689"/>
      <c r="O49" s="640"/>
      <c r="P49" s="498"/>
      <c r="Q49" s="73"/>
      <c r="R49" s="73"/>
      <c r="S49" s="73"/>
      <c r="T49" s="499"/>
      <c r="U49" s="74"/>
    </row>
    <row r="50" spans="1:21" x14ac:dyDescent="0.25">
      <c r="C50" s="498"/>
      <c r="D50" s="74"/>
      <c r="E50" s="74"/>
      <c r="F50" s="524"/>
      <c r="G50" s="74"/>
      <c r="H50" s="498"/>
      <c r="K50" s="74"/>
      <c r="L50" s="648"/>
      <c r="M50" s="648"/>
      <c r="N50" s="689"/>
      <c r="O50" s="640"/>
      <c r="P50" s="498"/>
      <c r="Q50" s="73"/>
      <c r="R50" s="73"/>
      <c r="S50" s="73"/>
      <c r="T50" s="499"/>
      <c r="U50" s="74"/>
    </row>
    <row r="51" spans="1:21" x14ac:dyDescent="0.25">
      <c r="A51" s="320" t="s">
        <v>265</v>
      </c>
      <c r="B51" s="381" t="str">
        <f>+B15</f>
        <v>Közhatalmi bevételek</v>
      </c>
      <c r="C51" s="498"/>
      <c r="D51" s="74"/>
      <c r="E51" s="74"/>
      <c r="F51" s="524"/>
      <c r="G51" s="74"/>
      <c r="H51" s="498"/>
      <c r="K51" s="74"/>
      <c r="L51" s="648"/>
      <c r="M51" s="648"/>
      <c r="N51" s="689"/>
      <c r="O51" s="640"/>
      <c r="P51" s="498"/>
      <c r="Q51" s="73"/>
      <c r="R51" s="73"/>
      <c r="S51" s="73"/>
      <c r="T51" s="499"/>
      <c r="U51" s="74"/>
    </row>
    <row r="52" spans="1:21" x14ac:dyDescent="0.25">
      <c r="B52" s="56" t="str">
        <f t="shared" ref="B52:B58" si="56">+B40</f>
        <v>Sülysáp Város Önkormányzata</v>
      </c>
      <c r="C52" s="498">
        <f>+' 2. Önk. Bevételek'!C39</f>
        <v>132000000</v>
      </c>
      <c r="D52" s="73">
        <f>+' 2. Önk. Bevételek'!D39</f>
        <v>132000000</v>
      </c>
      <c r="E52" s="73">
        <f>+' 2. Önk. Bevételek'!E39</f>
        <v>132000000</v>
      </c>
      <c r="F52" s="459">
        <f>+' 2. Önk. Bevételek'!F39</f>
        <v>200000000</v>
      </c>
      <c r="G52" s="74"/>
      <c r="H52" s="498">
        <f>+' 2. Önk. Bevételek'!H39</f>
        <v>72544113</v>
      </c>
      <c r="I52" s="73">
        <f>+' 2. Önk. Bevételek'!I39</f>
        <v>185601504</v>
      </c>
      <c r="J52" s="73">
        <f>+' 2. Önk. Bevételek'!J39</f>
        <v>249032958</v>
      </c>
      <c r="K52" s="74"/>
      <c r="L52" s="650">
        <f t="shared" ref="L52:L58" si="57">IF(D52=0,0,H52/D52)</f>
        <v>0.54957661363636368</v>
      </c>
      <c r="M52" s="650">
        <f t="shared" ref="M52:M58" si="58">IF(E52=0,0,I52/E52)</f>
        <v>1.406072</v>
      </c>
      <c r="N52" s="689">
        <f t="shared" ref="N52:N58" si="59">IF(F52=0,0,J52/F52)</f>
        <v>1.24516479</v>
      </c>
      <c r="O52" s="640"/>
      <c r="P52" s="498">
        <f>+' 2. Önk. Bevételek'!P39</f>
        <v>0</v>
      </c>
      <c r="Q52" s="73">
        <f>+' 2. Önk. Bevételek'!Q39</f>
        <v>0</v>
      </c>
      <c r="R52" s="73">
        <f>+' 2. Önk. Bevételek'!R39</f>
        <v>0</v>
      </c>
      <c r="S52" s="73">
        <f t="shared" ref="S52:S58" si="60">+P52*P$8+Q52*Q$8+R52*R$8</f>
        <v>0</v>
      </c>
      <c r="T52" s="499"/>
      <c r="U52" s="74"/>
    </row>
    <row r="53" spans="1:21" x14ac:dyDescent="0.25">
      <c r="A53" s="56"/>
      <c r="B53" s="56" t="str">
        <f t="shared" si="56"/>
        <v>Dr. Gáspár István HSZK</v>
      </c>
      <c r="C53" s="498"/>
      <c r="D53" s="73"/>
      <c r="E53" s="73"/>
      <c r="F53" s="459"/>
      <c r="G53" s="73"/>
      <c r="H53" s="498"/>
      <c r="I53" s="73"/>
      <c r="J53" s="73"/>
      <c r="K53" s="73"/>
      <c r="L53" s="650">
        <f t="shared" si="57"/>
        <v>0</v>
      </c>
      <c r="M53" s="650">
        <f t="shared" si="58"/>
        <v>0</v>
      </c>
      <c r="N53" s="689">
        <f t="shared" si="59"/>
        <v>0</v>
      </c>
      <c r="O53" s="632"/>
      <c r="P53" s="498"/>
      <c r="Q53" s="73"/>
      <c r="R53" s="73"/>
      <c r="S53" s="73">
        <f t="shared" si="60"/>
        <v>0</v>
      </c>
      <c r="T53" s="499"/>
      <c r="U53" s="74"/>
    </row>
    <row r="54" spans="1:21" x14ac:dyDescent="0.25">
      <c r="B54" s="56" t="str">
        <f t="shared" si="56"/>
        <v>SÜLYSÁPI CSICSERGŐ ÓVODA</v>
      </c>
      <c r="C54" s="498"/>
      <c r="D54" s="73"/>
      <c r="E54" s="73"/>
      <c r="F54" s="459"/>
      <c r="G54" s="73"/>
      <c r="H54" s="498"/>
      <c r="I54" s="73"/>
      <c r="J54" s="73"/>
      <c r="K54" s="73"/>
      <c r="L54" s="650">
        <f t="shared" si="57"/>
        <v>0</v>
      </c>
      <c r="M54" s="650">
        <f t="shared" si="58"/>
        <v>0</v>
      </c>
      <c r="N54" s="689">
        <f t="shared" si="59"/>
        <v>0</v>
      </c>
      <c r="O54" s="632"/>
      <c r="P54" s="498"/>
      <c r="Q54" s="73"/>
      <c r="R54" s="73"/>
      <c r="S54" s="73">
        <f t="shared" si="60"/>
        <v>0</v>
      </c>
      <c r="T54" s="499"/>
      <c r="U54" s="74"/>
    </row>
    <row r="55" spans="1:21" x14ac:dyDescent="0.25">
      <c r="B55" s="56" t="str">
        <f t="shared" si="56"/>
        <v>GÓLYAHÍR BÖLCSŐDE</v>
      </c>
      <c r="C55" s="498"/>
      <c r="D55" s="73"/>
      <c r="E55" s="73"/>
      <c r="F55" s="459"/>
      <c r="G55" s="73"/>
      <c r="H55" s="498"/>
      <c r="I55" s="73"/>
      <c r="J55" s="73"/>
      <c r="K55" s="73"/>
      <c r="L55" s="650">
        <f t="shared" si="57"/>
        <v>0</v>
      </c>
      <c r="M55" s="650">
        <f t="shared" si="58"/>
        <v>0</v>
      </c>
      <c r="N55" s="689">
        <f t="shared" si="59"/>
        <v>0</v>
      </c>
      <c r="O55" s="632"/>
      <c r="P55" s="498"/>
      <c r="Q55" s="73"/>
      <c r="R55" s="73"/>
      <c r="S55" s="73">
        <f t="shared" si="60"/>
        <v>0</v>
      </c>
      <c r="T55" s="499"/>
      <c r="U55" s="74"/>
    </row>
    <row r="56" spans="1:21" x14ac:dyDescent="0.25">
      <c r="B56" s="56" t="str">
        <f t="shared" si="56"/>
        <v>SÜLYSÁPI POLGÁRMESTERI HIVATAL</v>
      </c>
      <c r="C56" s="498"/>
      <c r="D56" s="73"/>
      <c r="E56" s="73"/>
      <c r="F56" s="459"/>
      <c r="G56" s="73"/>
      <c r="H56" s="498"/>
      <c r="I56" s="73"/>
      <c r="J56" s="73"/>
      <c r="K56" s="73"/>
      <c r="L56" s="650">
        <f t="shared" si="57"/>
        <v>0</v>
      </c>
      <c r="M56" s="650">
        <f t="shared" si="58"/>
        <v>0</v>
      </c>
      <c r="N56" s="689">
        <f t="shared" si="59"/>
        <v>0</v>
      </c>
      <c r="O56" s="632"/>
      <c r="P56" s="498"/>
      <c r="Q56" s="73"/>
      <c r="R56" s="73"/>
      <c r="S56" s="73">
        <f t="shared" si="60"/>
        <v>0</v>
      </c>
      <c r="T56" s="499"/>
      <c r="U56" s="74"/>
    </row>
    <row r="57" spans="1:21" x14ac:dyDescent="0.25">
      <c r="B57" s="56" t="str">
        <f t="shared" si="56"/>
        <v>Wass Albert Művelődési Központ és Könyvtár</v>
      </c>
      <c r="C57" s="498"/>
      <c r="D57" s="73"/>
      <c r="E57" s="73"/>
      <c r="F57" s="459"/>
      <c r="G57" s="73"/>
      <c r="H57" s="498"/>
      <c r="I57" s="73"/>
      <c r="J57" s="73"/>
      <c r="K57" s="73"/>
      <c r="L57" s="650">
        <f t="shared" si="57"/>
        <v>0</v>
      </c>
      <c r="M57" s="650">
        <f t="shared" si="58"/>
        <v>0</v>
      </c>
      <c r="N57" s="689">
        <f t="shared" si="59"/>
        <v>0</v>
      </c>
      <c r="O57" s="632"/>
      <c r="P57" s="498"/>
      <c r="Q57" s="73"/>
      <c r="R57" s="73"/>
      <c r="S57" s="73">
        <f t="shared" si="60"/>
        <v>0</v>
      </c>
      <c r="T57" s="499"/>
      <c r="U57" s="74"/>
    </row>
    <row r="58" spans="1:21" x14ac:dyDescent="0.25">
      <c r="B58" s="56" t="str">
        <f t="shared" si="56"/>
        <v>Központi Konyha</v>
      </c>
      <c r="C58" s="498"/>
      <c r="D58" s="73"/>
      <c r="E58" s="73"/>
      <c r="F58" s="459"/>
      <c r="G58" s="73"/>
      <c r="H58" s="498"/>
      <c r="I58" s="73"/>
      <c r="J58" s="73"/>
      <c r="K58" s="73"/>
      <c r="L58" s="650">
        <f t="shared" si="57"/>
        <v>0</v>
      </c>
      <c r="M58" s="650">
        <f t="shared" si="58"/>
        <v>0</v>
      </c>
      <c r="N58" s="689">
        <f t="shared" si="59"/>
        <v>0</v>
      </c>
      <c r="O58" s="632"/>
      <c r="P58" s="498"/>
      <c r="Q58" s="73"/>
      <c r="R58" s="73"/>
      <c r="S58" s="73">
        <f t="shared" si="60"/>
        <v>0</v>
      </c>
      <c r="T58" s="499"/>
      <c r="U58" s="74"/>
    </row>
    <row r="59" spans="1:21" ht="8.1" customHeight="1" x14ac:dyDescent="0.25">
      <c r="B59" s="383" t="s">
        <v>442</v>
      </c>
      <c r="C59" s="500"/>
      <c r="D59" s="382"/>
      <c r="E59" s="382"/>
      <c r="F59" s="511"/>
      <c r="G59" s="382"/>
      <c r="H59" s="500"/>
      <c r="I59" s="382"/>
      <c r="J59" s="382"/>
      <c r="K59" s="382"/>
      <c r="L59" s="690"/>
      <c r="M59" s="690"/>
      <c r="N59" s="691"/>
      <c r="O59" s="684"/>
      <c r="P59" s="500"/>
      <c r="Q59" s="382"/>
      <c r="R59" s="382"/>
      <c r="S59" s="382"/>
      <c r="T59" s="499"/>
      <c r="U59" s="74"/>
    </row>
    <row r="60" spans="1:21" x14ac:dyDescent="0.25">
      <c r="A60" s="384" t="str">
        <f>+A51</f>
        <v>B3</v>
      </c>
      <c r="B60" s="364" t="s">
        <v>436</v>
      </c>
      <c r="C60" s="501">
        <f>SUM(C52:C59)</f>
        <v>132000000</v>
      </c>
      <c r="D60" s="365">
        <f t="shared" ref="D60:F60" si="61">SUM(D52:D59)</f>
        <v>132000000</v>
      </c>
      <c r="E60" s="365">
        <f t="shared" si="61"/>
        <v>132000000</v>
      </c>
      <c r="F60" s="512">
        <f t="shared" si="61"/>
        <v>200000000</v>
      </c>
      <c r="G60" s="365"/>
      <c r="H60" s="501">
        <f>SUM(H52:H59)</f>
        <v>72544113</v>
      </c>
      <c r="I60" s="365">
        <f t="shared" ref="I60:J60" si="62">SUM(I52:I59)</f>
        <v>185601504</v>
      </c>
      <c r="J60" s="365">
        <f t="shared" si="62"/>
        <v>249032958</v>
      </c>
      <c r="K60" s="365"/>
      <c r="L60" s="692">
        <f t="shared" ref="L60" si="63">IF(D60=0,0,H60/D60)</f>
        <v>0.54957661363636368</v>
      </c>
      <c r="M60" s="692">
        <f t="shared" ref="M60" si="64">IF(E60=0,0,I60/E60)</f>
        <v>1.406072</v>
      </c>
      <c r="N60" s="693">
        <f t="shared" ref="N60" si="65">IF(F60=0,0,J60/F60)</f>
        <v>1.24516479</v>
      </c>
      <c r="O60" s="685"/>
      <c r="P60" s="501">
        <f>SUM(P52:P59)</f>
        <v>0</v>
      </c>
      <c r="Q60" s="365">
        <f t="shared" ref="Q60:R60" si="66">SUM(Q52:Q59)</f>
        <v>0</v>
      </c>
      <c r="R60" s="365">
        <f t="shared" si="66"/>
        <v>0</v>
      </c>
      <c r="S60" s="365">
        <f>+P60*P$8+Q60*Q$8+R60*R$8</f>
        <v>0</v>
      </c>
      <c r="T60" s="499"/>
      <c r="U60" s="74"/>
    </row>
    <row r="61" spans="1:21" x14ac:dyDescent="0.25">
      <c r="C61" s="498"/>
      <c r="D61" s="74"/>
      <c r="E61" s="74"/>
      <c r="F61" s="524"/>
      <c r="G61" s="74"/>
      <c r="H61" s="498"/>
      <c r="K61" s="74"/>
      <c r="L61" s="648"/>
      <c r="M61" s="648"/>
      <c r="N61" s="689"/>
      <c r="O61" s="640"/>
      <c r="P61" s="498"/>
      <c r="Q61" s="73"/>
      <c r="R61" s="73"/>
      <c r="S61" s="73"/>
      <c r="T61" s="499"/>
      <c r="U61" s="74"/>
    </row>
    <row r="62" spans="1:21" x14ac:dyDescent="0.25">
      <c r="C62" s="498"/>
      <c r="D62" s="74"/>
      <c r="E62" s="74"/>
      <c r="F62" s="524"/>
      <c r="G62" s="74"/>
      <c r="H62" s="498"/>
      <c r="K62" s="74"/>
      <c r="L62" s="648"/>
      <c r="M62" s="648"/>
      <c r="N62" s="689"/>
      <c r="O62" s="640"/>
      <c r="P62" s="498"/>
      <c r="Q62" s="73"/>
      <c r="R62" s="73"/>
      <c r="S62" s="73"/>
      <c r="T62" s="499"/>
      <c r="U62" s="74"/>
    </row>
    <row r="63" spans="1:21" x14ac:dyDescent="0.25">
      <c r="A63" s="320" t="s">
        <v>278</v>
      </c>
      <c r="B63" s="320" t="str">
        <f>+B16</f>
        <v>Működési bevételek</v>
      </c>
      <c r="C63" s="498"/>
      <c r="D63" s="74"/>
      <c r="E63" s="74"/>
      <c r="F63" s="524"/>
      <c r="G63" s="74"/>
      <c r="H63" s="498"/>
      <c r="K63" s="74"/>
      <c r="L63" s="648"/>
      <c r="M63" s="648"/>
      <c r="N63" s="689"/>
      <c r="O63" s="640"/>
      <c r="P63" s="498"/>
      <c r="Q63" s="73"/>
      <c r="R63" s="73"/>
      <c r="S63" s="73"/>
      <c r="T63" s="499"/>
      <c r="U63" s="74"/>
    </row>
    <row r="64" spans="1:21" x14ac:dyDescent="0.25">
      <c r="B64" s="56" t="str">
        <f t="shared" ref="B64:B70" si="67">+B52</f>
        <v>Sülysáp Város Önkormányzata</v>
      </c>
      <c r="C64" s="498">
        <f>+' 2. Önk. Bevételek'!C50</f>
        <v>52520000</v>
      </c>
      <c r="D64" s="73">
        <f>+' 2. Önk. Bevételek'!D50</f>
        <v>50020000</v>
      </c>
      <c r="E64" s="73">
        <f>+' 2. Önk. Bevételek'!E50</f>
        <v>50020000</v>
      </c>
      <c r="F64" s="459">
        <f>+' 2. Önk. Bevételek'!F50</f>
        <v>58258577</v>
      </c>
      <c r="G64" s="74"/>
      <c r="H64" s="498">
        <f>+' 2. Önk. Bevételek'!H50</f>
        <v>28607944</v>
      </c>
      <c r="I64" s="73">
        <f>+' 2. Önk. Bevételek'!I50</f>
        <v>46045888</v>
      </c>
      <c r="J64" s="73">
        <f>+' 2. Önk. Bevételek'!J50</f>
        <v>62674045</v>
      </c>
      <c r="K64" s="74"/>
      <c r="L64" s="650">
        <f t="shared" ref="L64:L70" si="68">IF(D64=0,0,H64/D64)</f>
        <v>0.57193010795681731</v>
      </c>
      <c r="M64" s="650">
        <f t="shared" ref="M64:M70" si="69">IF(E64=0,0,I64/E64)</f>
        <v>0.92054954018392643</v>
      </c>
      <c r="N64" s="689">
        <f t="shared" ref="N64:N70" si="70">IF(F64=0,0,J64/F64)</f>
        <v>1.0757908659526647</v>
      </c>
      <c r="O64" s="640"/>
      <c r="P64" s="498">
        <f>+' 2. Önk. Bevételek'!P50</f>
        <v>-2500000.0000000005</v>
      </c>
      <c r="Q64" s="73">
        <f>+' 2. Önk. Bevételek'!Q50</f>
        <v>0</v>
      </c>
      <c r="R64" s="73">
        <f>+' 2. Önk. Bevételek'!R50</f>
        <v>0</v>
      </c>
      <c r="S64" s="73">
        <f t="shared" ref="S64:S70" si="71">+P64*P$8+Q64*Q$8+R64*R$8</f>
        <v>-2500000.0000000005</v>
      </c>
      <c r="T64" s="499"/>
      <c r="U64" s="74"/>
    </row>
    <row r="65" spans="1:21" x14ac:dyDescent="0.25">
      <c r="A65" s="56"/>
      <c r="B65" s="56" t="str">
        <f t="shared" si="67"/>
        <v>Dr. Gáspár István HSZK</v>
      </c>
      <c r="C65" s="498">
        <f>+'4. Dr Gáspár HSZK'!C95</f>
        <v>6305000</v>
      </c>
      <c r="D65" s="73">
        <f>+'4. Dr Gáspár HSZK'!D95</f>
        <v>6305000</v>
      </c>
      <c r="E65" s="73">
        <f>+'4. Dr Gáspár HSZK'!E95</f>
        <v>6305000</v>
      </c>
      <c r="F65" s="459">
        <f>+'4. Dr Gáspár HSZK'!F95</f>
        <v>6305000</v>
      </c>
      <c r="G65" s="73"/>
      <c r="H65" s="498">
        <f>+'4. Dr Gáspár HSZK'!H95</f>
        <v>3822258</v>
      </c>
      <c r="I65" s="73">
        <f>+'4. Dr Gáspár HSZK'!I95</f>
        <v>5258763</v>
      </c>
      <c r="J65" s="73">
        <f>+'4. Dr Gáspár HSZK'!J95</f>
        <v>7507799</v>
      </c>
      <c r="K65" s="73"/>
      <c r="L65" s="650">
        <f t="shared" si="68"/>
        <v>0.60622648691514669</v>
      </c>
      <c r="M65" s="650">
        <f t="shared" si="69"/>
        <v>0.83406233148295006</v>
      </c>
      <c r="N65" s="689">
        <f t="shared" si="70"/>
        <v>1.1907690721649484</v>
      </c>
      <c r="O65" s="632"/>
      <c r="P65" s="498">
        <f>+'4. Dr Gáspár HSZK'!P95</f>
        <v>0</v>
      </c>
      <c r="Q65" s="73">
        <f>+'4. Dr Gáspár HSZK'!Q95</f>
        <v>0</v>
      </c>
      <c r="R65" s="73">
        <f>+'4. Dr Gáspár HSZK'!R95</f>
        <v>0</v>
      </c>
      <c r="S65" s="73">
        <f t="shared" si="71"/>
        <v>0</v>
      </c>
      <c r="T65" s="499"/>
      <c r="U65" s="74"/>
    </row>
    <row r="66" spans="1:21" x14ac:dyDescent="0.25">
      <c r="B66" s="56" t="str">
        <f t="shared" si="67"/>
        <v>SÜLYSÁPI CSICSERGŐ ÓVODA</v>
      </c>
      <c r="C66" s="498">
        <f>+'5. Csicsergő'!C95</f>
        <v>5000</v>
      </c>
      <c r="D66" s="73">
        <f>+'5. Csicsergő'!D95</f>
        <v>5000</v>
      </c>
      <c r="E66" s="73">
        <f>+'5. Csicsergő'!E95</f>
        <v>5000</v>
      </c>
      <c r="F66" s="459">
        <f>+'5. Csicsergő'!F95</f>
        <v>5000</v>
      </c>
      <c r="G66" s="73"/>
      <c r="H66" s="498">
        <f>+'5. Csicsergő'!H95</f>
        <v>2592</v>
      </c>
      <c r="I66" s="73">
        <f>+'5. Csicsergő'!I95</f>
        <v>3123</v>
      </c>
      <c r="J66" s="73">
        <f>+'5. Csicsergő'!J95</f>
        <v>3782</v>
      </c>
      <c r="K66" s="73"/>
      <c r="L66" s="650">
        <f t="shared" si="68"/>
        <v>0.51839999999999997</v>
      </c>
      <c r="M66" s="650">
        <f t="shared" si="69"/>
        <v>0.62460000000000004</v>
      </c>
      <c r="N66" s="689">
        <f t="shared" si="70"/>
        <v>0.75639999999999996</v>
      </c>
      <c r="O66" s="632"/>
      <c r="P66" s="498">
        <f>+'5. Csicsergő'!P95</f>
        <v>0</v>
      </c>
      <c r="Q66" s="73">
        <f>+'5. Csicsergő'!Q95</f>
        <v>0</v>
      </c>
      <c r="R66" s="73">
        <f>+'5. Csicsergő'!R95</f>
        <v>0</v>
      </c>
      <c r="S66" s="73">
        <f t="shared" si="71"/>
        <v>0</v>
      </c>
      <c r="T66" s="499"/>
      <c r="U66" s="74"/>
    </row>
    <row r="67" spans="1:21" x14ac:dyDescent="0.25">
      <c r="B67" s="56" t="str">
        <f t="shared" si="67"/>
        <v>GÓLYAHÍR BÖLCSŐDE</v>
      </c>
      <c r="C67" s="498">
        <f>+'6. Gólyahír'!C95</f>
        <v>4110000</v>
      </c>
      <c r="D67" s="73">
        <f>+'6. Gólyahír'!D95</f>
        <v>4110000</v>
      </c>
      <c r="E67" s="73">
        <f>+'6. Gólyahír'!E95</f>
        <v>4110000</v>
      </c>
      <c r="F67" s="459">
        <f>+'6. Gólyahír'!F95</f>
        <v>4110000</v>
      </c>
      <c r="G67" s="73"/>
      <c r="H67" s="498">
        <f>+'6. Gólyahír'!H95</f>
        <v>1848067</v>
      </c>
      <c r="I67" s="73">
        <f>+'6. Gólyahír'!I95</f>
        <v>2946484</v>
      </c>
      <c r="J67" s="73">
        <f>+'6. Gólyahír'!J95</f>
        <v>4421197</v>
      </c>
      <c r="K67" s="73"/>
      <c r="L67" s="650">
        <f t="shared" si="68"/>
        <v>0.44965133819951336</v>
      </c>
      <c r="M67" s="650">
        <f t="shared" si="69"/>
        <v>0.71690608272506084</v>
      </c>
      <c r="N67" s="689">
        <f t="shared" si="70"/>
        <v>1.0757170316301703</v>
      </c>
      <c r="O67" s="632"/>
      <c r="P67" s="498">
        <f>+'6. Gólyahír'!P95</f>
        <v>0</v>
      </c>
      <c r="Q67" s="73">
        <f>+'6. Gólyahír'!Q95</f>
        <v>0</v>
      </c>
      <c r="R67" s="73">
        <f>+'6. Gólyahír'!R95</f>
        <v>0</v>
      </c>
      <c r="S67" s="73">
        <f t="shared" si="71"/>
        <v>0</v>
      </c>
      <c r="T67" s="499"/>
      <c r="U67" s="74"/>
    </row>
    <row r="68" spans="1:21" x14ac:dyDescent="0.25">
      <c r="B68" s="56" t="str">
        <f t="shared" si="67"/>
        <v>SÜLYSÁPI POLGÁRMESTERI HIVATAL</v>
      </c>
      <c r="C68" s="498">
        <f>+'7. Polg.Hiv.'!C95</f>
        <v>10000</v>
      </c>
      <c r="D68" s="73">
        <f>+'7. Polg.Hiv.'!D95</f>
        <v>10000</v>
      </c>
      <c r="E68" s="73">
        <f>+'7. Polg.Hiv.'!E95</f>
        <v>10000</v>
      </c>
      <c r="F68" s="459">
        <f>+'7. Polg.Hiv.'!F95</f>
        <v>10000</v>
      </c>
      <c r="G68" s="73"/>
      <c r="H68" s="498">
        <f>+'7. Polg.Hiv.'!H95</f>
        <v>1038</v>
      </c>
      <c r="I68" s="73">
        <f>+'7. Polg.Hiv.'!I95</f>
        <v>953352</v>
      </c>
      <c r="J68" s="73">
        <f>+'7. Polg.Hiv.'!J95</f>
        <v>2927</v>
      </c>
      <c r="K68" s="73"/>
      <c r="L68" s="650">
        <f t="shared" si="68"/>
        <v>0.1038</v>
      </c>
      <c r="M68" s="650">
        <f t="shared" si="69"/>
        <v>95.3352</v>
      </c>
      <c r="N68" s="689">
        <f t="shared" si="70"/>
        <v>0.29270000000000002</v>
      </c>
      <c r="O68" s="632"/>
      <c r="P68" s="498">
        <f>+'7. Polg.Hiv.'!P95</f>
        <v>0</v>
      </c>
      <c r="Q68" s="73">
        <f>+'7. Polg.Hiv.'!Q95</f>
        <v>0</v>
      </c>
      <c r="R68" s="73">
        <f>+'7. Polg.Hiv.'!R95</f>
        <v>0</v>
      </c>
      <c r="S68" s="73">
        <f t="shared" si="71"/>
        <v>0</v>
      </c>
      <c r="T68" s="499"/>
      <c r="U68" s="74"/>
    </row>
    <row r="69" spans="1:21" x14ac:dyDescent="0.25">
      <c r="B69" s="56" t="str">
        <f t="shared" si="67"/>
        <v>Wass Albert Művelődési Központ és Könyvtár</v>
      </c>
      <c r="C69" s="498">
        <f>+'8. WAMKK'!C97</f>
        <v>1521000</v>
      </c>
      <c r="D69" s="73">
        <f>+'8. WAMKK'!D97</f>
        <v>1521000</v>
      </c>
      <c r="E69" s="73">
        <f>+'8. WAMKK'!E97</f>
        <v>1521000</v>
      </c>
      <c r="F69" s="459">
        <f>+'8. WAMKK'!F97</f>
        <v>1521000</v>
      </c>
      <c r="G69" s="73"/>
      <c r="H69" s="498">
        <f>+'8. WAMKK'!H97</f>
        <v>132139</v>
      </c>
      <c r="I69" s="73">
        <f>+'8. WAMKK'!I97</f>
        <v>421112</v>
      </c>
      <c r="J69" s="73">
        <f>+'8. WAMKK'!J97</f>
        <v>868446</v>
      </c>
      <c r="K69" s="73"/>
      <c r="L69" s="650">
        <f t="shared" si="68"/>
        <v>8.6876397107166339E-2</v>
      </c>
      <c r="M69" s="650">
        <f t="shared" si="69"/>
        <v>0.27686522024983562</v>
      </c>
      <c r="N69" s="689">
        <f t="shared" si="70"/>
        <v>0.57097041420118344</v>
      </c>
      <c r="O69" s="632"/>
      <c r="P69" s="498">
        <f>+'8. WAMKK'!P97</f>
        <v>0</v>
      </c>
      <c r="Q69" s="73">
        <f>+'8. WAMKK'!Q97</f>
        <v>0</v>
      </c>
      <c r="R69" s="73">
        <f>+'8. WAMKK'!R97</f>
        <v>0</v>
      </c>
      <c r="S69" s="73">
        <f t="shared" si="71"/>
        <v>0</v>
      </c>
      <c r="T69" s="499"/>
      <c r="U69" s="74"/>
    </row>
    <row r="70" spans="1:21" x14ac:dyDescent="0.25">
      <c r="B70" s="56" t="str">
        <f t="shared" si="67"/>
        <v>Központi Konyha</v>
      </c>
      <c r="C70" s="498">
        <f>+'9. Közp. Konyha'!C95</f>
        <v>26680000</v>
      </c>
      <c r="D70" s="73">
        <f>+'9. Közp. Konyha'!D95</f>
        <v>26680000</v>
      </c>
      <c r="E70" s="73">
        <f>+'9. Közp. Konyha'!E95</f>
        <v>26680000</v>
      </c>
      <c r="F70" s="459">
        <f>+'9. Közp. Konyha'!F95</f>
        <v>26680000</v>
      </c>
      <c r="G70" s="73"/>
      <c r="H70" s="498">
        <f>+'9. Közp. Konyha'!H95</f>
        <v>16394285</v>
      </c>
      <c r="I70" s="73">
        <f>+'9. Közp. Konyha'!I95</f>
        <v>23234984</v>
      </c>
      <c r="J70" s="73">
        <f>+'9. Közp. Konyha'!J95</f>
        <v>33569216</v>
      </c>
      <c r="K70" s="73"/>
      <c r="L70" s="650">
        <f t="shared" si="68"/>
        <v>0.61447844827586207</v>
      </c>
      <c r="M70" s="650">
        <f t="shared" si="69"/>
        <v>0.87087646176911548</v>
      </c>
      <c r="N70" s="689">
        <f t="shared" si="70"/>
        <v>1.258216491754123</v>
      </c>
      <c r="O70" s="632"/>
      <c r="P70" s="498">
        <f>+'9. Közp. Konyha'!P95</f>
        <v>0</v>
      </c>
      <c r="Q70" s="73">
        <f>+'9. Közp. Konyha'!Q95</f>
        <v>0</v>
      </c>
      <c r="R70" s="73">
        <f>+'9. Közp. Konyha'!R95</f>
        <v>0</v>
      </c>
      <c r="S70" s="73">
        <f t="shared" si="71"/>
        <v>0</v>
      </c>
      <c r="T70" s="499"/>
      <c r="U70" s="74"/>
    </row>
    <row r="71" spans="1:21" ht="8.1" customHeight="1" x14ac:dyDescent="0.25">
      <c r="B71" s="383" t="s">
        <v>442</v>
      </c>
      <c r="C71" s="500"/>
      <c r="D71" s="382"/>
      <c r="E71" s="382"/>
      <c r="F71" s="511"/>
      <c r="G71" s="382"/>
      <c r="H71" s="500"/>
      <c r="I71" s="382"/>
      <c r="J71" s="382"/>
      <c r="K71" s="382"/>
      <c r="L71" s="690"/>
      <c r="M71" s="690"/>
      <c r="N71" s="691"/>
      <c r="O71" s="684"/>
      <c r="P71" s="500"/>
      <c r="Q71" s="382"/>
      <c r="R71" s="382"/>
      <c r="S71" s="382"/>
      <c r="T71" s="499"/>
      <c r="U71" s="74"/>
    </row>
    <row r="72" spans="1:21" x14ac:dyDescent="0.25">
      <c r="A72" s="384" t="str">
        <f>+A63</f>
        <v>B4</v>
      </c>
      <c r="B72" s="364" t="s">
        <v>436</v>
      </c>
      <c r="C72" s="501">
        <f>SUM(C64:C71)</f>
        <v>91151000</v>
      </c>
      <c r="D72" s="365">
        <f t="shared" ref="D72" si="72">SUM(D64:D71)</f>
        <v>88651000</v>
      </c>
      <c r="E72" s="365">
        <f t="shared" ref="E72" si="73">SUM(E64:E71)</f>
        <v>88651000</v>
      </c>
      <c r="F72" s="512">
        <f t="shared" ref="F72" si="74">SUM(F64:F71)</f>
        <v>96889577</v>
      </c>
      <c r="G72" s="365"/>
      <c r="H72" s="501">
        <f>SUM(H64:H71)</f>
        <v>50808323</v>
      </c>
      <c r="I72" s="365">
        <f t="shared" ref="I72" si="75">SUM(I64:I71)</f>
        <v>78863706</v>
      </c>
      <c r="J72" s="365">
        <f t="shared" ref="J72" si="76">SUM(J64:J71)</f>
        <v>109047412</v>
      </c>
      <c r="K72" s="365"/>
      <c r="L72" s="692">
        <f t="shared" ref="L72" si="77">IF(D72=0,0,H72/D72)</f>
        <v>0.57312746613123366</v>
      </c>
      <c r="M72" s="692">
        <f t="shared" ref="M72" si="78">IF(E72=0,0,I72/E72)</f>
        <v>0.889597477749828</v>
      </c>
      <c r="N72" s="693">
        <f t="shared" ref="N72" si="79">IF(F72=0,0,J72/F72)</f>
        <v>1.1254813507958652</v>
      </c>
      <c r="O72" s="685"/>
      <c r="P72" s="501">
        <f>SUM(P64:P71)</f>
        <v>-2500000.0000000005</v>
      </c>
      <c r="Q72" s="365">
        <f t="shared" ref="Q72" si="80">SUM(Q64:Q71)</f>
        <v>0</v>
      </c>
      <c r="R72" s="365">
        <f t="shared" ref="R72" si="81">SUM(R64:R71)</f>
        <v>0</v>
      </c>
      <c r="S72" s="365">
        <f>+P72*P$8+Q72*Q$8+R72*R$8</f>
        <v>-2500000.0000000005</v>
      </c>
      <c r="T72" s="499"/>
      <c r="U72" s="74"/>
    </row>
    <row r="73" spans="1:21" x14ac:dyDescent="0.25">
      <c r="C73" s="502"/>
      <c r="F73" s="457"/>
      <c r="H73" s="502"/>
      <c r="L73" s="650"/>
      <c r="M73" s="650"/>
      <c r="N73" s="689"/>
      <c r="O73" s="633"/>
      <c r="P73" s="502"/>
      <c r="T73" s="499"/>
    </row>
    <row r="74" spans="1:21" x14ac:dyDescent="0.25">
      <c r="C74" s="502"/>
      <c r="F74" s="457"/>
      <c r="H74" s="502"/>
      <c r="L74" s="650"/>
      <c r="M74" s="650"/>
      <c r="N74" s="689"/>
      <c r="O74" s="633"/>
      <c r="P74" s="502"/>
      <c r="T74" s="499"/>
    </row>
    <row r="75" spans="1:21" x14ac:dyDescent="0.25">
      <c r="A75" s="320" t="s">
        <v>304</v>
      </c>
      <c r="B75" s="320" t="str">
        <f>+B17</f>
        <v>Felhalmozási bevételek</v>
      </c>
      <c r="C75" s="498"/>
      <c r="D75" s="74"/>
      <c r="E75" s="74"/>
      <c r="F75" s="524"/>
      <c r="G75" s="74"/>
      <c r="H75" s="498"/>
      <c r="K75" s="74"/>
      <c r="L75" s="648"/>
      <c r="M75" s="648"/>
      <c r="N75" s="689"/>
      <c r="O75" s="640"/>
      <c r="P75" s="498"/>
      <c r="Q75" s="73"/>
      <c r="R75" s="73"/>
      <c r="S75" s="73"/>
      <c r="T75" s="499"/>
      <c r="U75" s="74"/>
    </row>
    <row r="76" spans="1:21" x14ac:dyDescent="0.25">
      <c r="B76" s="56" t="str">
        <f t="shared" ref="B76:B82" si="82">+B64</f>
        <v>Sülysáp Város Önkormányzata</v>
      </c>
      <c r="C76" s="498">
        <f>+' 2. Önk. Bevételek'!C67</f>
        <v>90845000</v>
      </c>
      <c r="D76" s="73">
        <f>+' 2. Önk. Bevételek'!D67</f>
        <v>90845000</v>
      </c>
      <c r="E76" s="73">
        <f>+' 2. Önk. Bevételek'!E67</f>
        <v>90845000</v>
      </c>
      <c r="F76" s="459">
        <f>+' 2. Önk. Bevételek'!F67</f>
        <v>64227622</v>
      </c>
      <c r="G76" s="74"/>
      <c r="H76" s="498">
        <f>+' 2. Önk. Bevételek'!H67</f>
        <v>1169292</v>
      </c>
      <c r="I76" s="73">
        <f>+' 2. Önk. Bevételek'!I67</f>
        <v>1753938</v>
      </c>
      <c r="J76" s="73">
        <f>+' 2. Önk. Bevételek'!J67</f>
        <v>54413978</v>
      </c>
      <c r="K76" s="74"/>
      <c r="L76" s="650">
        <f t="shared" ref="L76:L82" si="83">IF(D76=0,0,H76/D76)</f>
        <v>1.2871286256811052E-2</v>
      </c>
      <c r="M76" s="650">
        <f t="shared" ref="M76:M82" si="84">IF(E76=0,0,I76/E76)</f>
        <v>1.9306929385216578E-2</v>
      </c>
      <c r="N76" s="689">
        <f t="shared" ref="N76:N82" si="85">IF(F76=0,0,J76/F76)</f>
        <v>0.84720524138352815</v>
      </c>
      <c r="O76" s="640"/>
      <c r="P76" s="498">
        <f>+' 2. Önk. Bevételek'!P67</f>
        <v>0</v>
      </c>
      <c r="Q76" s="73">
        <f>+' 2. Önk. Bevételek'!Q67</f>
        <v>0</v>
      </c>
      <c r="R76" s="73">
        <f>+' 2. Önk. Bevételek'!R67</f>
        <v>0</v>
      </c>
      <c r="S76" s="73">
        <f t="shared" ref="S76:S82" si="86">+P76*P$8+Q76*Q$8+R76*R$8</f>
        <v>0</v>
      </c>
      <c r="T76" s="499"/>
      <c r="U76" s="74"/>
    </row>
    <row r="77" spans="1:21" x14ac:dyDescent="0.25">
      <c r="A77" s="56"/>
      <c r="B77" s="56" t="str">
        <f t="shared" si="82"/>
        <v>Dr. Gáspár István HSZK</v>
      </c>
      <c r="C77" s="498"/>
      <c r="D77" s="73"/>
      <c r="E77" s="73"/>
      <c r="F77" s="459"/>
      <c r="G77" s="73"/>
      <c r="H77" s="498"/>
      <c r="I77" s="73"/>
      <c r="J77" s="73"/>
      <c r="K77" s="73"/>
      <c r="L77" s="650">
        <f t="shared" si="83"/>
        <v>0</v>
      </c>
      <c r="M77" s="650">
        <f t="shared" si="84"/>
        <v>0</v>
      </c>
      <c r="N77" s="689">
        <f t="shared" si="85"/>
        <v>0</v>
      </c>
      <c r="O77" s="632"/>
      <c r="P77" s="498"/>
      <c r="Q77" s="73"/>
      <c r="R77" s="73"/>
      <c r="S77" s="73">
        <f t="shared" si="86"/>
        <v>0</v>
      </c>
      <c r="T77" s="499"/>
      <c r="U77" s="74"/>
    </row>
    <row r="78" spans="1:21" x14ac:dyDescent="0.25">
      <c r="B78" s="56" t="str">
        <f t="shared" si="82"/>
        <v>SÜLYSÁPI CSICSERGŐ ÓVODA</v>
      </c>
      <c r="C78" s="498"/>
      <c r="D78" s="73"/>
      <c r="E78" s="73"/>
      <c r="F78" s="459"/>
      <c r="G78" s="73"/>
      <c r="H78" s="498"/>
      <c r="I78" s="73"/>
      <c r="J78" s="73"/>
      <c r="K78" s="73"/>
      <c r="L78" s="650">
        <f t="shared" si="83"/>
        <v>0</v>
      </c>
      <c r="M78" s="650">
        <f t="shared" si="84"/>
        <v>0</v>
      </c>
      <c r="N78" s="689">
        <f t="shared" si="85"/>
        <v>0</v>
      </c>
      <c r="O78" s="632"/>
      <c r="P78" s="498"/>
      <c r="Q78" s="73"/>
      <c r="R78" s="73"/>
      <c r="S78" s="73">
        <f t="shared" si="86"/>
        <v>0</v>
      </c>
      <c r="T78" s="499"/>
      <c r="U78" s="74"/>
    </row>
    <row r="79" spans="1:21" x14ac:dyDescent="0.25">
      <c r="B79" s="56" t="str">
        <f t="shared" si="82"/>
        <v>GÓLYAHÍR BÖLCSŐDE</v>
      </c>
      <c r="C79" s="498"/>
      <c r="D79" s="73"/>
      <c r="E79" s="73"/>
      <c r="F79" s="459"/>
      <c r="G79" s="73"/>
      <c r="H79" s="498"/>
      <c r="I79" s="73"/>
      <c r="J79" s="73"/>
      <c r="K79" s="73"/>
      <c r="L79" s="650">
        <f t="shared" si="83"/>
        <v>0</v>
      </c>
      <c r="M79" s="650">
        <f t="shared" si="84"/>
        <v>0</v>
      </c>
      <c r="N79" s="689">
        <f t="shared" si="85"/>
        <v>0</v>
      </c>
      <c r="O79" s="632"/>
      <c r="P79" s="498"/>
      <c r="Q79" s="73"/>
      <c r="R79" s="73"/>
      <c r="S79" s="73">
        <f t="shared" si="86"/>
        <v>0</v>
      </c>
      <c r="T79" s="499"/>
      <c r="U79" s="74"/>
    </row>
    <row r="80" spans="1:21" x14ac:dyDescent="0.25">
      <c r="B80" s="56" t="str">
        <f t="shared" si="82"/>
        <v>SÜLYSÁPI POLGÁRMESTERI HIVATAL</v>
      </c>
      <c r="C80" s="498"/>
      <c r="D80" s="73"/>
      <c r="E80" s="73"/>
      <c r="F80" s="459"/>
      <c r="G80" s="73"/>
      <c r="H80" s="498"/>
      <c r="I80" s="73"/>
      <c r="J80" s="73"/>
      <c r="K80" s="73"/>
      <c r="L80" s="650">
        <f t="shared" si="83"/>
        <v>0</v>
      </c>
      <c r="M80" s="650">
        <f t="shared" si="84"/>
        <v>0</v>
      </c>
      <c r="N80" s="689">
        <f t="shared" si="85"/>
        <v>0</v>
      </c>
      <c r="O80" s="632"/>
      <c r="P80" s="498"/>
      <c r="Q80" s="73"/>
      <c r="R80" s="73"/>
      <c r="S80" s="73">
        <f t="shared" si="86"/>
        <v>0</v>
      </c>
      <c r="T80" s="499"/>
      <c r="U80" s="74"/>
    </row>
    <row r="81" spans="1:21" x14ac:dyDescent="0.25">
      <c r="B81" s="56" t="str">
        <f t="shared" si="82"/>
        <v>Wass Albert Művelődési Központ és Könyvtár</v>
      </c>
      <c r="C81" s="498"/>
      <c r="D81" s="73"/>
      <c r="E81" s="73"/>
      <c r="F81" s="459">
        <f>+'8. WAMKK'!F101</f>
        <v>0</v>
      </c>
      <c r="G81" s="73"/>
      <c r="H81" s="498"/>
      <c r="I81" s="73"/>
      <c r="J81" s="73">
        <f>+'8. WAMKK'!J101</f>
        <v>11811</v>
      </c>
      <c r="K81" s="73"/>
      <c r="L81" s="650">
        <f t="shared" si="83"/>
        <v>0</v>
      </c>
      <c r="M81" s="650">
        <f t="shared" si="84"/>
        <v>0</v>
      </c>
      <c r="N81" s="689">
        <f t="shared" si="85"/>
        <v>0</v>
      </c>
      <c r="O81" s="632"/>
      <c r="P81" s="498"/>
      <c r="Q81" s="73"/>
      <c r="R81" s="73"/>
      <c r="S81" s="73">
        <f t="shared" si="86"/>
        <v>0</v>
      </c>
      <c r="T81" s="499"/>
      <c r="U81" s="74"/>
    </row>
    <row r="82" spans="1:21" x14ac:dyDescent="0.25">
      <c r="B82" s="56" t="str">
        <f t="shared" si="82"/>
        <v>Központi Konyha</v>
      </c>
      <c r="C82" s="498"/>
      <c r="D82" s="73"/>
      <c r="E82" s="73"/>
      <c r="F82" s="459"/>
      <c r="G82" s="73"/>
      <c r="H82" s="498"/>
      <c r="I82" s="73"/>
      <c r="J82" s="73"/>
      <c r="K82" s="73"/>
      <c r="L82" s="650">
        <f t="shared" si="83"/>
        <v>0</v>
      </c>
      <c r="M82" s="650">
        <f t="shared" si="84"/>
        <v>0</v>
      </c>
      <c r="N82" s="689">
        <f t="shared" si="85"/>
        <v>0</v>
      </c>
      <c r="O82" s="632"/>
      <c r="P82" s="498"/>
      <c r="Q82" s="73"/>
      <c r="R82" s="73"/>
      <c r="S82" s="73">
        <f t="shared" si="86"/>
        <v>0</v>
      </c>
      <c r="T82" s="499"/>
      <c r="U82" s="74"/>
    </row>
    <row r="83" spans="1:21" ht="8.1" customHeight="1" x14ac:dyDescent="0.25">
      <c r="B83" s="383" t="s">
        <v>442</v>
      </c>
      <c r="C83" s="500"/>
      <c r="D83" s="382"/>
      <c r="E83" s="382"/>
      <c r="F83" s="511"/>
      <c r="G83" s="382"/>
      <c r="H83" s="500"/>
      <c r="I83" s="382"/>
      <c r="J83" s="382"/>
      <c r="K83" s="382"/>
      <c r="L83" s="690"/>
      <c r="M83" s="690"/>
      <c r="N83" s="691"/>
      <c r="O83" s="684"/>
      <c r="P83" s="500"/>
      <c r="Q83" s="382"/>
      <c r="R83" s="382"/>
      <c r="S83" s="382"/>
      <c r="T83" s="499"/>
      <c r="U83" s="74"/>
    </row>
    <row r="84" spans="1:21" x14ac:dyDescent="0.25">
      <c r="A84" s="384" t="str">
        <f>+A75</f>
        <v>B5</v>
      </c>
      <c r="B84" s="364" t="s">
        <v>436</v>
      </c>
      <c r="C84" s="501">
        <f>SUM(C76:C83)</f>
        <v>90845000</v>
      </c>
      <c r="D84" s="365">
        <f t="shared" ref="D84" si="87">SUM(D76:D83)</f>
        <v>90845000</v>
      </c>
      <c r="E84" s="365">
        <f t="shared" ref="E84" si="88">SUM(E76:E83)</f>
        <v>90845000</v>
      </c>
      <c r="F84" s="512">
        <f t="shared" ref="F84" si="89">SUM(F76:F83)</f>
        <v>64227622</v>
      </c>
      <c r="G84" s="365"/>
      <c r="H84" s="501">
        <f>SUM(H76:H83)</f>
        <v>1169292</v>
      </c>
      <c r="I84" s="365">
        <f t="shared" ref="I84" si="90">SUM(I76:I83)</f>
        <v>1753938</v>
      </c>
      <c r="J84" s="365">
        <f t="shared" ref="J84" si="91">SUM(J76:J83)</f>
        <v>54425789</v>
      </c>
      <c r="K84" s="365"/>
      <c r="L84" s="692">
        <f t="shared" ref="L84" si="92">IF(D84=0,0,H84/D84)</f>
        <v>1.2871286256811052E-2</v>
      </c>
      <c r="M84" s="692">
        <f t="shared" ref="M84" si="93">IF(E84=0,0,I84/E84)</f>
        <v>1.9306929385216578E-2</v>
      </c>
      <c r="N84" s="693">
        <f t="shared" ref="N84" si="94">IF(F84=0,0,J84/F84)</f>
        <v>0.8473891342263925</v>
      </c>
      <c r="O84" s="685"/>
      <c r="P84" s="501">
        <f>SUM(P76:P83)</f>
        <v>0</v>
      </c>
      <c r="Q84" s="365">
        <f t="shared" ref="Q84" si="95">SUM(Q76:Q83)</f>
        <v>0</v>
      </c>
      <c r="R84" s="365">
        <f t="shared" ref="R84" si="96">SUM(R76:R83)</f>
        <v>0</v>
      </c>
      <c r="S84" s="365">
        <f>+P84*P$8+Q84*Q$8+R84*R$8</f>
        <v>0</v>
      </c>
      <c r="T84" s="499"/>
      <c r="U84" s="74"/>
    </row>
    <row r="85" spans="1:21" x14ac:dyDescent="0.25">
      <c r="C85" s="502"/>
      <c r="F85" s="457"/>
      <c r="H85" s="502"/>
      <c r="L85" s="650"/>
      <c r="M85" s="650"/>
      <c r="N85" s="689"/>
      <c r="O85" s="633"/>
      <c r="P85" s="502"/>
      <c r="T85" s="499"/>
    </row>
    <row r="86" spans="1:21" x14ac:dyDescent="0.25">
      <c r="C86" s="502"/>
      <c r="F86" s="457"/>
      <c r="H86" s="502"/>
      <c r="L86" s="650"/>
      <c r="M86" s="650"/>
      <c r="N86" s="689"/>
      <c r="O86" s="633"/>
      <c r="P86" s="502"/>
      <c r="T86" s="499"/>
    </row>
    <row r="87" spans="1:21" x14ac:dyDescent="0.25">
      <c r="A87" s="320" t="s">
        <v>314</v>
      </c>
      <c r="B87" s="381" t="str">
        <f>+B18</f>
        <v>Működési célú átvett pénzeszközök</v>
      </c>
      <c r="C87" s="498"/>
      <c r="D87" s="74"/>
      <c r="E87" s="74"/>
      <c r="F87" s="524"/>
      <c r="G87" s="74"/>
      <c r="H87" s="498"/>
      <c r="K87" s="74"/>
      <c r="L87" s="648"/>
      <c r="M87" s="648"/>
      <c r="N87" s="689"/>
      <c r="O87" s="640"/>
      <c r="P87" s="498"/>
      <c r="Q87" s="73"/>
      <c r="R87" s="73"/>
      <c r="S87" s="73"/>
      <c r="T87" s="499"/>
      <c r="U87" s="74"/>
    </row>
    <row r="88" spans="1:21" x14ac:dyDescent="0.25">
      <c r="B88" s="56" t="str">
        <f t="shared" ref="B88:B94" si="97">+B76</f>
        <v>Sülysáp Város Önkormányzata</v>
      </c>
      <c r="C88" s="498">
        <f>+' 2. Önk. Bevételek'!C72</f>
        <v>4181435</v>
      </c>
      <c r="D88" s="73">
        <f>+' 2. Önk. Bevételek'!D72</f>
        <v>4181435</v>
      </c>
      <c r="E88" s="73">
        <f>+' 2. Önk. Bevételek'!E72</f>
        <v>4181435</v>
      </c>
      <c r="F88" s="459">
        <f>+' 2. Önk. Bevételek'!F72</f>
        <v>4181435</v>
      </c>
      <c r="G88" s="74"/>
      <c r="H88" s="498">
        <f>+' 2. Önk. Bevételek'!H72</f>
        <v>420000</v>
      </c>
      <c r="I88" s="73">
        <f>+' 2. Önk. Bevételek'!I72</f>
        <v>630000</v>
      </c>
      <c r="J88" s="73">
        <f>+' 2. Önk. Bevételek'!J72</f>
        <v>840000</v>
      </c>
      <c r="K88" s="74"/>
      <c r="L88" s="650">
        <f t="shared" ref="L88:L94" si="98">IF(D88=0,0,H88/D88)</f>
        <v>0.10044398633483481</v>
      </c>
      <c r="M88" s="650">
        <f t="shared" ref="M88:M94" si="99">IF(E88=0,0,I88/E88)</f>
        <v>0.15066597950225222</v>
      </c>
      <c r="N88" s="689">
        <f t="shared" ref="N88:N94" si="100">IF(F88=0,0,J88/F88)</f>
        <v>0.20088797266966962</v>
      </c>
      <c r="O88" s="640"/>
      <c r="P88" s="498">
        <f>+' 2. Önk. Bevételek'!P72</f>
        <v>0</v>
      </c>
      <c r="Q88" s="73">
        <f>+' 2. Önk. Bevételek'!Q72</f>
        <v>0</v>
      </c>
      <c r="R88" s="73">
        <f>+' 2. Önk. Bevételek'!R72</f>
        <v>0</v>
      </c>
      <c r="S88" s="73">
        <f t="shared" ref="S88:S94" si="101">+P88*P$8+Q88*Q$8+R88*R$8</f>
        <v>0</v>
      </c>
      <c r="T88" s="499"/>
      <c r="U88" s="74"/>
    </row>
    <row r="89" spans="1:21" x14ac:dyDescent="0.25">
      <c r="A89" s="56"/>
      <c r="B89" s="56" t="str">
        <f t="shared" si="97"/>
        <v>Dr. Gáspár István HSZK</v>
      </c>
      <c r="C89" s="498"/>
      <c r="D89" s="73"/>
      <c r="E89" s="73"/>
      <c r="F89" s="459"/>
      <c r="G89" s="73"/>
      <c r="H89" s="498"/>
      <c r="I89" s="73"/>
      <c r="J89" s="73"/>
      <c r="K89" s="73"/>
      <c r="L89" s="650">
        <f t="shared" si="98"/>
        <v>0</v>
      </c>
      <c r="M89" s="650">
        <f t="shared" si="99"/>
        <v>0</v>
      </c>
      <c r="N89" s="689">
        <f t="shared" si="100"/>
        <v>0</v>
      </c>
      <c r="O89" s="632"/>
      <c r="P89" s="498"/>
      <c r="Q89" s="73"/>
      <c r="R89" s="73"/>
      <c r="S89" s="73">
        <f t="shared" si="101"/>
        <v>0</v>
      </c>
      <c r="T89" s="499"/>
      <c r="U89" s="74"/>
    </row>
    <row r="90" spans="1:21" x14ac:dyDescent="0.25">
      <c r="B90" s="56" t="str">
        <f t="shared" si="97"/>
        <v>SÜLYSÁPI CSICSERGŐ ÓVODA</v>
      </c>
      <c r="C90" s="498"/>
      <c r="D90" s="73"/>
      <c r="E90" s="73"/>
      <c r="F90" s="459"/>
      <c r="G90" s="73"/>
      <c r="H90" s="498"/>
      <c r="I90" s="73"/>
      <c r="J90" s="73"/>
      <c r="K90" s="73"/>
      <c r="L90" s="650">
        <f t="shared" si="98"/>
        <v>0</v>
      </c>
      <c r="M90" s="650">
        <f t="shared" si="99"/>
        <v>0</v>
      </c>
      <c r="N90" s="689">
        <f t="shared" si="100"/>
        <v>0</v>
      </c>
      <c r="O90" s="632"/>
      <c r="P90" s="498"/>
      <c r="Q90" s="73"/>
      <c r="R90" s="73"/>
      <c r="S90" s="73">
        <f t="shared" si="101"/>
        <v>0</v>
      </c>
      <c r="T90" s="499"/>
      <c r="U90" s="74"/>
    </row>
    <row r="91" spans="1:21" x14ac:dyDescent="0.25">
      <c r="B91" s="56" t="str">
        <f t="shared" si="97"/>
        <v>GÓLYAHÍR BÖLCSŐDE</v>
      </c>
      <c r="C91" s="498"/>
      <c r="D91" s="73"/>
      <c r="E91" s="73"/>
      <c r="F91" s="459"/>
      <c r="G91" s="73"/>
      <c r="H91" s="498"/>
      <c r="I91" s="73"/>
      <c r="J91" s="73"/>
      <c r="K91" s="73"/>
      <c r="L91" s="650">
        <f t="shared" si="98"/>
        <v>0</v>
      </c>
      <c r="M91" s="650">
        <f t="shared" si="99"/>
        <v>0</v>
      </c>
      <c r="N91" s="689">
        <f t="shared" si="100"/>
        <v>0</v>
      </c>
      <c r="O91" s="632"/>
      <c r="P91" s="498"/>
      <c r="Q91" s="73"/>
      <c r="R91" s="73"/>
      <c r="S91" s="73">
        <f t="shared" si="101"/>
        <v>0</v>
      </c>
      <c r="T91" s="499"/>
      <c r="U91" s="74"/>
    </row>
    <row r="92" spans="1:21" x14ac:dyDescent="0.25">
      <c r="B92" s="56" t="str">
        <f t="shared" si="97"/>
        <v>SÜLYSÁPI POLGÁRMESTERI HIVATAL</v>
      </c>
      <c r="C92" s="498"/>
      <c r="D92" s="73"/>
      <c r="E92" s="73"/>
      <c r="F92" s="459">
        <f>+'7. Polg.Hiv.'!F99</f>
        <v>0</v>
      </c>
      <c r="G92" s="73"/>
      <c r="H92" s="498"/>
      <c r="I92" s="73"/>
      <c r="J92" s="73">
        <f>+'7. Polg.Hiv.'!J99</f>
        <v>951310</v>
      </c>
      <c r="K92" s="73"/>
      <c r="L92" s="650">
        <f t="shared" si="98"/>
        <v>0</v>
      </c>
      <c r="M92" s="650">
        <f t="shared" si="99"/>
        <v>0</v>
      </c>
      <c r="N92" s="689">
        <f t="shared" si="100"/>
        <v>0</v>
      </c>
      <c r="O92" s="632"/>
      <c r="P92" s="498"/>
      <c r="Q92" s="73"/>
      <c r="R92" s="73"/>
      <c r="S92" s="73">
        <f t="shared" si="101"/>
        <v>0</v>
      </c>
      <c r="T92" s="499"/>
      <c r="U92" s="74"/>
    </row>
    <row r="93" spans="1:21" x14ac:dyDescent="0.25">
      <c r="B93" s="56" t="str">
        <f t="shared" si="97"/>
        <v>Wass Albert Művelődési Központ és Könyvtár</v>
      </c>
      <c r="C93" s="498"/>
      <c r="D93" s="73"/>
      <c r="E93" s="73"/>
      <c r="F93" s="459"/>
      <c r="G93" s="73"/>
      <c r="H93" s="498"/>
      <c r="I93" s="73"/>
      <c r="J93" s="73"/>
      <c r="K93" s="73"/>
      <c r="L93" s="650">
        <f t="shared" si="98"/>
        <v>0</v>
      </c>
      <c r="M93" s="650">
        <f t="shared" si="99"/>
        <v>0</v>
      </c>
      <c r="N93" s="689">
        <f t="shared" si="100"/>
        <v>0</v>
      </c>
      <c r="O93" s="632"/>
      <c r="P93" s="498"/>
      <c r="Q93" s="73"/>
      <c r="R93" s="73"/>
      <c r="S93" s="73">
        <f t="shared" si="101"/>
        <v>0</v>
      </c>
      <c r="T93" s="499"/>
      <c r="U93" s="74"/>
    </row>
    <row r="94" spans="1:21" x14ac:dyDescent="0.25">
      <c r="B94" s="56" t="str">
        <f t="shared" si="97"/>
        <v>Központi Konyha</v>
      </c>
      <c r="C94" s="498"/>
      <c r="D94" s="73"/>
      <c r="E94" s="73"/>
      <c r="F94" s="459"/>
      <c r="G94" s="73"/>
      <c r="H94" s="498"/>
      <c r="I94" s="73"/>
      <c r="J94" s="73"/>
      <c r="K94" s="73"/>
      <c r="L94" s="650">
        <f t="shared" si="98"/>
        <v>0</v>
      </c>
      <c r="M94" s="650">
        <f t="shared" si="99"/>
        <v>0</v>
      </c>
      <c r="N94" s="689">
        <f t="shared" si="100"/>
        <v>0</v>
      </c>
      <c r="O94" s="632"/>
      <c r="P94" s="498"/>
      <c r="Q94" s="73"/>
      <c r="R94" s="73"/>
      <c r="S94" s="73">
        <f t="shared" si="101"/>
        <v>0</v>
      </c>
      <c r="T94" s="499"/>
      <c r="U94" s="74"/>
    </row>
    <row r="95" spans="1:21" ht="8.1" customHeight="1" x14ac:dyDescent="0.25">
      <c r="B95" s="383" t="s">
        <v>442</v>
      </c>
      <c r="C95" s="500"/>
      <c r="D95" s="382"/>
      <c r="E95" s="382"/>
      <c r="F95" s="511"/>
      <c r="G95" s="382"/>
      <c r="H95" s="500"/>
      <c r="I95" s="382"/>
      <c r="J95" s="382"/>
      <c r="K95" s="382"/>
      <c r="L95" s="690"/>
      <c r="M95" s="690"/>
      <c r="N95" s="691"/>
      <c r="O95" s="684"/>
      <c r="P95" s="500"/>
      <c r="Q95" s="382"/>
      <c r="R95" s="382"/>
      <c r="S95" s="382"/>
      <c r="T95" s="499"/>
      <c r="U95" s="74"/>
    </row>
    <row r="96" spans="1:21" x14ac:dyDescent="0.25">
      <c r="A96" s="384" t="str">
        <f>+A87</f>
        <v>B6</v>
      </c>
      <c r="B96" s="364" t="s">
        <v>436</v>
      </c>
      <c r="C96" s="501">
        <f>SUM(C88:C95)</f>
        <v>4181435</v>
      </c>
      <c r="D96" s="365">
        <f t="shared" ref="D96" si="102">SUM(D88:D95)</f>
        <v>4181435</v>
      </c>
      <c r="E96" s="365">
        <f t="shared" ref="E96" si="103">SUM(E88:E95)</f>
        <v>4181435</v>
      </c>
      <c r="F96" s="512">
        <f t="shared" ref="F96" si="104">SUM(F88:F95)</f>
        <v>4181435</v>
      </c>
      <c r="G96" s="365"/>
      <c r="H96" s="501">
        <f>SUM(H88:H95)</f>
        <v>420000</v>
      </c>
      <c r="I96" s="365">
        <f t="shared" ref="I96" si="105">SUM(I88:I95)</f>
        <v>630000</v>
      </c>
      <c r="J96" s="365">
        <f t="shared" ref="J96" si="106">SUM(J88:J95)</f>
        <v>1791310</v>
      </c>
      <c r="K96" s="365"/>
      <c r="L96" s="692">
        <f t="shared" ref="L96" si="107">IF(D96=0,0,H96/D96)</f>
        <v>0.10044398633483481</v>
      </c>
      <c r="M96" s="692">
        <f t="shared" ref="M96" si="108">IF(E96=0,0,I96/E96)</f>
        <v>0.15066597950225222</v>
      </c>
      <c r="N96" s="693">
        <f t="shared" ref="N96" si="109">IF(F96=0,0,J96/F96)</f>
        <v>0.42839599324155464</v>
      </c>
      <c r="O96" s="685"/>
      <c r="P96" s="501">
        <f>SUM(P88:P95)</f>
        <v>0</v>
      </c>
      <c r="Q96" s="365">
        <f t="shared" ref="Q96" si="110">SUM(Q88:Q95)</f>
        <v>0</v>
      </c>
      <c r="R96" s="365">
        <f t="shared" ref="R96" si="111">SUM(R88:R95)</f>
        <v>0</v>
      </c>
      <c r="S96" s="365">
        <f>+P96*P$8+Q96*Q$8+R96*R$8</f>
        <v>0</v>
      </c>
      <c r="T96" s="499"/>
      <c r="U96" s="74"/>
    </row>
    <row r="97" spans="1:21" x14ac:dyDescent="0.25">
      <c r="C97" s="502"/>
      <c r="F97" s="457"/>
      <c r="H97" s="502"/>
      <c r="L97" s="650"/>
      <c r="M97" s="650"/>
      <c r="N97" s="689"/>
      <c r="O97" s="633"/>
      <c r="P97" s="502"/>
      <c r="T97" s="499"/>
    </row>
    <row r="98" spans="1:21" x14ac:dyDescent="0.25">
      <c r="C98" s="502"/>
      <c r="F98" s="457"/>
      <c r="H98" s="502"/>
      <c r="L98" s="650"/>
      <c r="M98" s="650"/>
      <c r="N98" s="689"/>
      <c r="O98" s="633"/>
      <c r="P98" s="502"/>
      <c r="T98" s="499"/>
    </row>
    <row r="99" spans="1:21" x14ac:dyDescent="0.25">
      <c r="A99" s="320" t="s">
        <v>320</v>
      </c>
      <c r="B99" s="381" t="str">
        <f>+B19</f>
        <v>Felhalmozási célú átvett pénzeszközök</v>
      </c>
      <c r="C99" s="498"/>
      <c r="D99" s="74"/>
      <c r="E99" s="74"/>
      <c r="F99" s="524"/>
      <c r="G99" s="74"/>
      <c r="H99" s="498"/>
      <c r="K99" s="74"/>
      <c r="L99" s="648"/>
      <c r="M99" s="648"/>
      <c r="N99" s="689"/>
      <c r="O99" s="640"/>
      <c r="P99" s="498"/>
      <c r="Q99" s="73"/>
      <c r="R99" s="73"/>
      <c r="S99" s="73"/>
      <c r="T99" s="499"/>
      <c r="U99" s="74"/>
    </row>
    <row r="100" spans="1:21" x14ac:dyDescent="0.25">
      <c r="B100" s="56" t="str">
        <f t="shared" ref="B100:B106" si="112">+B88</f>
        <v>Sülysáp Város Önkormányzata</v>
      </c>
      <c r="C100" s="498">
        <f>+' 2. Önk. Bevételek'!C76</f>
        <v>5900000</v>
      </c>
      <c r="D100" s="73">
        <f>+' 2. Önk. Bevételek'!D76</f>
        <v>5900000</v>
      </c>
      <c r="E100" s="73">
        <f>+' 2. Önk. Bevételek'!E76</f>
        <v>5900000</v>
      </c>
      <c r="F100" s="459">
        <f>+' 2. Önk. Bevételek'!F76</f>
        <v>7946980</v>
      </c>
      <c r="G100" s="74"/>
      <c r="H100" s="498">
        <f>+' 2. Önk. Bevételek'!H76</f>
        <v>1041500</v>
      </c>
      <c r="I100" s="73">
        <f>+' 2. Önk. Bevételek'!I76</f>
        <v>1925820</v>
      </c>
      <c r="J100" s="73">
        <f>+' 2. Önk. Bevételek'!J76</f>
        <v>7946980</v>
      </c>
      <c r="K100" s="74"/>
      <c r="L100" s="650">
        <f t="shared" ref="L100:L106" si="113">IF(D100=0,0,H100/D100)</f>
        <v>0.17652542372881355</v>
      </c>
      <c r="M100" s="650">
        <f t="shared" ref="M100:M106" si="114">IF(E100=0,0,I100/E100)</f>
        <v>0.3264101694915254</v>
      </c>
      <c r="N100" s="689">
        <f t="shared" ref="N100:N106" si="115">IF(F100=0,0,J100/F100)</f>
        <v>1</v>
      </c>
      <c r="O100" s="640"/>
      <c r="P100" s="498">
        <f>+' 2. Önk. Bevételek'!P76</f>
        <v>0</v>
      </c>
      <c r="Q100" s="73">
        <f>+' 2. Önk. Bevételek'!Q76</f>
        <v>0</v>
      </c>
      <c r="R100" s="73">
        <f>+' 2. Önk. Bevételek'!R76</f>
        <v>0</v>
      </c>
      <c r="S100" s="73">
        <f t="shared" ref="S100:S106" si="116">+P100*P$8+Q100*Q$8+R100*R$8</f>
        <v>0</v>
      </c>
      <c r="T100" s="499"/>
      <c r="U100" s="74"/>
    </row>
    <row r="101" spans="1:21" x14ac:dyDescent="0.25">
      <c r="A101" s="56"/>
      <c r="B101" s="56" t="str">
        <f t="shared" si="112"/>
        <v>Dr. Gáspár István HSZK</v>
      </c>
      <c r="C101" s="498"/>
      <c r="D101" s="73"/>
      <c r="E101" s="73"/>
      <c r="F101" s="459"/>
      <c r="G101" s="73"/>
      <c r="H101" s="498"/>
      <c r="I101" s="73"/>
      <c r="J101" s="73"/>
      <c r="K101" s="73"/>
      <c r="L101" s="650">
        <f t="shared" si="113"/>
        <v>0</v>
      </c>
      <c r="M101" s="650">
        <f t="shared" si="114"/>
        <v>0</v>
      </c>
      <c r="N101" s="689">
        <f t="shared" si="115"/>
        <v>0</v>
      </c>
      <c r="O101" s="632"/>
      <c r="P101" s="498"/>
      <c r="Q101" s="73"/>
      <c r="R101" s="73"/>
      <c r="S101" s="73">
        <f t="shared" si="116"/>
        <v>0</v>
      </c>
      <c r="T101" s="499"/>
      <c r="U101" s="74"/>
    </row>
    <row r="102" spans="1:21" x14ac:dyDescent="0.25">
      <c r="B102" s="56" t="str">
        <f t="shared" si="112"/>
        <v>SÜLYSÁPI CSICSERGŐ ÓVODA</v>
      </c>
      <c r="C102" s="498"/>
      <c r="D102" s="73"/>
      <c r="E102" s="73"/>
      <c r="F102" s="459"/>
      <c r="G102" s="73"/>
      <c r="H102" s="498"/>
      <c r="I102" s="73"/>
      <c r="J102" s="73"/>
      <c r="K102" s="73"/>
      <c r="L102" s="650">
        <f t="shared" si="113"/>
        <v>0</v>
      </c>
      <c r="M102" s="650">
        <f t="shared" si="114"/>
        <v>0</v>
      </c>
      <c r="N102" s="689">
        <f t="shared" si="115"/>
        <v>0</v>
      </c>
      <c r="O102" s="632"/>
      <c r="P102" s="498"/>
      <c r="Q102" s="73"/>
      <c r="R102" s="73"/>
      <c r="S102" s="73">
        <f t="shared" si="116"/>
        <v>0</v>
      </c>
      <c r="T102" s="499"/>
      <c r="U102" s="74"/>
    </row>
    <row r="103" spans="1:21" x14ac:dyDescent="0.25">
      <c r="B103" s="56" t="str">
        <f t="shared" si="112"/>
        <v>GÓLYAHÍR BÖLCSŐDE</v>
      </c>
      <c r="C103" s="498"/>
      <c r="D103" s="73"/>
      <c r="E103" s="73"/>
      <c r="F103" s="459"/>
      <c r="G103" s="73"/>
      <c r="H103" s="498"/>
      <c r="I103" s="73"/>
      <c r="J103" s="73"/>
      <c r="K103" s="73"/>
      <c r="L103" s="650">
        <f t="shared" si="113"/>
        <v>0</v>
      </c>
      <c r="M103" s="650">
        <f t="shared" si="114"/>
        <v>0</v>
      </c>
      <c r="N103" s="689">
        <f t="shared" si="115"/>
        <v>0</v>
      </c>
      <c r="O103" s="632"/>
      <c r="P103" s="498"/>
      <c r="Q103" s="73"/>
      <c r="R103" s="73"/>
      <c r="S103" s="73">
        <f t="shared" si="116"/>
        <v>0</v>
      </c>
      <c r="T103" s="499"/>
      <c r="U103" s="74"/>
    </row>
    <row r="104" spans="1:21" x14ac:dyDescent="0.25">
      <c r="B104" s="56" t="str">
        <f t="shared" si="112"/>
        <v>SÜLYSÁPI POLGÁRMESTERI HIVATAL</v>
      </c>
      <c r="C104" s="498"/>
      <c r="D104" s="73"/>
      <c r="E104" s="73"/>
      <c r="F104" s="459"/>
      <c r="G104" s="73"/>
      <c r="H104" s="498"/>
      <c r="I104" s="73"/>
      <c r="J104" s="73"/>
      <c r="K104" s="73"/>
      <c r="L104" s="650">
        <f t="shared" si="113"/>
        <v>0</v>
      </c>
      <c r="M104" s="650">
        <f t="shared" si="114"/>
        <v>0</v>
      </c>
      <c r="N104" s="689">
        <f t="shared" si="115"/>
        <v>0</v>
      </c>
      <c r="O104" s="632"/>
      <c r="P104" s="498"/>
      <c r="Q104" s="73"/>
      <c r="R104" s="73"/>
      <c r="S104" s="73">
        <f t="shared" si="116"/>
        <v>0</v>
      </c>
      <c r="T104" s="499"/>
      <c r="U104" s="74"/>
    </row>
    <row r="105" spans="1:21" x14ac:dyDescent="0.25">
      <c r="B105" s="56" t="str">
        <f t="shared" si="112"/>
        <v>Wass Albert Művelődési Központ és Könyvtár</v>
      </c>
      <c r="C105" s="498"/>
      <c r="D105" s="73"/>
      <c r="E105" s="73"/>
      <c r="F105" s="459"/>
      <c r="G105" s="73"/>
      <c r="H105" s="498"/>
      <c r="I105" s="73"/>
      <c r="J105" s="73"/>
      <c r="K105" s="73"/>
      <c r="L105" s="650">
        <f t="shared" si="113"/>
        <v>0</v>
      </c>
      <c r="M105" s="650">
        <f t="shared" si="114"/>
        <v>0</v>
      </c>
      <c r="N105" s="689">
        <f t="shared" si="115"/>
        <v>0</v>
      </c>
      <c r="O105" s="632"/>
      <c r="P105" s="498"/>
      <c r="Q105" s="73"/>
      <c r="R105" s="73"/>
      <c r="S105" s="73">
        <f t="shared" si="116"/>
        <v>0</v>
      </c>
      <c r="T105" s="499"/>
      <c r="U105" s="74"/>
    </row>
    <row r="106" spans="1:21" x14ac:dyDescent="0.25">
      <c r="B106" s="56" t="str">
        <f t="shared" si="112"/>
        <v>Központi Konyha</v>
      </c>
      <c r="C106" s="498"/>
      <c r="D106" s="73"/>
      <c r="E106" s="73"/>
      <c r="F106" s="459"/>
      <c r="G106" s="73"/>
      <c r="H106" s="498"/>
      <c r="I106" s="73"/>
      <c r="J106" s="73"/>
      <c r="K106" s="73"/>
      <c r="L106" s="650">
        <f t="shared" si="113"/>
        <v>0</v>
      </c>
      <c r="M106" s="650">
        <f t="shared" si="114"/>
        <v>0</v>
      </c>
      <c r="N106" s="689">
        <f t="shared" si="115"/>
        <v>0</v>
      </c>
      <c r="O106" s="632"/>
      <c r="P106" s="498"/>
      <c r="Q106" s="73"/>
      <c r="R106" s="73"/>
      <c r="S106" s="73">
        <f t="shared" si="116"/>
        <v>0</v>
      </c>
      <c r="T106" s="499"/>
      <c r="U106" s="74"/>
    </row>
    <row r="107" spans="1:21" ht="8.1" customHeight="1" x14ac:dyDescent="0.25">
      <c r="B107" s="383" t="s">
        <v>442</v>
      </c>
      <c r="C107" s="500"/>
      <c r="D107" s="382"/>
      <c r="E107" s="382"/>
      <c r="F107" s="511"/>
      <c r="G107" s="382"/>
      <c r="H107" s="500"/>
      <c r="I107" s="382"/>
      <c r="J107" s="382"/>
      <c r="K107" s="382"/>
      <c r="L107" s="690"/>
      <c r="M107" s="690"/>
      <c r="N107" s="691"/>
      <c r="O107" s="684"/>
      <c r="P107" s="500"/>
      <c r="Q107" s="382"/>
      <c r="R107" s="382"/>
      <c r="S107" s="382"/>
      <c r="T107" s="499"/>
      <c r="U107" s="74"/>
    </row>
    <row r="108" spans="1:21" x14ac:dyDescent="0.25">
      <c r="A108" s="384" t="str">
        <f>+A99</f>
        <v>B7</v>
      </c>
      <c r="B108" s="364" t="s">
        <v>436</v>
      </c>
      <c r="C108" s="501">
        <f>SUM(C100:C107)</f>
        <v>5900000</v>
      </c>
      <c r="D108" s="365">
        <f t="shared" ref="D108" si="117">SUM(D100:D107)</f>
        <v>5900000</v>
      </c>
      <c r="E108" s="365">
        <f t="shared" ref="E108" si="118">SUM(E100:E107)</f>
        <v>5900000</v>
      </c>
      <c r="F108" s="512">
        <f t="shared" ref="F108" si="119">SUM(F100:F107)</f>
        <v>7946980</v>
      </c>
      <c r="G108" s="365"/>
      <c r="H108" s="501">
        <f>SUM(H100:H107)</f>
        <v>1041500</v>
      </c>
      <c r="I108" s="365">
        <f t="shared" ref="I108" si="120">SUM(I100:I107)</f>
        <v>1925820</v>
      </c>
      <c r="J108" s="365">
        <f t="shared" ref="J108" si="121">SUM(J100:J107)</f>
        <v>7946980</v>
      </c>
      <c r="K108" s="365"/>
      <c r="L108" s="692">
        <f t="shared" ref="L108" si="122">IF(D108=0,0,H108/D108)</f>
        <v>0.17652542372881355</v>
      </c>
      <c r="M108" s="692">
        <f t="shared" ref="M108" si="123">IF(E108=0,0,I108/E108)</f>
        <v>0.3264101694915254</v>
      </c>
      <c r="N108" s="693">
        <f t="shared" ref="N108" si="124">IF(F108=0,0,J108/F108)</f>
        <v>1</v>
      </c>
      <c r="O108" s="685"/>
      <c r="P108" s="501">
        <f>SUM(P100:P107)</f>
        <v>0</v>
      </c>
      <c r="Q108" s="365">
        <f t="shared" ref="Q108" si="125">SUM(Q100:Q107)</f>
        <v>0</v>
      </c>
      <c r="R108" s="365">
        <f t="shared" ref="R108" si="126">SUM(R100:R107)</f>
        <v>0</v>
      </c>
      <c r="S108" s="365">
        <f>+P108*P$8+Q108*Q$8+R108*R$8</f>
        <v>0</v>
      </c>
      <c r="T108" s="499"/>
      <c r="U108" s="74"/>
    </row>
    <row r="109" spans="1:21" x14ac:dyDescent="0.25">
      <c r="C109" s="502"/>
      <c r="F109" s="457"/>
      <c r="H109" s="502"/>
      <c r="L109" s="650"/>
      <c r="M109" s="650"/>
      <c r="N109" s="689"/>
      <c r="O109" s="633"/>
      <c r="P109" s="502"/>
      <c r="T109" s="499"/>
    </row>
    <row r="110" spans="1:21" x14ac:dyDescent="0.25">
      <c r="C110" s="502"/>
      <c r="F110" s="457"/>
      <c r="H110" s="502"/>
      <c r="L110" s="650"/>
      <c r="M110" s="650"/>
      <c r="N110" s="689"/>
      <c r="O110" s="633"/>
      <c r="P110" s="502"/>
      <c r="T110" s="499"/>
    </row>
    <row r="111" spans="1:21" x14ac:dyDescent="0.25">
      <c r="A111" s="320" t="s">
        <v>327</v>
      </c>
      <c r="B111" s="320"/>
      <c r="C111" s="498"/>
      <c r="D111" s="372" t="s">
        <v>438</v>
      </c>
      <c r="E111" s="74"/>
      <c r="F111" s="524"/>
      <c r="G111" s="74"/>
      <c r="H111" s="498"/>
      <c r="K111" s="74"/>
      <c r="L111" s="648"/>
      <c r="M111" s="648"/>
      <c r="N111" s="689"/>
      <c r="O111" s="640"/>
      <c r="P111" s="498"/>
      <c r="Q111" s="73"/>
      <c r="R111" s="73"/>
      <c r="S111" s="73"/>
      <c r="T111" s="499"/>
      <c r="U111" s="74"/>
    </row>
    <row r="112" spans="1:21" x14ac:dyDescent="0.25">
      <c r="B112" s="56" t="str">
        <f t="shared" ref="B112:B118" si="127">+B100</f>
        <v>Sülysáp Város Önkormányzata</v>
      </c>
      <c r="C112" s="498">
        <f>+' 2. Önk. Bevételek'!C80</f>
        <v>212261436</v>
      </c>
      <c r="D112" s="73">
        <f>+' 2. Önk. Bevételek'!D80</f>
        <v>212750680</v>
      </c>
      <c r="E112" s="73">
        <f>+' 2. Önk. Bevételek'!E80</f>
        <v>212750680</v>
      </c>
      <c r="F112" s="459">
        <f>+' 2. Önk. Bevételek'!F80</f>
        <v>212750680</v>
      </c>
      <c r="G112" s="74"/>
      <c r="H112" s="498">
        <f>+' 2. Önk. Bevételek'!H80</f>
        <v>212750680</v>
      </c>
      <c r="I112" s="73">
        <f>+' 2. Önk. Bevételek'!I80</f>
        <v>212750680</v>
      </c>
      <c r="J112" s="73">
        <f>+' 2. Önk. Bevételek'!J80</f>
        <v>237328039</v>
      </c>
      <c r="K112" s="74"/>
      <c r="L112" s="650">
        <f t="shared" ref="L112:L118" si="128">IF(D112=0,0,H112/D112)</f>
        <v>1</v>
      </c>
      <c r="M112" s="650">
        <f t="shared" ref="M112:M118" si="129">IF(E112=0,0,I112/E112)</f>
        <v>1</v>
      </c>
      <c r="N112" s="689">
        <f t="shared" ref="N112:N118" si="130">IF(F112=0,0,J112/F112)</f>
        <v>1.1155218822332318</v>
      </c>
      <c r="O112" s="640"/>
      <c r="P112" s="498">
        <f>+' 2. Önk. Bevételek'!P80-P124</f>
        <v>978488</v>
      </c>
      <c r="Q112" s="73">
        <f>+' 2. Önk. Bevételek'!Q80-Q124</f>
        <v>0</v>
      </c>
      <c r="R112" s="73">
        <f>+' 2. Önk. Bevételek'!R80-R124</f>
        <v>0</v>
      </c>
      <c r="S112" s="73">
        <f t="shared" ref="S112:S118" si="131">+P112*P$8+Q112*Q$8+R112*R$8</f>
        <v>978488</v>
      </c>
      <c r="T112" s="499"/>
      <c r="U112" s="74"/>
    </row>
    <row r="113" spans="1:21" x14ac:dyDescent="0.25">
      <c r="A113" s="56"/>
      <c r="B113" s="56" t="str">
        <f t="shared" si="127"/>
        <v>Dr. Gáspár István HSZK</v>
      </c>
      <c r="C113" s="498">
        <f>+'4. Dr Gáspár HSZK'!C99</f>
        <v>38541000</v>
      </c>
      <c r="D113" s="73">
        <f>+'4. Dr Gáspár HSZK'!D99</f>
        <v>38541000</v>
      </c>
      <c r="E113" s="73">
        <f>+'4. Dr Gáspár HSZK'!E99</f>
        <v>38541000</v>
      </c>
      <c r="F113" s="459">
        <f>+'4. Dr Gáspár HSZK'!F99</f>
        <v>38541000</v>
      </c>
      <c r="G113" s="73"/>
      <c r="H113" s="498">
        <f>+'4. Dr Gáspár HSZK'!H99</f>
        <v>19975660</v>
      </c>
      <c r="I113" s="73">
        <f>+'4. Dr Gáspár HSZK'!I99</f>
        <v>27553076</v>
      </c>
      <c r="J113" s="73">
        <f>+'4. Dr Gáspár HSZK'!J99</f>
        <v>35988745</v>
      </c>
      <c r="K113" s="73"/>
      <c r="L113" s="650">
        <f t="shared" si="128"/>
        <v>0.51829635972081678</v>
      </c>
      <c r="M113" s="650">
        <f t="shared" si="129"/>
        <v>0.71490298643003558</v>
      </c>
      <c r="N113" s="689">
        <f t="shared" si="130"/>
        <v>0.93377818427129555</v>
      </c>
      <c r="O113" s="632"/>
      <c r="P113" s="498">
        <f>+'4. Dr Gáspár HSZK'!P99-P125</f>
        <v>0</v>
      </c>
      <c r="Q113" s="73">
        <f>+'4. Dr Gáspár HSZK'!Q99-Q125</f>
        <v>0</v>
      </c>
      <c r="R113" s="73">
        <f>+'4. Dr Gáspár HSZK'!R99-R125</f>
        <v>0</v>
      </c>
      <c r="S113" s="73">
        <f t="shared" si="131"/>
        <v>0</v>
      </c>
      <c r="T113" s="499"/>
      <c r="U113" s="74"/>
    </row>
    <row r="114" spans="1:21" x14ac:dyDescent="0.25">
      <c r="B114" s="56" t="str">
        <f t="shared" si="127"/>
        <v>SÜLYSÁPI CSICSERGŐ ÓVODA</v>
      </c>
      <c r="C114" s="498">
        <f>+'5. Csicsergő'!C99</f>
        <v>208634000</v>
      </c>
      <c r="D114" s="73">
        <f>+'5. Csicsergő'!D99</f>
        <v>208634000</v>
      </c>
      <c r="E114" s="73">
        <f>+'5. Csicsergő'!E99</f>
        <v>208634000</v>
      </c>
      <c r="F114" s="459">
        <f>+'5. Csicsergő'!F99</f>
        <v>208634000</v>
      </c>
      <c r="G114" s="73"/>
      <c r="H114" s="498">
        <f>+'5. Csicsergő'!H99</f>
        <v>109290434</v>
      </c>
      <c r="I114" s="73">
        <f>+'5. Csicsergő'!I99</f>
        <v>154351363</v>
      </c>
      <c r="J114" s="73">
        <f>+'5. Csicsergő'!J99</f>
        <v>206433039</v>
      </c>
      <c r="K114" s="73"/>
      <c r="L114" s="650">
        <f t="shared" si="128"/>
        <v>0.52383808008282451</v>
      </c>
      <c r="M114" s="650">
        <f t="shared" si="129"/>
        <v>0.73981883585609254</v>
      </c>
      <c r="N114" s="689">
        <f t="shared" si="130"/>
        <v>0.98945061207665097</v>
      </c>
      <c r="O114" s="632"/>
      <c r="P114" s="498">
        <f>+'5. Csicsergő'!P99-P126</f>
        <v>0</v>
      </c>
      <c r="Q114" s="73">
        <f>+'5. Csicsergő'!Q99-Q126</f>
        <v>0</v>
      </c>
      <c r="R114" s="73">
        <f>+'5. Csicsergő'!R99-R126</f>
        <v>0</v>
      </c>
      <c r="S114" s="73">
        <f t="shared" si="131"/>
        <v>0</v>
      </c>
      <c r="T114" s="499"/>
      <c r="U114" s="74"/>
    </row>
    <row r="115" spans="1:21" x14ac:dyDescent="0.25">
      <c r="B115" s="56" t="str">
        <f t="shared" si="127"/>
        <v>GÓLYAHÍR BÖLCSŐDE</v>
      </c>
      <c r="C115" s="498">
        <f>+'6. Gólyahír'!C99</f>
        <v>74013000</v>
      </c>
      <c r="D115" s="73">
        <f>+'6. Gólyahír'!D99</f>
        <v>74013000</v>
      </c>
      <c r="E115" s="73">
        <f>+'6. Gólyahír'!E99</f>
        <v>74013000</v>
      </c>
      <c r="F115" s="459">
        <f>+'6. Gólyahír'!F99</f>
        <v>74013000</v>
      </c>
      <c r="G115" s="73"/>
      <c r="H115" s="498">
        <f>+'6. Gólyahír'!H99</f>
        <v>39215178</v>
      </c>
      <c r="I115" s="73">
        <f>+'6. Gólyahír'!I99</f>
        <v>55095060</v>
      </c>
      <c r="J115" s="73">
        <f>+'6. Gólyahír'!J99</f>
        <v>72942653</v>
      </c>
      <c r="K115" s="73"/>
      <c r="L115" s="650">
        <f t="shared" si="128"/>
        <v>0.52984175752908269</v>
      </c>
      <c r="M115" s="650">
        <f t="shared" si="129"/>
        <v>0.74439706538040618</v>
      </c>
      <c r="N115" s="689">
        <f t="shared" si="130"/>
        <v>0.98553839190412496</v>
      </c>
      <c r="O115" s="632"/>
      <c r="P115" s="498">
        <f>+'6. Gólyahír'!P99-P127</f>
        <v>0</v>
      </c>
      <c r="Q115" s="73">
        <f>+'6. Gólyahír'!Q99-Q127</f>
        <v>0</v>
      </c>
      <c r="R115" s="73">
        <f>+'6. Gólyahír'!R99-R127</f>
        <v>0</v>
      </c>
      <c r="S115" s="73">
        <f t="shared" si="131"/>
        <v>0</v>
      </c>
      <c r="T115" s="499"/>
      <c r="U115" s="74"/>
    </row>
    <row r="116" spans="1:21" x14ac:dyDescent="0.25">
      <c r="B116" s="56" t="str">
        <f t="shared" si="127"/>
        <v>SÜLYSÁPI POLGÁRMESTERI HIVATAL</v>
      </c>
      <c r="C116" s="498">
        <f>+'7. Polg.Hiv.'!C101</f>
        <v>154823000</v>
      </c>
      <c r="D116" s="73">
        <f>+'7. Polg.Hiv.'!D101</f>
        <v>154823000</v>
      </c>
      <c r="E116" s="73">
        <f>+'7. Polg.Hiv.'!E101</f>
        <v>154823000</v>
      </c>
      <c r="F116" s="459">
        <f>+'7. Polg.Hiv.'!F101</f>
        <v>154823000</v>
      </c>
      <c r="G116" s="73"/>
      <c r="H116" s="498">
        <f>+'7. Polg.Hiv.'!H101</f>
        <v>79130219</v>
      </c>
      <c r="I116" s="73">
        <f>+'7. Polg.Hiv.'!I101</f>
        <v>115156375</v>
      </c>
      <c r="J116" s="73">
        <f>+'7. Polg.Hiv.'!J101</f>
        <v>152412069</v>
      </c>
      <c r="K116" s="73"/>
      <c r="L116" s="650">
        <f t="shared" si="128"/>
        <v>0.51110118651621528</v>
      </c>
      <c r="M116" s="650">
        <f t="shared" si="129"/>
        <v>0.74379371927943527</v>
      </c>
      <c r="N116" s="689">
        <f t="shared" si="130"/>
        <v>0.98442782403131313</v>
      </c>
      <c r="O116" s="632"/>
      <c r="P116" s="498">
        <f>+'7. Polg.Hiv.'!P101-P128</f>
        <v>0</v>
      </c>
      <c r="Q116" s="73">
        <f>+'7. Polg.Hiv.'!Q101-Q128</f>
        <v>0</v>
      </c>
      <c r="R116" s="73">
        <f>+'7. Polg.Hiv.'!R101-R128</f>
        <v>0</v>
      </c>
      <c r="S116" s="73">
        <f t="shared" si="131"/>
        <v>0</v>
      </c>
      <c r="T116" s="499"/>
      <c r="U116" s="74"/>
    </row>
    <row r="117" spans="1:21" x14ac:dyDescent="0.25">
      <c r="B117" s="56" t="str">
        <f t="shared" si="127"/>
        <v>Wass Albert Művelődési Központ és Könyvtár</v>
      </c>
      <c r="C117" s="498">
        <f>+'8. WAMKK'!C103</f>
        <v>28852000</v>
      </c>
      <c r="D117" s="73">
        <f>+'8. WAMKK'!D103</f>
        <v>28852000</v>
      </c>
      <c r="E117" s="73">
        <f>+'8. WAMKK'!E103</f>
        <v>28852000</v>
      </c>
      <c r="F117" s="459">
        <f>+'8. WAMKK'!F103</f>
        <v>28852000</v>
      </c>
      <c r="G117" s="73"/>
      <c r="H117" s="498">
        <f>+'8. WAMKK'!H103</f>
        <v>13751798</v>
      </c>
      <c r="I117" s="73">
        <f>+'8. WAMKK'!I103</f>
        <v>20398655</v>
      </c>
      <c r="J117" s="73">
        <f>+'8. WAMKK'!J103</f>
        <v>25261669</v>
      </c>
      <c r="K117" s="73"/>
      <c r="L117" s="650">
        <f t="shared" si="128"/>
        <v>0.4766323998336337</v>
      </c>
      <c r="M117" s="650">
        <f t="shared" si="129"/>
        <v>0.70701008595591297</v>
      </c>
      <c r="N117" s="689">
        <f t="shared" si="130"/>
        <v>0.87556041175655064</v>
      </c>
      <c r="O117" s="632"/>
      <c r="P117" s="498">
        <f>+'8. WAMKK'!P103-P129</f>
        <v>0</v>
      </c>
      <c r="Q117" s="73">
        <f>+'8. WAMKK'!Q103-Q129</f>
        <v>0</v>
      </c>
      <c r="R117" s="73">
        <f>+'8. WAMKK'!R103-R129</f>
        <v>0</v>
      </c>
      <c r="S117" s="73">
        <f t="shared" si="131"/>
        <v>0</v>
      </c>
      <c r="T117" s="499"/>
      <c r="U117" s="74"/>
    </row>
    <row r="118" spans="1:21" x14ac:dyDescent="0.25">
      <c r="B118" s="56" t="str">
        <f t="shared" si="127"/>
        <v>Központi Konyha</v>
      </c>
      <c r="C118" s="498">
        <f>+'9. Közp. Konyha'!C99</f>
        <v>87741000</v>
      </c>
      <c r="D118" s="73">
        <f>+'9. Közp. Konyha'!D99</f>
        <v>87741000</v>
      </c>
      <c r="E118" s="73">
        <f>+'9. Közp. Konyha'!E99</f>
        <v>87741000</v>
      </c>
      <c r="F118" s="459">
        <f>+'9. Közp. Konyha'!F99</f>
        <v>87741000</v>
      </c>
      <c r="G118" s="73"/>
      <c r="H118" s="498">
        <f>+'9. Közp. Konyha'!H99</f>
        <v>35337417</v>
      </c>
      <c r="I118" s="73">
        <f>+'9. Közp. Konyha'!I99</f>
        <v>47957545</v>
      </c>
      <c r="J118" s="73">
        <f>+'9. Közp. Konyha'!J99</f>
        <v>70300984</v>
      </c>
      <c r="K118" s="73"/>
      <c r="L118" s="650">
        <f t="shared" si="128"/>
        <v>0.40274691421342362</v>
      </c>
      <c r="M118" s="650">
        <f t="shared" si="129"/>
        <v>0.54658078891282291</v>
      </c>
      <c r="N118" s="689">
        <f t="shared" si="130"/>
        <v>0.80123299255764124</v>
      </c>
      <c r="O118" s="632"/>
      <c r="P118" s="498">
        <f>+'9. Közp. Konyha'!P99-P130</f>
        <v>0</v>
      </c>
      <c r="Q118" s="73">
        <f>+'9. Közp. Konyha'!Q99-Q130</f>
        <v>0</v>
      </c>
      <c r="R118" s="73">
        <f>+'9. Közp. Konyha'!R99-R130</f>
        <v>0</v>
      </c>
      <c r="S118" s="73">
        <f t="shared" si="131"/>
        <v>0</v>
      </c>
      <c r="T118" s="499"/>
      <c r="U118" s="74"/>
    </row>
    <row r="119" spans="1:21" ht="8.1" customHeight="1" x14ac:dyDescent="0.25">
      <c r="B119" s="383" t="s">
        <v>442</v>
      </c>
      <c r="C119" s="500"/>
      <c r="D119" s="382"/>
      <c r="E119" s="382"/>
      <c r="F119" s="511"/>
      <c r="G119" s="382"/>
      <c r="H119" s="500"/>
      <c r="I119" s="382"/>
      <c r="J119" s="382"/>
      <c r="K119" s="382"/>
      <c r="L119" s="690"/>
      <c r="M119" s="690"/>
      <c r="N119" s="691"/>
      <c r="O119" s="684"/>
      <c r="P119" s="500"/>
      <c r="Q119" s="382"/>
      <c r="R119" s="382"/>
      <c r="S119" s="382"/>
      <c r="T119" s="499"/>
      <c r="U119" s="74"/>
    </row>
    <row r="120" spans="1:21" x14ac:dyDescent="0.25">
      <c r="A120" s="384" t="str">
        <f>+A111</f>
        <v>B8</v>
      </c>
      <c r="B120" s="364" t="s">
        <v>436</v>
      </c>
      <c r="C120" s="501">
        <f>SUM(C112:C119)</f>
        <v>804865436</v>
      </c>
      <c r="D120" s="365">
        <f t="shared" ref="D120" si="132">SUM(D112:D119)</f>
        <v>805354680</v>
      </c>
      <c r="E120" s="365">
        <f t="shared" ref="E120" si="133">SUM(E112:E119)</f>
        <v>805354680</v>
      </c>
      <c r="F120" s="512">
        <f t="shared" ref="F120" si="134">SUM(F112:F119)</f>
        <v>805354680</v>
      </c>
      <c r="G120" s="365"/>
      <c r="H120" s="501">
        <f>SUM(H112:H119)</f>
        <v>509451386</v>
      </c>
      <c r="I120" s="365">
        <f t="shared" ref="I120" si="135">SUM(I112:I119)</f>
        <v>633262754</v>
      </c>
      <c r="J120" s="365">
        <f t="shared" ref="J120" si="136">SUM(J112:J119)</f>
        <v>800667198</v>
      </c>
      <c r="K120" s="365"/>
      <c r="L120" s="692">
        <f t="shared" ref="L120" si="137">IF(D120=0,0,H120/D120)</f>
        <v>0.63258015213868257</v>
      </c>
      <c r="M120" s="692">
        <f t="shared" ref="M120" si="138">IF(E120=0,0,I120/E120)</f>
        <v>0.78631535859455115</v>
      </c>
      <c r="N120" s="693">
        <f t="shared" ref="N120" si="139">IF(F120=0,0,J120/F120)</f>
        <v>0.99417960543794193</v>
      </c>
      <c r="O120" s="685"/>
      <c r="P120" s="501">
        <f>SUM(P112:P119)</f>
        <v>978488</v>
      </c>
      <c r="Q120" s="365">
        <f t="shared" ref="Q120" si="140">SUM(Q112:Q119)</f>
        <v>0</v>
      </c>
      <c r="R120" s="365">
        <f t="shared" ref="R120" si="141">SUM(R112:R119)</f>
        <v>0</v>
      </c>
      <c r="S120" s="365">
        <f>+P120*P$8+Q120*Q$8+R120*R$8</f>
        <v>978488</v>
      </c>
      <c r="T120" s="499"/>
      <c r="U120" s="74"/>
    </row>
    <row r="121" spans="1:21" x14ac:dyDescent="0.25">
      <c r="C121" s="502"/>
      <c r="F121" s="457"/>
      <c r="H121" s="502"/>
      <c r="L121" s="650"/>
      <c r="M121" s="650"/>
      <c r="N121" s="689"/>
      <c r="O121" s="633"/>
      <c r="P121" s="502"/>
      <c r="T121" s="499"/>
    </row>
    <row r="122" spans="1:21" x14ac:dyDescent="0.25">
      <c r="C122" s="502"/>
      <c r="F122" s="457"/>
      <c r="H122" s="502"/>
      <c r="L122" s="650"/>
      <c r="M122" s="650"/>
      <c r="N122" s="689"/>
      <c r="O122" s="633"/>
      <c r="P122" s="502"/>
      <c r="T122" s="499"/>
    </row>
    <row r="123" spans="1:21" x14ac:dyDescent="0.25">
      <c r="A123" s="320" t="s">
        <v>443</v>
      </c>
      <c r="B123" s="320"/>
      <c r="C123" s="498"/>
      <c r="D123" s="74"/>
      <c r="E123" s="74"/>
      <c r="F123" s="524"/>
      <c r="G123" s="74"/>
      <c r="H123" s="498"/>
      <c r="K123" s="74"/>
      <c r="L123" s="648"/>
      <c r="M123" s="648"/>
      <c r="N123" s="689"/>
      <c r="O123" s="640"/>
      <c r="P123" s="498"/>
      <c r="Q123" s="73"/>
      <c r="R123" s="73"/>
      <c r="S123" s="73"/>
      <c r="T123" s="499"/>
      <c r="U123" s="74"/>
    </row>
    <row r="124" spans="1:21" x14ac:dyDescent="0.25">
      <c r="B124" s="56" t="str">
        <f t="shared" ref="B124:B130" si="142">+B112</f>
        <v>Sülysáp Város Önkormányzata</v>
      </c>
      <c r="C124" s="498">
        <f>+' 2. Önk. Bevételek'!C87</f>
        <v>212261436</v>
      </c>
      <c r="D124" s="73">
        <f>+' 2. Önk. Bevételek'!D87</f>
        <v>212261436</v>
      </c>
      <c r="E124" s="73">
        <f>+' 2. Önk. Bevételek'!E87</f>
        <v>212261436</v>
      </c>
      <c r="F124" s="459">
        <f>+' 2. Önk. Bevételek'!F87</f>
        <v>212261436</v>
      </c>
      <c r="G124" s="74"/>
      <c r="H124" s="498">
        <f>+' 2. Önk. Bevételek'!H87</f>
        <v>212261436</v>
      </c>
      <c r="I124" s="73">
        <f>+' 2. Önk. Bevételek'!I87</f>
        <v>212261436</v>
      </c>
      <c r="J124" s="73">
        <f>+' 2. Önk. Bevételek'!J87</f>
        <v>212261436</v>
      </c>
      <c r="K124" s="74"/>
      <c r="L124" s="650">
        <f t="shared" ref="L124:L130" si="143">IF(D124=0,0,H124/D124)</f>
        <v>1</v>
      </c>
      <c r="M124" s="650">
        <f t="shared" ref="M124:M130" si="144">IF(E124=0,0,I124/E124)</f>
        <v>1</v>
      </c>
      <c r="N124" s="689">
        <f t="shared" ref="N124:N130" si="145">IF(F124=0,0,J124/F124)</f>
        <v>1</v>
      </c>
      <c r="O124" s="640"/>
      <c r="P124" s="498">
        <f>+' 2. Önk. Bevételek'!P87</f>
        <v>0</v>
      </c>
      <c r="Q124" s="73">
        <f>+' 2. Önk. Bevételek'!Q87</f>
        <v>0</v>
      </c>
      <c r="R124" s="73">
        <f>+' 2. Önk. Bevételek'!R87</f>
        <v>0</v>
      </c>
      <c r="S124" s="73">
        <f t="shared" ref="S124:S130" si="146">+P124*P$8+Q124*Q$8+R124*R$8</f>
        <v>0</v>
      </c>
      <c r="T124" s="499"/>
      <c r="U124" s="74"/>
    </row>
    <row r="125" spans="1:21" x14ac:dyDescent="0.25">
      <c r="A125" s="56"/>
      <c r="B125" s="56" t="str">
        <f t="shared" si="142"/>
        <v>Dr. Gáspár István HSZK</v>
      </c>
      <c r="C125" s="498">
        <f>+'4. Dr Gáspár HSZK'!C101</f>
        <v>632401</v>
      </c>
      <c r="D125" s="73">
        <f>+'4. Dr Gáspár HSZK'!D101</f>
        <v>632401</v>
      </c>
      <c r="E125" s="73">
        <f>+'4. Dr Gáspár HSZK'!E101</f>
        <v>632401</v>
      </c>
      <c r="F125" s="459">
        <f>+'4. Dr Gáspár HSZK'!F101</f>
        <v>632401</v>
      </c>
      <c r="G125" s="73"/>
      <c r="H125" s="498">
        <f>+'4. Dr Gáspár HSZK'!H101</f>
        <v>632401</v>
      </c>
      <c r="I125" s="73">
        <f>+'4. Dr Gáspár HSZK'!I101</f>
        <v>632401</v>
      </c>
      <c r="J125" s="73">
        <f>+'4. Dr Gáspár HSZK'!J101</f>
        <v>632401</v>
      </c>
      <c r="K125" s="73"/>
      <c r="L125" s="650">
        <f t="shared" si="143"/>
        <v>1</v>
      </c>
      <c r="M125" s="650">
        <f t="shared" si="144"/>
        <v>1</v>
      </c>
      <c r="N125" s="689">
        <f t="shared" si="145"/>
        <v>1</v>
      </c>
      <c r="O125" s="632"/>
      <c r="P125" s="498">
        <f>+'4. Dr Gáspár HSZK'!P101</f>
        <v>0</v>
      </c>
      <c r="Q125" s="73">
        <f>+'4. Dr Gáspár HSZK'!Q101</f>
        <v>0</v>
      </c>
      <c r="R125" s="73">
        <f>+'4. Dr Gáspár HSZK'!R101</f>
        <v>0</v>
      </c>
      <c r="S125" s="73">
        <f t="shared" si="146"/>
        <v>0</v>
      </c>
      <c r="T125" s="499"/>
      <c r="U125" s="74"/>
    </row>
    <row r="126" spans="1:21" x14ac:dyDescent="0.25">
      <c r="B126" s="56" t="str">
        <f t="shared" si="142"/>
        <v>SÜLYSÁPI CSICSERGŐ ÓVODA</v>
      </c>
      <c r="C126" s="498">
        <f>+'5. Csicsergő'!C101</f>
        <v>587841</v>
      </c>
      <c r="D126" s="73">
        <f>+'5. Csicsergő'!D101</f>
        <v>587841</v>
      </c>
      <c r="E126" s="73">
        <f>+'5. Csicsergő'!E101</f>
        <v>587841</v>
      </c>
      <c r="F126" s="459">
        <f>+'5. Csicsergő'!F101</f>
        <v>587841</v>
      </c>
      <c r="G126" s="73"/>
      <c r="H126" s="498">
        <f>+'5. Csicsergő'!H101</f>
        <v>587841</v>
      </c>
      <c r="I126" s="73">
        <f>+'5. Csicsergő'!I101</f>
        <v>587841</v>
      </c>
      <c r="J126" s="73">
        <f>+'5. Csicsergő'!J101</f>
        <v>587841</v>
      </c>
      <c r="K126" s="73"/>
      <c r="L126" s="650">
        <f t="shared" si="143"/>
        <v>1</v>
      </c>
      <c r="M126" s="650">
        <f t="shared" si="144"/>
        <v>1</v>
      </c>
      <c r="N126" s="689">
        <f t="shared" si="145"/>
        <v>1</v>
      </c>
      <c r="O126" s="632"/>
      <c r="P126" s="498">
        <f>+'5. Csicsergő'!P101</f>
        <v>0</v>
      </c>
      <c r="Q126" s="73">
        <f>+'5. Csicsergő'!Q101</f>
        <v>0</v>
      </c>
      <c r="R126" s="73">
        <f>+'5. Csicsergő'!R101</f>
        <v>0</v>
      </c>
      <c r="S126" s="73">
        <f t="shared" si="146"/>
        <v>0</v>
      </c>
      <c r="T126" s="499"/>
      <c r="U126" s="74"/>
    </row>
    <row r="127" spans="1:21" x14ac:dyDescent="0.25">
      <c r="B127" s="56" t="str">
        <f t="shared" si="142"/>
        <v>GÓLYAHÍR BÖLCSŐDE</v>
      </c>
      <c r="C127" s="498">
        <f>+'6. Gólyahír'!C101</f>
        <v>1333622</v>
      </c>
      <c r="D127" s="73">
        <f>+'6. Gólyahír'!D101</f>
        <v>1333622</v>
      </c>
      <c r="E127" s="73">
        <f>+'6. Gólyahír'!E101</f>
        <v>1333622</v>
      </c>
      <c r="F127" s="459">
        <f>+'6. Gólyahír'!F101</f>
        <v>1333622</v>
      </c>
      <c r="G127" s="73"/>
      <c r="H127" s="498">
        <f>+'6. Gólyahír'!H101</f>
        <v>1333622</v>
      </c>
      <c r="I127" s="73">
        <f>+'6. Gólyahír'!I101</f>
        <v>1333622</v>
      </c>
      <c r="J127" s="73">
        <f>+'6. Gólyahír'!J101</f>
        <v>1333622</v>
      </c>
      <c r="K127" s="73"/>
      <c r="L127" s="650">
        <f t="shared" si="143"/>
        <v>1</v>
      </c>
      <c r="M127" s="650">
        <f t="shared" si="144"/>
        <v>1</v>
      </c>
      <c r="N127" s="689">
        <f t="shared" si="145"/>
        <v>1</v>
      </c>
      <c r="O127" s="632"/>
      <c r="P127" s="498">
        <f>+'6. Gólyahír'!P101</f>
        <v>0</v>
      </c>
      <c r="Q127" s="73">
        <f>+'6. Gólyahír'!Q101</f>
        <v>0</v>
      </c>
      <c r="R127" s="73">
        <f>+'6. Gólyahír'!R101</f>
        <v>0</v>
      </c>
      <c r="S127" s="73">
        <f t="shared" si="146"/>
        <v>0</v>
      </c>
      <c r="T127" s="499"/>
      <c r="U127" s="74"/>
    </row>
    <row r="128" spans="1:21" x14ac:dyDescent="0.25">
      <c r="B128" s="56" t="str">
        <f t="shared" si="142"/>
        <v>SÜLYSÁPI POLGÁRMESTERI HIVATAL</v>
      </c>
      <c r="C128" s="498">
        <f>+'7. Polg.Hiv.'!C103</f>
        <v>0</v>
      </c>
      <c r="D128" s="73">
        <f>+'7. Polg.Hiv.'!D103</f>
        <v>0</v>
      </c>
      <c r="E128" s="73">
        <f>+'7. Polg.Hiv.'!E103</f>
        <v>0</v>
      </c>
      <c r="F128" s="459">
        <f>+'7. Polg.Hiv.'!F103</f>
        <v>0</v>
      </c>
      <c r="G128" s="73"/>
      <c r="H128" s="498">
        <f>+'7. Polg.Hiv.'!H103</f>
        <v>0</v>
      </c>
      <c r="I128" s="73">
        <f>+'7. Polg.Hiv.'!I103</f>
        <v>0</v>
      </c>
      <c r="J128" s="73">
        <f>+'7. Polg.Hiv.'!J103</f>
        <v>0</v>
      </c>
      <c r="K128" s="73"/>
      <c r="L128" s="650">
        <f t="shared" si="143"/>
        <v>0</v>
      </c>
      <c r="M128" s="650">
        <f t="shared" si="144"/>
        <v>0</v>
      </c>
      <c r="N128" s="689">
        <f t="shared" si="145"/>
        <v>0</v>
      </c>
      <c r="O128" s="632"/>
      <c r="P128" s="498">
        <f>+'7. Polg.Hiv.'!P103</f>
        <v>0</v>
      </c>
      <c r="Q128" s="73">
        <f>+'7. Polg.Hiv.'!Q103</f>
        <v>0</v>
      </c>
      <c r="R128" s="73">
        <f>+'7. Polg.Hiv.'!R103</f>
        <v>0</v>
      </c>
      <c r="S128" s="73">
        <f t="shared" si="146"/>
        <v>0</v>
      </c>
      <c r="T128" s="499"/>
      <c r="U128" s="74"/>
    </row>
    <row r="129" spans="1:21" x14ac:dyDescent="0.25">
      <c r="B129" s="56" t="str">
        <f t="shared" si="142"/>
        <v>Wass Albert Művelődési Központ és Könyvtár</v>
      </c>
      <c r="C129" s="498">
        <f>+'8. WAMKK'!C105</f>
        <v>575583</v>
      </c>
      <c r="D129" s="73">
        <f>+'8. WAMKK'!D105</f>
        <v>575583</v>
      </c>
      <c r="E129" s="73">
        <f>+'8. WAMKK'!E105</f>
        <v>575583</v>
      </c>
      <c r="F129" s="459">
        <f>+'8. WAMKK'!F105</f>
        <v>575583</v>
      </c>
      <c r="G129" s="73"/>
      <c r="H129" s="498">
        <f>+'8. WAMKK'!H105</f>
        <v>575583</v>
      </c>
      <c r="I129" s="73">
        <f>+'8. WAMKK'!I105</f>
        <v>575583</v>
      </c>
      <c r="J129" s="73">
        <f>+'8. WAMKK'!J105</f>
        <v>575583</v>
      </c>
      <c r="K129" s="73"/>
      <c r="L129" s="650">
        <f t="shared" si="143"/>
        <v>1</v>
      </c>
      <c r="M129" s="650">
        <f t="shared" si="144"/>
        <v>1</v>
      </c>
      <c r="N129" s="689">
        <f t="shared" si="145"/>
        <v>1</v>
      </c>
      <c r="O129" s="632"/>
      <c r="P129" s="498">
        <f>+'8. WAMKK'!P105</f>
        <v>0</v>
      </c>
      <c r="Q129" s="73">
        <f>+'8. WAMKK'!Q105</f>
        <v>0</v>
      </c>
      <c r="R129" s="73">
        <f>+'8. WAMKK'!R105</f>
        <v>0</v>
      </c>
      <c r="S129" s="73">
        <f t="shared" si="146"/>
        <v>0</v>
      </c>
      <c r="T129" s="499"/>
      <c r="U129" s="74"/>
    </row>
    <row r="130" spans="1:21" x14ac:dyDescent="0.25">
      <c r="B130" s="56" t="str">
        <f t="shared" si="142"/>
        <v>Központi Konyha</v>
      </c>
      <c r="C130" s="498">
        <f>+'9. Közp. Konyha'!C101</f>
        <v>988954</v>
      </c>
      <c r="D130" s="73">
        <f>+'9. Közp. Konyha'!D101</f>
        <v>988954</v>
      </c>
      <c r="E130" s="73">
        <f>+'9. Közp. Konyha'!E101</f>
        <v>988954</v>
      </c>
      <c r="F130" s="459">
        <f>+'9. Közp. Konyha'!F101</f>
        <v>988954</v>
      </c>
      <c r="G130" s="73"/>
      <c r="H130" s="498">
        <f>+'9. Közp. Konyha'!H101</f>
        <v>988954</v>
      </c>
      <c r="I130" s="73">
        <f>+'9. Közp. Konyha'!I101</f>
        <v>988954</v>
      </c>
      <c r="J130" s="73">
        <f>+'9. Közp. Konyha'!J101</f>
        <v>988954</v>
      </c>
      <c r="K130" s="73"/>
      <c r="L130" s="650">
        <f t="shared" si="143"/>
        <v>1</v>
      </c>
      <c r="M130" s="650">
        <f t="shared" si="144"/>
        <v>1</v>
      </c>
      <c r="N130" s="689">
        <f t="shared" si="145"/>
        <v>1</v>
      </c>
      <c r="O130" s="632"/>
      <c r="P130" s="498">
        <f>+'9. Közp. Konyha'!P101</f>
        <v>0</v>
      </c>
      <c r="Q130" s="73">
        <f>+'9. Közp. Konyha'!Q101</f>
        <v>0</v>
      </c>
      <c r="R130" s="73">
        <f>+'9. Közp. Konyha'!R101</f>
        <v>0</v>
      </c>
      <c r="S130" s="73">
        <f t="shared" si="146"/>
        <v>0</v>
      </c>
      <c r="T130" s="499"/>
      <c r="U130" s="74"/>
    </row>
    <row r="131" spans="1:21" ht="8.1" customHeight="1" x14ac:dyDescent="0.25">
      <c r="B131" s="383" t="s">
        <v>442</v>
      </c>
      <c r="C131" s="500"/>
      <c r="D131" s="382"/>
      <c r="E131" s="382"/>
      <c r="F131" s="511"/>
      <c r="G131" s="382"/>
      <c r="H131" s="500"/>
      <c r="I131" s="382"/>
      <c r="J131" s="382"/>
      <c r="K131" s="382"/>
      <c r="L131" s="690"/>
      <c r="M131" s="690"/>
      <c r="N131" s="691"/>
      <c r="O131" s="684"/>
      <c r="P131" s="500"/>
      <c r="Q131" s="382"/>
      <c r="R131" s="382"/>
      <c r="S131" s="382"/>
      <c r="T131" s="499"/>
      <c r="U131" s="74"/>
    </row>
    <row r="132" spans="1:21" x14ac:dyDescent="0.25">
      <c r="A132" s="384" t="str">
        <f>+A123</f>
        <v>B8-ból előző évi mardvány igénybevétele</v>
      </c>
      <c r="B132" s="364" t="s">
        <v>436</v>
      </c>
      <c r="C132" s="501">
        <f>SUM(C124:C131)</f>
        <v>216379837</v>
      </c>
      <c r="D132" s="365">
        <f t="shared" ref="D132" si="147">SUM(D124:D131)</f>
        <v>216379837</v>
      </c>
      <c r="E132" s="365">
        <f t="shared" ref="E132" si="148">SUM(E124:E131)</f>
        <v>216379837</v>
      </c>
      <c r="F132" s="512">
        <f t="shared" ref="F132" si="149">SUM(F124:F131)</f>
        <v>216379837</v>
      </c>
      <c r="G132" s="365"/>
      <c r="H132" s="501">
        <f>SUM(H124:H131)</f>
        <v>216379837</v>
      </c>
      <c r="I132" s="365">
        <f t="shared" ref="I132" si="150">SUM(I124:I131)</f>
        <v>216379837</v>
      </c>
      <c r="J132" s="365">
        <f t="shared" ref="J132" si="151">SUM(J124:J131)</f>
        <v>216379837</v>
      </c>
      <c r="K132" s="365"/>
      <c r="L132" s="692">
        <f t="shared" ref="L132" si="152">IF(D132=0,0,H132/D132)</f>
        <v>1</v>
      </c>
      <c r="M132" s="692">
        <f t="shared" ref="M132" si="153">IF(E132=0,0,I132/E132)</f>
        <v>1</v>
      </c>
      <c r="N132" s="693">
        <f t="shared" ref="N132" si="154">IF(F132=0,0,J132/F132)</f>
        <v>1</v>
      </c>
      <c r="O132" s="685"/>
      <c r="P132" s="501">
        <f>SUM(P124:P131)</f>
        <v>0</v>
      </c>
      <c r="Q132" s="365">
        <f t="shared" ref="Q132" si="155">SUM(Q124:Q131)</f>
        <v>0</v>
      </c>
      <c r="R132" s="365">
        <f t="shared" ref="R132" si="156">SUM(R124:R131)</f>
        <v>0</v>
      </c>
      <c r="S132" s="365">
        <f>+P132*P$8+Q132*Q$8+R132*R$8</f>
        <v>0</v>
      </c>
      <c r="T132" s="499"/>
      <c r="U132" s="74"/>
    </row>
    <row r="133" spans="1:21" x14ac:dyDescent="0.25">
      <c r="C133" s="498"/>
      <c r="F133" s="457"/>
      <c r="H133" s="502"/>
      <c r="L133" s="650"/>
      <c r="M133" s="650"/>
      <c r="N133" s="689"/>
      <c r="O133" s="633"/>
      <c r="P133" s="502"/>
      <c r="T133" s="499"/>
    </row>
    <row r="134" spans="1:21" x14ac:dyDescent="0.25">
      <c r="C134" s="502"/>
      <c r="F134" s="457"/>
      <c r="H134" s="502"/>
      <c r="L134" s="650"/>
      <c r="M134" s="650"/>
      <c r="N134" s="689"/>
      <c r="O134" s="633"/>
      <c r="P134" s="502"/>
      <c r="T134" s="499"/>
    </row>
    <row r="135" spans="1:21" x14ac:dyDescent="0.25">
      <c r="A135" s="320" t="s">
        <v>353</v>
      </c>
      <c r="B135" s="320" t="str">
        <f>+'4. Dr Gáspár HSZK'!B100</f>
        <v>Központi, irányító szervi támogatás</v>
      </c>
      <c r="C135" s="525" t="s">
        <v>438</v>
      </c>
      <c r="D135" s="74"/>
      <c r="E135" s="74"/>
      <c r="F135" s="524"/>
      <c r="G135" s="74"/>
      <c r="H135" s="498"/>
      <c r="K135" s="74"/>
      <c r="L135" s="648"/>
      <c r="M135" s="648"/>
      <c r="N135" s="689"/>
      <c r="O135" s="640"/>
      <c r="P135" s="498"/>
      <c r="Q135" s="73"/>
      <c r="R135" s="73"/>
      <c r="S135" s="73"/>
      <c r="T135" s="499"/>
      <c r="U135" s="74"/>
    </row>
    <row r="136" spans="1:21" x14ac:dyDescent="0.25">
      <c r="B136" s="56" t="str">
        <f t="shared" ref="B136:B142" si="157">+B124</f>
        <v>Sülysáp Város Önkormányzata</v>
      </c>
      <c r="C136" s="498"/>
      <c r="D136" s="73"/>
      <c r="E136" s="73"/>
      <c r="F136" s="459"/>
      <c r="G136" s="74"/>
      <c r="H136" s="498"/>
      <c r="I136" s="73"/>
      <c r="J136" s="73"/>
      <c r="K136" s="74"/>
      <c r="L136" s="648"/>
      <c r="M136" s="648"/>
      <c r="N136" s="689"/>
      <c r="O136" s="640"/>
      <c r="P136" s="498"/>
      <c r="Q136" s="73"/>
      <c r="R136" s="73"/>
      <c r="S136" s="73"/>
      <c r="T136" s="499"/>
      <c r="U136" s="74"/>
    </row>
    <row r="137" spans="1:21" x14ac:dyDescent="0.25">
      <c r="A137" s="56"/>
      <c r="B137" s="56" t="str">
        <f t="shared" si="157"/>
        <v>Dr. Gáspár István HSZK</v>
      </c>
      <c r="C137" s="498">
        <f>+'4. Dr Gáspár HSZK'!C100</f>
        <v>37908599</v>
      </c>
      <c r="D137" s="73">
        <f>+'4. Dr Gáspár HSZK'!D100</f>
        <v>37908599</v>
      </c>
      <c r="E137" s="73">
        <f>+'4. Dr Gáspár HSZK'!E100</f>
        <v>37908599</v>
      </c>
      <c r="F137" s="459">
        <f>+'4. Dr Gáspár HSZK'!F100</f>
        <v>37908599</v>
      </c>
      <c r="G137" s="73"/>
      <c r="H137" s="498">
        <f>+'4. Dr Gáspár HSZK'!H100</f>
        <v>19343259</v>
      </c>
      <c r="I137" s="73">
        <f>+'4. Dr Gáspár HSZK'!I100</f>
        <v>26920675</v>
      </c>
      <c r="J137" s="73">
        <f>+'4. Dr Gáspár HSZK'!J100</f>
        <v>35356344</v>
      </c>
      <c r="K137" s="73"/>
      <c r="L137" s="650">
        <f t="shared" ref="L137:L144" si="158">IF(D137=0,0,H137/D137)</f>
        <v>0.5102604556818362</v>
      </c>
      <c r="M137" s="650">
        <f t="shared" ref="M137:M144" si="159">IF(E137=0,0,I137/E137)</f>
        <v>0.71014692471225327</v>
      </c>
      <c r="N137" s="689">
        <f t="shared" ref="N137:N144" si="160">IF(F137=0,0,J137/F137)</f>
        <v>0.93267345490662945</v>
      </c>
      <c r="O137" s="632"/>
      <c r="P137" s="498">
        <f>+'4. Dr Gáspár HSZK'!P100</f>
        <v>0</v>
      </c>
      <c r="Q137" s="73">
        <f>+'4. Dr Gáspár HSZK'!Q100</f>
        <v>0</v>
      </c>
      <c r="R137" s="73">
        <f>+'4. Dr Gáspár HSZK'!R100</f>
        <v>0</v>
      </c>
      <c r="S137" s="73">
        <f t="shared" ref="S137:S142" si="161">+P137*P$8+Q137*Q$8+R137*R$8</f>
        <v>0</v>
      </c>
      <c r="T137" s="499"/>
      <c r="U137" s="74"/>
    </row>
    <row r="138" spans="1:21" x14ac:dyDescent="0.25">
      <c r="B138" s="56" t="str">
        <f t="shared" si="157"/>
        <v>SÜLYSÁPI CSICSERGŐ ÓVODA</v>
      </c>
      <c r="C138" s="498">
        <f>+'5. Csicsergő'!C100</f>
        <v>208046159</v>
      </c>
      <c r="D138" s="73">
        <f>+'5. Csicsergő'!D100</f>
        <v>208046159</v>
      </c>
      <c r="E138" s="73">
        <f>+'5. Csicsergő'!E100</f>
        <v>208046159</v>
      </c>
      <c r="F138" s="459">
        <f>+'5. Csicsergő'!F100</f>
        <v>208046159</v>
      </c>
      <c r="G138" s="73"/>
      <c r="H138" s="498">
        <f>+'5. Csicsergő'!H100</f>
        <v>108702593</v>
      </c>
      <c r="I138" s="73">
        <f>+'5. Csicsergő'!I100</f>
        <v>153763522</v>
      </c>
      <c r="J138" s="73">
        <f>+'5. Csicsergő'!J100</f>
        <v>205845198</v>
      </c>
      <c r="K138" s="73"/>
      <c r="L138" s="650">
        <f t="shared" si="158"/>
        <v>0.52249266952340134</v>
      </c>
      <c r="M138" s="650">
        <f t="shared" si="159"/>
        <v>0.73908368575071848</v>
      </c>
      <c r="N138" s="689">
        <f t="shared" si="160"/>
        <v>0.98942080444753611</v>
      </c>
      <c r="O138" s="632"/>
      <c r="P138" s="498">
        <f>+'5. Csicsergő'!P100</f>
        <v>0</v>
      </c>
      <c r="Q138" s="73">
        <f>+'5. Csicsergő'!Q100</f>
        <v>0</v>
      </c>
      <c r="R138" s="73">
        <f>+'5. Csicsergő'!R100</f>
        <v>0</v>
      </c>
      <c r="S138" s="73">
        <f t="shared" si="161"/>
        <v>0</v>
      </c>
      <c r="T138" s="499"/>
      <c r="U138" s="74"/>
    </row>
    <row r="139" spans="1:21" x14ac:dyDescent="0.25">
      <c r="B139" s="56" t="str">
        <f t="shared" si="157"/>
        <v>GÓLYAHÍR BÖLCSŐDE</v>
      </c>
      <c r="C139" s="498">
        <f>+'6. Gólyahír'!C100</f>
        <v>72679378</v>
      </c>
      <c r="D139" s="73">
        <f>+'6. Gólyahír'!D100</f>
        <v>72679378</v>
      </c>
      <c r="E139" s="73">
        <f>+'6. Gólyahír'!E100</f>
        <v>72679378</v>
      </c>
      <c r="F139" s="459">
        <f>+'6. Gólyahír'!F100</f>
        <v>72679378</v>
      </c>
      <c r="G139" s="73"/>
      <c r="H139" s="498">
        <f>+'6. Gólyahír'!H100</f>
        <v>37881556</v>
      </c>
      <c r="I139" s="73">
        <f>+'6. Gólyahír'!I100</f>
        <v>53761438</v>
      </c>
      <c r="J139" s="73">
        <f>+'6. Gólyahír'!J100</f>
        <v>71609031</v>
      </c>
      <c r="K139" s="73"/>
      <c r="L139" s="650">
        <f t="shared" si="158"/>
        <v>0.52121464220566116</v>
      </c>
      <c r="M139" s="650">
        <f t="shared" si="159"/>
        <v>0.73970690833375041</v>
      </c>
      <c r="N139" s="689">
        <f t="shared" si="160"/>
        <v>0.98527303026726509</v>
      </c>
      <c r="O139" s="632"/>
      <c r="P139" s="498">
        <f>+'6. Gólyahír'!P100</f>
        <v>0</v>
      </c>
      <c r="Q139" s="73">
        <f>+'6. Gólyahír'!Q100</f>
        <v>0</v>
      </c>
      <c r="R139" s="73">
        <f>+'6. Gólyahír'!R100</f>
        <v>0</v>
      </c>
      <c r="S139" s="73">
        <f t="shared" si="161"/>
        <v>0</v>
      </c>
      <c r="T139" s="499"/>
      <c r="U139" s="74"/>
    </row>
    <row r="140" spans="1:21" x14ac:dyDescent="0.25">
      <c r="B140" s="56" t="str">
        <f t="shared" si="157"/>
        <v>SÜLYSÁPI POLGÁRMESTERI HIVATAL</v>
      </c>
      <c r="C140" s="498">
        <f>+'7. Polg.Hiv.'!C102</f>
        <v>154823000</v>
      </c>
      <c r="D140" s="73">
        <f>+'7. Polg.Hiv.'!D102</f>
        <v>154823000</v>
      </c>
      <c r="E140" s="73">
        <f>+'7. Polg.Hiv.'!E102</f>
        <v>154823000</v>
      </c>
      <c r="F140" s="459">
        <f>+'7. Polg.Hiv.'!F102</f>
        <v>154823000</v>
      </c>
      <c r="G140" s="73"/>
      <c r="H140" s="498">
        <f>+'7. Polg.Hiv.'!H102</f>
        <v>79130219</v>
      </c>
      <c r="I140" s="73">
        <f>+'7. Polg.Hiv.'!I102</f>
        <v>115156375</v>
      </c>
      <c r="J140" s="73">
        <f>+'7. Polg.Hiv.'!J102</f>
        <v>152412069</v>
      </c>
      <c r="K140" s="73"/>
      <c r="L140" s="650">
        <f t="shared" si="158"/>
        <v>0.51110118651621528</v>
      </c>
      <c r="M140" s="650">
        <f t="shared" si="159"/>
        <v>0.74379371927943527</v>
      </c>
      <c r="N140" s="689">
        <f t="shared" si="160"/>
        <v>0.98442782403131313</v>
      </c>
      <c r="O140" s="632"/>
      <c r="P140" s="498">
        <f>+'7. Polg.Hiv.'!P102</f>
        <v>0</v>
      </c>
      <c r="Q140" s="73">
        <f>+'7. Polg.Hiv.'!Q102</f>
        <v>0</v>
      </c>
      <c r="R140" s="73">
        <f>+'7. Polg.Hiv.'!R102</f>
        <v>0</v>
      </c>
      <c r="S140" s="73">
        <f t="shared" si="161"/>
        <v>0</v>
      </c>
      <c r="T140" s="499"/>
      <c r="U140" s="74"/>
    </row>
    <row r="141" spans="1:21" x14ac:dyDescent="0.25">
      <c r="B141" s="56" t="str">
        <f t="shared" si="157"/>
        <v>Wass Albert Művelődési Központ és Könyvtár</v>
      </c>
      <c r="C141" s="498">
        <f>+'8. WAMKK'!C104</f>
        <v>28276417</v>
      </c>
      <c r="D141" s="73">
        <f>+'8. WAMKK'!D104</f>
        <v>28276417</v>
      </c>
      <c r="E141" s="73">
        <f>+'8. WAMKK'!E104</f>
        <v>28276417</v>
      </c>
      <c r="F141" s="459">
        <f>+'8. WAMKK'!F104</f>
        <v>28276417</v>
      </c>
      <c r="G141" s="73"/>
      <c r="H141" s="498">
        <f>+'8. WAMKK'!H104</f>
        <v>13176215</v>
      </c>
      <c r="I141" s="73">
        <f>+'8. WAMKK'!I104</f>
        <v>19823072</v>
      </c>
      <c r="J141" s="73">
        <f>+'8. WAMKK'!J104</f>
        <v>24686086</v>
      </c>
      <c r="K141" s="73"/>
      <c r="L141" s="650">
        <f t="shared" si="158"/>
        <v>0.46597894634245918</v>
      </c>
      <c r="M141" s="650">
        <f t="shared" si="159"/>
        <v>0.7010461049573572</v>
      </c>
      <c r="N141" s="689">
        <f t="shared" si="160"/>
        <v>0.87302737118355556</v>
      </c>
      <c r="O141" s="632"/>
      <c r="P141" s="498">
        <f>+'8. WAMKK'!P104</f>
        <v>0</v>
      </c>
      <c r="Q141" s="73">
        <f>+'8. WAMKK'!Q104</f>
        <v>0</v>
      </c>
      <c r="R141" s="73">
        <f>+'8. WAMKK'!R104</f>
        <v>0</v>
      </c>
      <c r="S141" s="73">
        <f t="shared" si="161"/>
        <v>0</v>
      </c>
      <c r="T141" s="499"/>
      <c r="U141" s="74"/>
    </row>
    <row r="142" spans="1:21" x14ac:dyDescent="0.25">
      <c r="B142" s="56" t="str">
        <f t="shared" si="157"/>
        <v>Központi Konyha</v>
      </c>
      <c r="C142" s="498">
        <f>+'9. Közp. Konyha'!C100</f>
        <v>86752046</v>
      </c>
      <c r="D142" s="73">
        <f>+'9. Közp. Konyha'!D100</f>
        <v>86752046</v>
      </c>
      <c r="E142" s="73">
        <f>+'9. Közp. Konyha'!E100</f>
        <v>86752046</v>
      </c>
      <c r="F142" s="459">
        <f>+'9. Közp. Konyha'!F100</f>
        <v>86752046</v>
      </c>
      <c r="G142" s="73"/>
      <c r="H142" s="498">
        <f>+'9. Közp. Konyha'!H100</f>
        <v>34348463</v>
      </c>
      <c r="I142" s="73">
        <f>+'9. Közp. Konyha'!I100</f>
        <v>46968591</v>
      </c>
      <c r="J142" s="73">
        <f>+'9. Közp. Konyha'!J100</f>
        <v>69312030</v>
      </c>
      <c r="K142" s="73"/>
      <c r="L142" s="650">
        <f t="shared" si="158"/>
        <v>0.39593836207620969</v>
      </c>
      <c r="M142" s="650">
        <f t="shared" si="159"/>
        <v>0.5414119109075537</v>
      </c>
      <c r="N142" s="689">
        <f t="shared" si="160"/>
        <v>0.7989670929490239</v>
      </c>
      <c r="O142" s="632"/>
      <c r="P142" s="498">
        <f>+'9. Közp. Konyha'!P100</f>
        <v>0</v>
      </c>
      <c r="Q142" s="73">
        <f>+'9. Közp. Konyha'!Q100</f>
        <v>0</v>
      </c>
      <c r="R142" s="73">
        <f>+'9. Közp. Konyha'!R100</f>
        <v>0</v>
      </c>
      <c r="S142" s="73">
        <f t="shared" si="161"/>
        <v>0</v>
      </c>
      <c r="T142" s="499"/>
      <c r="U142" s="74"/>
    </row>
    <row r="143" spans="1:21" ht="8.1" customHeight="1" x14ac:dyDescent="0.25">
      <c r="B143" s="383" t="s">
        <v>442</v>
      </c>
      <c r="C143" s="500"/>
      <c r="D143" s="382"/>
      <c r="E143" s="382"/>
      <c r="F143" s="511"/>
      <c r="G143" s="382"/>
      <c r="H143" s="500"/>
      <c r="I143" s="382"/>
      <c r="J143" s="382"/>
      <c r="K143" s="382"/>
      <c r="L143" s="690"/>
      <c r="M143" s="690"/>
      <c r="N143" s="691"/>
      <c r="O143" s="684"/>
      <c r="P143" s="500"/>
      <c r="Q143" s="382"/>
      <c r="R143" s="382"/>
      <c r="S143" s="382"/>
      <c r="T143" s="499"/>
      <c r="U143" s="74"/>
    </row>
    <row r="144" spans="1:21" x14ac:dyDescent="0.25">
      <c r="B144" s="364" t="s">
        <v>436</v>
      </c>
      <c r="C144" s="501">
        <f>SUM(C136:C142)</f>
        <v>588485599</v>
      </c>
      <c r="D144" s="365">
        <f t="shared" ref="D144:F144" si="162">SUM(D136:D142)</f>
        <v>588485599</v>
      </c>
      <c r="E144" s="365">
        <f t="shared" si="162"/>
        <v>588485599</v>
      </c>
      <c r="F144" s="512">
        <f t="shared" si="162"/>
        <v>588485599</v>
      </c>
      <c r="G144" s="365"/>
      <c r="H144" s="501">
        <f t="shared" ref="H144:J144" si="163">SUM(H136:H142)</f>
        <v>292582305</v>
      </c>
      <c r="I144" s="365">
        <f t="shared" si="163"/>
        <v>416393673</v>
      </c>
      <c r="J144" s="365">
        <f t="shared" si="163"/>
        <v>559220758</v>
      </c>
      <c r="K144" s="365"/>
      <c r="L144" s="692">
        <f t="shared" si="158"/>
        <v>0.49717836000945198</v>
      </c>
      <c r="M144" s="692">
        <f t="shared" si="159"/>
        <v>0.70756816089904007</v>
      </c>
      <c r="N144" s="693">
        <f t="shared" si="160"/>
        <v>0.95027093092893167</v>
      </c>
      <c r="O144" s="685"/>
      <c r="P144" s="501">
        <f>SUM(P137:P142)</f>
        <v>0</v>
      </c>
      <c r="Q144" s="365">
        <f>SUM(Q136:Q142)</f>
        <v>0</v>
      </c>
      <c r="R144" s="365">
        <f>SUM(R136:R142)</f>
        <v>0</v>
      </c>
      <c r="S144" s="365">
        <f>+P144*P$8+Q144*Q$8+R144*R$8</f>
        <v>0</v>
      </c>
      <c r="T144" s="499"/>
      <c r="U144" s="74"/>
    </row>
    <row r="145" spans="3:20" x14ac:dyDescent="0.25">
      <c r="C145" s="503"/>
      <c r="D145" s="513"/>
      <c r="E145" s="513"/>
      <c r="F145" s="526"/>
      <c r="H145" s="503"/>
      <c r="I145" s="513"/>
      <c r="J145" s="513"/>
      <c r="K145" s="513"/>
      <c r="L145" s="694"/>
      <c r="M145" s="694"/>
      <c r="N145" s="695"/>
      <c r="O145" s="633"/>
      <c r="P145" s="503"/>
      <c r="Q145" s="504"/>
      <c r="R145" s="504"/>
      <c r="S145" s="504"/>
      <c r="T145" s="505"/>
    </row>
    <row r="146" spans="3:20" x14ac:dyDescent="0.25">
      <c r="C146" s="23"/>
      <c r="L146" s="650"/>
      <c r="M146" s="650"/>
      <c r="N146" s="650"/>
      <c r="O146" s="633"/>
    </row>
    <row r="147" spans="3:20" x14ac:dyDescent="0.25">
      <c r="C147" s="23"/>
      <c r="L147" s="650"/>
      <c r="M147" s="650"/>
      <c r="N147" s="650"/>
      <c r="O147" s="633"/>
    </row>
    <row r="148" spans="3:20" x14ac:dyDescent="0.25">
      <c r="C148" s="23"/>
      <c r="L148" s="650"/>
      <c r="M148" s="650"/>
      <c r="N148" s="650"/>
      <c r="O148" s="633"/>
    </row>
    <row r="149" spans="3:20" x14ac:dyDescent="0.25">
      <c r="C149" s="23"/>
      <c r="L149" s="650"/>
      <c r="M149" s="650"/>
      <c r="N149" s="650"/>
      <c r="O149" s="633"/>
    </row>
    <row r="150" spans="3:20" x14ac:dyDescent="0.25">
      <c r="C150" s="23"/>
      <c r="L150" s="650"/>
      <c r="M150" s="650"/>
      <c r="N150" s="650"/>
      <c r="O150" s="633"/>
    </row>
    <row r="151" spans="3:20" x14ac:dyDescent="0.25">
      <c r="C151" s="23"/>
      <c r="L151" s="650"/>
      <c r="M151" s="650"/>
      <c r="N151" s="650"/>
      <c r="O151" s="633"/>
    </row>
    <row r="152" spans="3:20" x14ac:dyDescent="0.25">
      <c r="C152" s="23"/>
      <c r="L152" s="650"/>
      <c r="M152" s="650"/>
      <c r="N152" s="650"/>
      <c r="O152" s="633"/>
    </row>
    <row r="153" spans="3:20" x14ac:dyDescent="0.25">
      <c r="L153" s="635"/>
      <c r="M153" s="635"/>
      <c r="N153" s="635"/>
      <c r="O153" s="63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" header="0.31496062992125984" footer="0.31496062992125984"/>
  <pageSetup paperSize="9" scale="53" fitToHeight="0" orientation="landscape" r:id="rId1"/>
  <headerFooter>
    <oddHeader>&amp;R&amp;"Arial,Félkövér dőlt"&amp;A  /&amp;"Arial,Normál"
&amp;"Arial,Dőlt"&amp;8&amp;F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200"/>
  <sheetViews>
    <sheetView view="pageBreakPreview" zoomScale="75" zoomScaleNormal="75" zoomScaleSheetLayoutView="75" workbookViewId="0">
      <selection activeCell="R1" sqref="R1"/>
    </sheetView>
  </sheetViews>
  <sheetFormatPr defaultRowHeight="13.2" x14ac:dyDescent="0.25"/>
  <cols>
    <col min="1" max="1" width="8.44140625" style="22" customWidth="1"/>
    <col min="2" max="2" width="40" style="22" customWidth="1"/>
    <col min="3" max="3" width="14.6640625" style="22" customWidth="1"/>
    <col min="4" max="5" width="14.6640625" style="23" customWidth="1"/>
    <col min="6" max="6" width="14.44140625" style="23" customWidth="1"/>
    <col min="7" max="7" width="0.6640625" style="23" customWidth="1"/>
    <col min="8" max="8" width="14.6640625" style="22" customWidth="1"/>
    <col min="9" max="9" width="14.6640625" style="23" customWidth="1"/>
    <col min="10" max="10" width="13.77734375" style="23" customWidth="1"/>
    <col min="11" max="11" width="0.6640625" style="23" customWidth="1"/>
    <col min="12" max="13" width="14.109375" style="22" customWidth="1"/>
    <col min="14" max="14" width="18.21875" style="22" bestFit="1" customWidth="1"/>
    <col min="15" max="15" width="0.6640625" style="23" customWidth="1"/>
    <col min="16" max="16" width="14.5546875" style="22" customWidth="1"/>
    <col min="17" max="17" width="14.6640625" style="22" customWidth="1"/>
    <col min="18" max="18" width="16" style="22" bestFit="1" customWidth="1"/>
    <col min="19" max="19" width="13.6640625" style="22" customWidth="1"/>
    <col min="20" max="20" width="13.44140625" style="22" customWidth="1"/>
  </cols>
  <sheetData>
    <row r="1" spans="1:25" ht="24.6" x14ac:dyDescent="0.4">
      <c r="A1" s="228" t="s">
        <v>472</v>
      </c>
      <c r="B1" s="227"/>
      <c r="C1" s="227"/>
      <c r="D1" s="227"/>
      <c r="E1" s="227"/>
      <c r="F1" s="342"/>
      <c r="G1" s="226"/>
      <c r="H1" s="225"/>
      <c r="I1" s="225"/>
      <c r="J1" s="224" t="str">
        <f>+'1. Sülysáp összesen'!J1</f>
        <v>2021. ÉVI KÖLTSÉGVETÉS MÓDOSÍTÁSA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5" hidden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5" hidden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5" ht="13.8" thickBot="1" x14ac:dyDescent="0.3"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>
        <v>1</v>
      </c>
      <c r="Q4" s="63">
        <v>1</v>
      </c>
      <c r="R4" s="63">
        <v>0</v>
      </c>
      <c r="S4" s="63"/>
      <c r="T4" s="46"/>
    </row>
    <row r="5" spans="1:25" ht="14.1" hidden="1" customHeight="1" x14ac:dyDescent="0.25">
      <c r="A5" s="46"/>
      <c r="B5" s="46"/>
      <c r="C5" s="343"/>
      <c r="D5" s="343"/>
      <c r="E5" s="343"/>
      <c r="F5" s="343"/>
      <c r="G5" s="343"/>
      <c r="H5" s="344"/>
      <c r="I5" s="344"/>
      <c r="J5" s="344"/>
      <c r="K5" s="343"/>
      <c r="L5" s="345"/>
      <c r="M5" s="36"/>
      <c r="N5" s="36"/>
      <c r="O5" s="343"/>
      <c r="P5" s="344"/>
      <c r="Q5" s="344"/>
      <c r="R5" s="344"/>
      <c r="S5" s="344"/>
      <c r="T5" s="36"/>
    </row>
    <row r="6" spans="1:25" ht="14.1" hidden="1" customHeight="1" x14ac:dyDescent="0.25">
      <c r="A6" s="46"/>
      <c r="B6" s="46"/>
      <c r="C6" s="343"/>
      <c r="D6" s="343"/>
      <c r="E6" s="343"/>
      <c r="F6" s="343"/>
      <c r="G6" s="343"/>
      <c r="H6" s="344"/>
      <c r="I6" s="344"/>
      <c r="J6" s="344"/>
      <c r="K6" s="343"/>
      <c r="L6" s="345"/>
      <c r="M6" s="36"/>
      <c r="N6" s="36"/>
      <c r="O6" s="343"/>
      <c r="P6" s="344"/>
      <c r="Q6" s="344"/>
      <c r="R6" s="344"/>
      <c r="S6" s="344"/>
      <c r="T6" s="36"/>
    </row>
    <row r="7" spans="1:25" ht="15.6" x14ac:dyDescent="0.3">
      <c r="A7" s="46"/>
      <c r="B7" s="46"/>
      <c r="C7" s="742" t="s">
        <v>401</v>
      </c>
      <c r="D7" s="743"/>
      <c r="E7" s="743"/>
      <c r="F7" s="744"/>
      <c r="G7" s="346"/>
      <c r="H7" s="742" t="s">
        <v>400</v>
      </c>
      <c r="I7" s="745"/>
      <c r="J7" s="745"/>
      <c r="K7" s="745"/>
      <c r="L7" s="745"/>
      <c r="M7" s="745"/>
      <c r="N7" s="746"/>
      <c r="O7" s="346"/>
      <c r="P7" s="742" t="s">
        <v>397</v>
      </c>
      <c r="Q7" s="743"/>
      <c r="R7" s="743"/>
      <c r="S7" s="743"/>
      <c r="T7" s="744"/>
    </row>
    <row r="8" spans="1:25" ht="13.8" x14ac:dyDescent="0.25">
      <c r="A8" s="46"/>
      <c r="B8" s="46"/>
      <c r="C8" s="437"/>
      <c r="D8" s="378"/>
      <c r="E8" s="378"/>
      <c r="F8" s="421"/>
      <c r="G8" s="343"/>
      <c r="H8" s="747" t="s">
        <v>413</v>
      </c>
      <c r="I8" s="748"/>
      <c r="J8" s="749"/>
      <c r="K8" s="377"/>
      <c r="L8" s="740" t="s">
        <v>412</v>
      </c>
      <c r="M8" s="739"/>
      <c r="N8" s="750"/>
      <c r="O8" s="343"/>
      <c r="P8" s="420"/>
      <c r="Q8" s="378"/>
      <c r="R8" s="378"/>
      <c r="S8" s="378"/>
      <c r="T8" s="421"/>
    </row>
    <row r="9" spans="1:25" s="1" customFormat="1" ht="64.5" customHeight="1" x14ac:dyDescent="0.25">
      <c r="A9" s="27" t="s">
        <v>481</v>
      </c>
      <c r="B9" s="27" t="s">
        <v>364</v>
      </c>
      <c r="C9" s="520" t="s">
        <v>485</v>
      </c>
      <c r="D9" s="358" t="s">
        <v>486</v>
      </c>
      <c r="E9" s="358" t="s">
        <v>487</v>
      </c>
      <c r="F9" s="521" t="s">
        <v>488</v>
      </c>
      <c r="G9" s="358"/>
      <c r="H9" s="494" t="s">
        <v>498</v>
      </c>
      <c r="I9" s="359" t="s">
        <v>499</v>
      </c>
      <c r="J9" s="359" t="s">
        <v>500</v>
      </c>
      <c r="K9" s="358"/>
      <c r="L9" s="360" t="s">
        <v>501</v>
      </c>
      <c r="M9" s="360" t="s">
        <v>502</v>
      </c>
      <c r="N9" s="495" t="s">
        <v>503</v>
      </c>
      <c r="O9" s="358"/>
      <c r="P9" s="494" t="s">
        <v>495</v>
      </c>
      <c r="Q9" s="359" t="s">
        <v>496</v>
      </c>
      <c r="R9" s="359" t="s">
        <v>497</v>
      </c>
      <c r="S9" s="359" t="s">
        <v>398</v>
      </c>
      <c r="T9" s="495" t="s">
        <v>399</v>
      </c>
    </row>
    <row r="10" spans="1:25" ht="13.8" thickBot="1" x14ac:dyDescent="0.3">
      <c r="A10" s="361"/>
      <c r="B10" s="47"/>
      <c r="C10" s="438"/>
      <c r="D10" s="362"/>
      <c r="E10" s="362"/>
      <c r="F10" s="439"/>
      <c r="G10" s="362"/>
      <c r="H10" s="422"/>
      <c r="I10" s="342"/>
      <c r="J10" s="456"/>
      <c r="K10" s="362"/>
      <c r="L10" s="356"/>
      <c r="M10" s="363"/>
      <c r="N10" s="432"/>
      <c r="O10" s="362"/>
      <c r="P10" s="422"/>
      <c r="Q10" s="342"/>
      <c r="R10" s="342"/>
      <c r="S10" s="342"/>
      <c r="T10" s="423"/>
    </row>
    <row r="11" spans="1:25" ht="18" thickBot="1" x14ac:dyDescent="0.35">
      <c r="A11" s="411" t="str">
        <f>+'bevételi segédtábla'!B28</f>
        <v>Sülysáp Város Önkormányzata</v>
      </c>
      <c r="B11" s="412"/>
      <c r="C11" s="74"/>
      <c r="D11" s="74"/>
      <c r="E11" s="74"/>
      <c r="F11" s="441"/>
      <c r="G11" s="74"/>
      <c r="H11" s="433"/>
      <c r="I11" s="217"/>
      <c r="J11" s="457"/>
      <c r="K11" s="74"/>
      <c r="L11" s="87"/>
      <c r="M11" s="87"/>
      <c r="N11" s="405"/>
      <c r="O11" s="74"/>
      <c r="P11" s="424"/>
      <c r="Q11" s="73"/>
      <c r="R11" s="73"/>
      <c r="S11" s="73"/>
      <c r="T11" s="405"/>
    </row>
    <row r="12" spans="1:25" x14ac:dyDescent="0.25">
      <c r="A12" s="396"/>
      <c r="B12" s="397"/>
      <c r="C12" s="425"/>
      <c r="D12" s="417"/>
      <c r="E12" s="417"/>
      <c r="F12" s="442"/>
      <c r="G12" s="417"/>
      <c r="H12" s="434"/>
      <c r="I12" s="418"/>
      <c r="J12" s="458"/>
      <c r="K12" s="417"/>
      <c r="L12" s="419"/>
      <c r="M12" s="419"/>
      <c r="N12" s="399"/>
      <c r="O12" s="417"/>
      <c r="P12" s="425"/>
      <c r="Q12" s="416"/>
      <c r="R12" s="416"/>
      <c r="S12" s="416"/>
      <c r="T12" s="399"/>
    </row>
    <row r="13" spans="1:25" x14ac:dyDescent="0.25">
      <c r="A13" s="400" t="s">
        <v>0</v>
      </c>
      <c r="B13" s="22" t="s">
        <v>3</v>
      </c>
      <c r="C13" s="424">
        <f>+'3. Önk. Kiadások'!C13</f>
        <v>81675000</v>
      </c>
      <c r="D13" s="73">
        <f>+'3. Önk. Kiadások'!D13</f>
        <v>81675000</v>
      </c>
      <c r="E13" s="73">
        <f>+'3. Önk. Kiadások'!E13</f>
        <v>81975000</v>
      </c>
      <c r="F13" s="435">
        <f>+'3. Önk. Kiadások'!F13</f>
        <v>80421076</v>
      </c>
      <c r="G13" s="73">
        <f>+'3. Önk. Kiadások'!G13</f>
        <v>0</v>
      </c>
      <c r="H13" s="424">
        <f>+'3. Önk. Kiadások'!H13</f>
        <v>38263401</v>
      </c>
      <c r="I13" s="73">
        <f>+'3. Önk. Kiadások'!I13</f>
        <v>60388498</v>
      </c>
      <c r="J13" s="459">
        <f>+'3. Önk. Kiadások'!J13</f>
        <v>80421076</v>
      </c>
      <c r="K13" s="73"/>
      <c r="L13" s="531">
        <f>IF(D13=0,0,H13/D13)</f>
        <v>0.46848363636363638</v>
      </c>
      <c r="M13" s="531">
        <f>IF(E13=0,0,I13/E13)</f>
        <v>0.73666969197926202</v>
      </c>
      <c r="N13" s="532">
        <f>IF(F13=0,0,J13/F13)</f>
        <v>1</v>
      </c>
      <c r="O13" s="73"/>
      <c r="P13" s="424">
        <f>+D13-C13</f>
        <v>0</v>
      </c>
      <c r="Q13" s="73">
        <f>+E13-D13</f>
        <v>300000</v>
      </c>
      <c r="R13" s="73">
        <f>+F13-E13</f>
        <v>-1553924</v>
      </c>
      <c r="S13" s="73">
        <f>+P$4*P13+Q$4*Q13*R$4*R13</f>
        <v>0</v>
      </c>
      <c r="T13" s="547">
        <f>IF(S13=0,0,S13/C13)</f>
        <v>0</v>
      </c>
    </row>
    <row r="14" spans="1:25" x14ac:dyDescent="0.25">
      <c r="A14" s="400" t="s">
        <v>24</v>
      </c>
      <c r="B14" s="56" t="s">
        <v>25</v>
      </c>
      <c r="C14" s="424">
        <f>+'3. Önk. Kiadások'!C29</f>
        <v>11000000</v>
      </c>
      <c r="D14" s="73">
        <f>+'3. Önk. Kiadások'!D29</f>
        <v>12000000</v>
      </c>
      <c r="E14" s="73">
        <f>+'3. Önk. Kiadások'!E29</f>
        <v>12000000</v>
      </c>
      <c r="F14" s="435">
        <f>+'3. Önk. Kiadások'!F29</f>
        <v>12596487</v>
      </c>
      <c r="G14" s="74"/>
      <c r="H14" s="424">
        <f>+'3. Önk. Kiadások'!H29</f>
        <v>6346491</v>
      </c>
      <c r="I14" s="73">
        <f>+'3. Önk. Kiadások'!I29</f>
        <v>9310448</v>
      </c>
      <c r="J14" s="459">
        <f>+'3. Önk. Kiadások'!J29</f>
        <v>12596487</v>
      </c>
      <c r="K14" s="74"/>
      <c r="L14" s="531">
        <f t="shared" ref="L14:L21" si="0">IF(D14=0,0,H14/D14)</f>
        <v>0.52887424999999999</v>
      </c>
      <c r="M14" s="531">
        <f t="shared" ref="M14:M21" si="1">IF(E14=0,0,I14/E14)</f>
        <v>0.77587066666666671</v>
      </c>
      <c r="N14" s="532">
        <f t="shared" ref="N14:N21" si="2">IF(F14=0,0,J14/F14)</f>
        <v>1</v>
      </c>
      <c r="O14" s="74"/>
      <c r="P14" s="424">
        <f t="shared" ref="P14:P21" si="3">+D14-C14</f>
        <v>1000000</v>
      </c>
      <c r="Q14" s="73">
        <f t="shared" ref="Q14:Q21" si="4">+E14-D14</f>
        <v>0</v>
      </c>
      <c r="R14" s="73">
        <f>+'3. Önk. Kiadások'!R29</f>
        <v>596487</v>
      </c>
      <c r="S14" s="73">
        <f t="shared" ref="S14:S21" si="5">+P$4*P14+Q$4*Q14*R$4*R14</f>
        <v>1000000</v>
      </c>
      <c r="T14" s="547">
        <f t="shared" ref="T14:T33" si="6">IF(S14=0,0,S14/C14)</f>
        <v>9.0909090909090912E-2</v>
      </c>
    </row>
    <row r="15" spans="1:25" x14ac:dyDescent="0.25">
      <c r="A15" s="400" t="s">
        <v>27</v>
      </c>
      <c r="B15" s="56" t="s">
        <v>28</v>
      </c>
      <c r="C15" s="424">
        <f>+'3. Önk. Kiadások'!C32</f>
        <v>341413654</v>
      </c>
      <c r="D15" s="73">
        <f>+'3. Önk. Kiadások'!D32</f>
        <v>325013405</v>
      </c>
      <c r="E15" s="73">
        <f>+'3. Önk. Kiadások'!E32</f>
        <v>340318206</v>
      </c>
      <c r="F15" s="435">
        <f>+'3. Önk. Kiadások'!F32</f>
        <v>286646085</v>
      </c>
      <c r="G15" s="74"/>
      <c r="H15" s="424">
        <f>+'3. Önk. Kiadások'!H32</f>
        <v>173982237</v>
      </c>
      <c r="I15" s="73">
        <f>+'3. Önk. Kiadások'!I32</f>
        <v>203143318</v>
      </c>
      <c r="J15" s="459">
        <f>+'3. Önk. Kiadások'!J32</f>
        <v>274439172</v>
      </c>
      <c r="K15" s="74"/>
      <c r="L15" s="531">
        <f t="shared" si="0"/>
        <v>0.5353078806088013</v>
      </c>
      <c r="M15" s="531">
        <f t="shared" si="1"/>
        <v>0.59692168805097667</v>
      </c>
      <c r="N15" s="532">
        <f t="shared" si="2"/>
        <v>0.95741468787197981</v>
      </c>
      <c r="O15" s="74"/>
      <c r="P15" s="424">
        <f t="shared" si="3"/>
        <v>-16400249</v>
      </c>
      <c r="Q15" s="73">
        <f t="shared" si="4"/>
        <v>15304801</v>
      </c>
      <c r="R15" s="73">
        <f>+'3. Önk. Kiadások'!R32</f>
        <v>-53672121</v>
      </c>
      <c r="S15" s="73">
        <f t="shared" si="5"/>
        <v>-16400249</v>
      </c>
      <c r="T15" s="547">
        <f t="shared" si="6"/>
        <v>-4.8036300856321344E-2</v>
      </c>
    </row>
    <row r="16" spans="1:25" x14ac:dyDescent="0.25">
      <c r="A16" s="400" t="s">
        <v>107</v>
      </c>
      <c r="B16" s="56" t="s">
        <v>470</v>
      </c>
      <c r="C16" s="424">
        <f>+'3. Önk. Kiadások'!C81</f>
        <v>15000000</v>
      </c>
      <c r="D16" s="73">
        <f>+'3. Önk. Kiadások'!D81</f>
        <v>15012540</v>
      </c>
      <c r="E16" s="73">
        <f>+'3. Önk. Kiadások'!E81</f>
        <v>15012540</v>
      </c>
      <c r="F16" s="435">
        <f>+'3. Önk. Kiadások'!F81</f>
        <v>15000000</v>
      </c>
      <c r="G16" s="74"/>
      <c r="H16" s="424">
        <f>+'3. Önk. Kiadások'!H81</f>
        <v>5890794</v>
      </c>
      <c r="I16" s="73">
        <f>+'3. Önk. Kiadások'!I81</f>
        <v>8972294</v>
      </c>
      <c r="J16" s="459">
        <f>+'3. Önk. Kiadások'!J81</f>
        <v>11964794</v>
      </c>
      <c r="K16" s="74"/>
      <c r="L16" s="531">
        <f t="shared" si="0"/>
        <v>0.39239156065529218</v>
      </c>
      <c r="M16" s="531">
        <f t="shared" si="1"/>
        <v>0.59765329517856403</v>
      </c>
      <c r="N16" s="532">
        <f t="shared" si="2"/>
        <v>0.79765293333333331</v>
      </c>
      <c r="O16" s="74"/>
      <c r="P16" s="424">
        <f t="shared" si="3"/>
        <v>12540</v>
      </c>
      <c r="Q16" s="73">
        <f t="shared" si="4"/>
        <v>0</v>
      </c>
      <c r="R16" s="73">
        <f>+'3. Önk. Kiadások'!R81</f>
        <v>-12540</v>
      </c>
      <c r="S16" s="73">
        <f t="shared" si="5"/>
        <v>12540</v>
      </c>
      <c r="T16" s="547">
        <f t="shared" si="6"/>
        <v>8.3600000000000005E-4</v>
      </c>
    </row>
    <row r="17" spans="1:20" x14ac:dyDescent="0.25">
      <c r="A17" s="401" t="s">
        <v>369</v>
      </c>
      <c r="B17" s="56" t="s">
        <v>137</v>
      </c>
      <c r="C17" s="424">
        <f>+'3. Önk. Kiadások'!C106</f>
        <v>152600000</v>
      </c>
      <c r="D17" s="73">
        <f>+'3. Önk. Kiadások'!D106</f>
        <v>164026133</v>
      </c>
      <c r="E17" s="73">
        <f>+'3. Önk. Kiadások'!E106</f>
        <v>167046133</v>
      </c>
      <c r="F17" s="435">
        <f>+'3. Önk. Kiadások'!F106</f>
        <v>164848644</v>
      </c>
      <c r="G17" s="74"/>
      <c r="H17" s="424">
        <f>+'3. Önk. Kiadások'!H106</f>
        <v>89465409</v>
      </c>
      <c r="I17" s="73">
        <f>+'3. Önk. Kiadások'!I106</f>
        <v>122182084</v>
      </c>
      <c r="J17" s="459">
        <f>+'3. Önk. Kiadások'!J106</f>
        <v>144767924</v>
      </c>
      <c r="K17" s="74"/>
      <c r="L17" s="531">
        <f t="shared" si="0"/>
        <v>0.54543387302802537</v>
      </c>
      <c r="M17" s="531">
        <f t="shared" si="1"/>
        <v>0.73142719203203588</v>
      </c>
      <c r="N17" s="532">
        <f t="shared" si="2"/>
        <v>0.87818692642688645</v>
      </c>
      <c r="O17" s="74"/>
      <c r="P17" s="424">
        <f t="shared" si="3"/>
        <v>11426133</v>
      </c>
      <c r="Q17" s="73">
        <f t="shared" si="4"/>
        <v>3020000</v>
      </c>
      <c r="R17" s="73">
        <f>+'3. Önk. Kiadások'!R106</f>
        <v>-2197489</v>
      </c>
      <c r="S17" s="73">
        <f t="shared" si="5"/>
        <v>11426133</v>
      </c>
      <c r="T17" s="547">
        <f t="shared" si="6"/>
        <v>7.4876363040629099E-2</v>
      </c>
    </row>
    <row r="18" spans="1:20" x14ac:dyDescent="0.25">
      <c r="A18" s="400" t="s">
        <v>154</v>
      </c>
      <c r="B18" s="56" t="s">
        <v>155</v>
      </c>
      <c r="C18" s="424">
        <f>+'3. Önk. Kiadások'!C120</f>
        <v>244165354</v>
      </c>
      <c r="D18" s="73">
        <f>+'3. Önk. Kiadások'!D120</f>
        <v>196087098</v>
      </c>
      <c r="E18" s="73">
        <f>+'3. Önk. Kiadások'!E120</f>
        <v>177462297</v>
      </c>
      <c r="F18" s="435">
        <f>+'3. Önk. Kiadások'!F120</f>
        <v>163533381</v>
      </c>
      <c r="G18" s="74"/>
      <c r="H18" s="424">
        <f>+'3. Önk. Kiadások'!H120</f>
        <v>26035281</v>
      </c>
      <c r="I18" s="73">
        <f>+'3. Önk. Kiadások'!I120</f>
        <v>29670109</v>
      </c>
      <c r="J18" s="459">
        <f>+'3. Önk. Kiadások'!J120</f>
        <v>157888187</v>
      </c>
      <c r="K18" s="74"/>
      <c r="L18" s="531">
        <f t="shared" si="0"/>
        <v>0.13277406451290336</v>
      </c>
      <c r="M18" s="531">
        <f t="shared" si="1"/>
        <v>0.16719105692630587</v>
      </c>
      <c r="N18" s="532">
        <f t="shared" si="2"/>
        <v>0.96547986737949243</v>
      </c>
      <c r="O18" s="74"/>
      <c r="P18" s="424">
        <f t="shared" si="3"/>
        <v>-48078256</v>
      </c>
      <c r="Q18" s="73">
        <f t="shared" si="4"/>
        <v>-18624801</v>
      </c>
      <c r="R18" s="73">
        <f>+'3. Önk. Kiadások'!R120</f>
        <v>-13928916</v>
      </c>
      <c r="S18" s="73">
        <f t="shared" si="5"/>
        <v>-48078256</v>
      </c>
      <c r="T18" s="547">
        <f t="shared" si="6"/>
        <v>-0.19690859170789646</v>
      </c>
    </row>
    <row r="19" spans="1:20" x14ac:dyDescent="0.25">
      <c r="A19" s="400" t="s">
        <v>169</v>
      </c>
      <c r="B19" s="56" t="s">
        <v>170</v>
      </c>
      <c r="C19" s="424">
        <f>+'3. Önk. Kiadások'!C129</f>
        <v>20637500</v>
      </c>
      <c r="D19" s="73">
        <f>+'3. Önk. Kiadások'!D129</f>
        <v>93343475</v>
      </c>
      <c r="E19" s="73">
        <f>+'3. Önk. Kiadások'!E129</f>
        <v>113343475</v>
      </c>
      <c r="F19" s="435">
        <f>+'3. Önk. Kiadások'!F129</f>
        <v>142956591</v>
      </c>
      <c r="G19" s="74"/>
      <c r="H19" s="424">
        <f>+'3. Önk. Kiadások'!H129</f>
        <v>34861301</v>
      </c>
      <c r="I19" s="73">
        <f>+'3. Önk. Kiadások'!I129</f>
        <v>78545085</v>
      </c>
      <c r="J19" s="459">
        <f>+'3. Önk. Kiadások'!J129</f>
        <v>139263466</v>
      </c>
      <c r="K19" s="74"/>
      <c r="L19" s="531">
        <f t="shared" si="0"/>
        <v>0.37347335740393212</v>
      </c>
      <c r="M19" s="531">
        <f t="shared" si="1"/>
        <v>0.69298285587238262</v>
      </c>
      <c r="N19" s="532">
        <f t="shared" si="2"/>
        <v>0.97416610892742961</v>
      </c>
      <c r="O19" s="74"/>
      <c r="P19" s="424">
        <f t="shared" si="3"/>
        <v>72705975</v>
      </c>
      <c r="Q19" s="73">
        <f t="shared" si="4"/>
        <v>20000000</v>
      </c>
      <c r="R19" s="73">
        <f>+'3. Önk. Kiadások'!R129</f>
        <v>29613116</v>
      </c>
      <c r="S19" s="73">
        <f t="shared" si="5"/>
        <v>72705975</v>
      </c>
      <c r="T19" s="547">
        <f t="shared" si="6"/>
        <v>3.5230030284675955</v>
      </c>
    </row>
    <row r="20" spans="1:20" x14ac:dyDescent="0.25">
      <c r="A20" s="400" t="s">
        <v>179</v>
      </c>
      <c r="B20" s="56" t="s">
        <v>46</v>
      </c>
      <c r="C20" s="424">
        <f>+'3. Önk. Kiadások'!C135</f>
        <v>0</v>
      </c>
      <c r="D20" s="73">
        <f>+'3. Önk. Kiadások'!D135</f>
        <v>0</v>
      </c>
      <c r="E20" s="73">
        <f>+'3. Önk. Kiadások'!E135</f>
        <v>0</v>
      </c>
      <c r="F20" s="435">
        <f>+'3. Önk. Kiadások'!F135</f>
        <v>0</v>
      </c>
      <c r="G20" s="74"/>
      <c r="H20" s="424">
        <f>+'3. Önk. Kiadások'!H135</f>
        <v>0</v>
      </c>
      <c r="I20" s="73">
        <f>+'3. Önk. Kiadások'!I135</f>
        <v>0</v>
      </c>
      <c r="J20" s="459">
        <f>+'3. Önk. Kiadások'!J135</f>
        <v>0</v>
      </c>
      <c r="K20" s="74"/>
      <c r="L20" s="531">
        <f t="shared" si="0"/>
        <v>0</v>
      </c>
      <c r="M20" s="531">
        <f t="shared" si="1"/>
        <v>0</v>
      </c>
      <c r="N20" s="532">
        <f t="shared" si="2"/>
        <v>0</v>
      </c>
      <c r="O20" s="74"/>
      <c r="P20" s="424">
        <f t="shared" si="3"/>
        <v>0</v>
      </c>
      <c r="Q20" s="73">
        <f t="shared" si="4"/>
        <v>0</v>
      </c>
      <c r="R20" s="73">
        <f>+'3. Önk. Kiadások'!R135</f>
        <v>0</v>
      </c>
      <c r="S20" s="73">
        <f t="shared" si="5"/>
        <v>0</v>
      </c>
      <c r="T20" s="547">
        <f t="shared" si="6"/>
        <v>0</v>
      </c>
    </row>
    <row r="21" spans="1:20" x14ac:dyDescent="0.25">
      <c r="A21" s="400" t="s">
        <v>197</v>
      </c>
      <c r="B21" s="56" t="s">
        <v>198</v>
      </c>
      <c r="C21" s="424">
        <f>+'3. Önk. Kiadások'!C145</f>
        <v>613063055</v>
      </c>
      <c r="D21" s="73">
        <f>+'3. Önk. Kiadások'!D145</f>
        <v>613552299</v>
      </c>
      <c r="E21" s="73">
        <f>+'3. Önk. Kiadások'!E145</f>
        <v>613552299</v>
      </c>
      <c r="F21" s="435">
        <f>+'3. Önk. Kiadások'!F145</f>
        <v>613552299</v>
      </c>
      <c r="G21" s="74"/>
      <c r="H21" s="424">
        <f>+'3. Önk. Kiadások'!H145</f>
        <v>317649005</v>
      </c>
      <c r="I21" s="73">
        <f>+'3. Önk. Kiadások'!I145</f>
        <v>441460373</v>
      </c>
      <c r="J21" s="459">
        <f>+'3. Önk. Kiadások'!J145</f>
        <v>584287458</v>
      </c>
      <c r="K21" s="74"/>
      <c r="L21" s="531">
        <f t="shared" si="0"/>
        <v>0.51772115517735184</v>
      </c>
      <c r="M21" s="531">
        <f t="shared" si="1"/>
        <v>0.71951547361083235</v>
      </c>
      <c r="N21" s="532">
        <f t="shared" si="2"/>
        <v>0.95230261373366643</v>
      </c>
      <c r="O21" s="74"/>
      <c r="P21" s="424">
        <f t="shared" si="3"/>
        <v>489244</v>
      </c>
      <c r="Q21" s="73">
        <f t="shared" si="4"/>
        <v>0</v>
      </c>
      <c r="R21" s="73">
        <f>+'3. Önk. Kiadások'!R145</f>
        <v>0</v>
      </c>
      <c r="S21" s="73">
        <f t="shared" si="5"/>
        <v>489244</v>
      </c>
      <c r="T21" s="547">
        <f t="shared" si="6"/>
        <v>7.9803210454428702E-4</v>
      </c>
    </row>
    <row r="22" spans="1:20" x14ac:dyDescent="0.25">
      <c r="A22" s="402"/>
      <c r="B22" s="386" t="s">
        <v>371</v>
      </c>
      <c r="C22" s="426">
        <f>SUM(C13:C21)</f>
        <v>1479554563</v>
      </c>
      <c r="D22" s="387">
        <f t="shared" ref="D22:J22" si="7">SUM(D13:D21)</f>
        <v>1500709950</v>
      </c>
      <c r="E22" s="387">
        <f t="shared" si="7"/>
        <v>1520709950</v>
      </c>
      <c r="F22" s="443">
        <f t="shared" si="7"/>
        <v>1479554563</v>
      </c>
      <c r="G22" s="387"/>
      <c r="H22" s="426">
        <f t="shared" si="7"/>
        <v>692493919</v>
      </c>
      <c r="I22" s="387">
        <f t="shared" si="7"/>
        <v>953672209</v>
      </c>
      <c r="J22" s="388">
        <f t="shared" si="7"/>
        <v>1405628564</v>
      </c>
      <c r="K22" s="204"/>
      <c r="L22" s="533">
        <f t="shared" ref="L22" si="8">IF(D22=0,0,H22/D22)</f>
        <v>0.46144421112154282</v>
      </c>
      <c r="M22" s="533">
        <f t="shared" ref="M22" si="9">IF(E22=0,0,I22/E22)</f>
        <v>0.62712301514171065</v>
      </c>
      <c r="N22" s="534">
        <f t="shared" ref="N22" si="10">IF(F22=0,0,J22/F22)</f>
        <v>0.95003496265112053</v>
      </c>
      <c r="O22" s="204"/>
      <c r="P22" s="426">
        <f t="shared" ref="P22" si="11">SUM(P13:P21)</f>
        <v>21155387</v>
      </c>
      <c r="Q22" s="387">
        <f t="shared" ref="Q22" si="12">SUM(Q13:Q21)</f>
        <v>20000000</v>
      </c>
      <c r="R22" s="387">
        <f t="shared" ref="R22" si="13">SUM(R13:R21)</f>
        <v>-41155387</v>
      </c>
      <c r="S22" s="388">
        <f t="shared" ref="S22" si="14">SUM(S13:S21)</f>
        <v>21155387</v>
      </c>
      <c r="T22" s="548">
        <f t="shared" si="6"/>
        <v>1.42984838336104E-2</v>
      </c>
    </row>
    <row r="23" spans="1:20" x14ac:dyDescent="0.25">
      <c r="A23" s="400"/>
      <c r="C23" s="424"/>
      <c r="D23" s="74"/>
      <c r="E23" s="74"/>
      <c r="F23" s="441"/>
      <c r="G23" s="74"/>
      <c r="H23" s="433"/>
      <c r="I23" s="218"/>
      <c r="J23" s="457"/>
      <c r="K23" s="74"/>
      <c r="L23" s="531"/>
      <c r="M23" s="531"/>
      <c r="N23" s="532"/>
      <c r="O23" s="74"/>
      <c r="P23" s="424"/>
      <c r="Q23" s="73"/>
      <c r="R23" s="73"/>
      <c r="S23" s="73"/>
      <c r="T23" s="547"/>
    </row>
    <row r="24" spans="1:20" x14ac:dyDescent="0.25">
      <c r="A24" s="400" t="s">
        <v>237</v>
      </c>
      <c r="B24" s="22" t="s">
        <v>441</v>
      </c>
      <c r="C24" s="424">
        <f>+' 2. Önk. Bevételek'!C13</f>
        <v>741516395</v>
      </c>
      <c r="D24" s="73">
        <f>+' 2. Önk. Bevételek'!D13</f>
        <v>741516395</v>
      </c>
      <c r="E24" s="73">
        <f>+' 2. Önk. Bevételek'!E13</f>
        <v>739845093</v>
      </c>
      <c r="F24" s="435">
        <f>+' 2. Önk. Bevételek'!F13</f>
        <v>728443095</v>
      </c>
      <c r="G24" s="73">
        <f>+'3. Önk. Kiadások'!G13</f>
        <v>0</v>
      </c>
      <c r="H24" s="424">
        <f>+' 2. Önk. Bevételek'!H13</f>
        <v>379556150</v>
      </c>
      <c r="I24" s="73">
        <f>+' 2. Önk. Bevételek'!I13</f>
        <v>547676544</v>
      </c>
      <c r="J24" s="459">
        <f>+' 2. Önk. Bevételek'!J13</f>
        <v>731614402</v>
      </c>
      <c r="K24" s="73"/>
      <c r="L24" s="531">
        <f t="shared" ref="L24:L33" si="15">IF(D24=0,0,H24/D24)</f>
        <v>0.5118648118360215</v>
      </c>
      <c r="M24" s="531">
        <f t="shared" ref="M24:M33" si="16">IF(E24=0,0,I24/E24)</f>
        <v>0.74025839892946343</v>
      </c>
      <c r="N24" s="532">
        <f t="shared" ref="N24:N33" si="17">IF(F24=0,0,J24/F24)</f>
        <v>1.0043535411643925</v>
      </c>
      <c r="O24" s="73"/>
      <c r="P24" s="424">
        <f t="shared" ref="P24:P32" si="18">+D24-C24</f>
        <v>0</v>
      </c>
      <c r="Q24" s="73">
        <f t="shared" ref="Q24:Q32" si="19">+E24-D24</f>
        <v>-1671302</v>
      </c>
      <c r="R24" s="73">
        <f t="shared" ref="R24:R32" si="20">+F24-E24</f>
        <v>-11401998</v>
      </c>
      <c r="S24" s="73">
        <f t="shared" ref="S24:S32" si="21">+P$4*P24+Q$4*Q24*R$4*R24</f>
        <v>0</v>
      </c>
      <c r="T24" s="547">
        <f t="shared" si="6"/>
        <v>0</v>
      </c>
    </row>
    <row r="25" spans="1:20" x14ac:dyDescent="0.25">
      <c r="A25" s="401" t="s">
        <v>257</v>
      </c>
      <c r="B25" s="22" t="s">
        <v>440</v>
      </c>
      <c r="C25" s="424">
        <f>+' 2. Önk. Bevételek'!C30</f>
        <v>240330297</v>
      </c>
      <c r="D25" s="73">
        <f>+' 2. Önk. Bevételek'!D30</f>
        <v>263496440</v>
      </c>
      <c r="E25" s="73">
        <f>+' 2. Önk. Bevételek'!E30</f>
        <v>285167742</v>
      </c>
      <c r="F25" s="435">
        <f>+' 2. Önk. Bevételek'!F30</f>
        <v>203746174</v>
      </c>
      <c r="G25" s="74"/>
      <c r="H25" s="424">
        <f>+' 2. Önk. Bevételek'!H30</f>
        <v>46110402</v>
      </c>
      <c r="I25" s="73">
        <f>+' 2. Önk. Bevételek'!I30</f>
        <v>121917895</v>
      </c>
      <c r="J25" s="459">
        <f>+' 2. Önk. Bevételek'!J30</f>
        <v>203746174</v>
      </c>
      <c r="K25" s="74"/>
      <c r="L25" s="531">
        <f t="shared" si="15"/>
        <v>0.17499440220141116</v>
      </c>
      <c r="M25" s="531">
        <f t="shared" si="16"/>
        <v>0.42753045679339147</v>
      </c>
      <c r="N25" s="532">
        <f t="shared" si="17"/>
        <v>1</v>
      </c>
      <c r="O25" s="74"/>
      <c r="P25" s="424">
        <f t="shared" si="18"/>
        <v>23166143</v>
      </c>
      <c r="Q25" s="73">
        <f t="shared" si="19"/>
        <v>21671302</v>
      </c>
      <c r="R25" s="73">
        <f t="shared" si="20"/>
        <v>-81421568</v>
      </c>
      <c r="S25" s="73">
        <f t="shared" si="21"/>
        <v>23166143</v>
      </c>
      <c r="T25" s="547">
        <f t="shared" si="6"/>
        <v>9.6392936259717607E-2</v>
      </c>
    </row>
    <row r="26" spans="1:20" x14ac:dyDescent="0.25">
      <c r="A26" s="401" t="s">
        <v>265</v>
      </c>
      <c r="B26" s="22" t="s">
        <v>266</v>
      </c>
      <c r="C26" s="424">
        <f>+' 2. Önk. Bevételek'!C39</f>
        <v>132000000</v>
      </c>
      <c r="D26" s="73">
        <f>+' 2. Önk. Bevételek'!D39</f>
        <v>132000000</v>
      </c>
      <c r="E26" s="73">
        <f>+' 2. Önk. Bevételek'!E39</f>
        <v>132000000</v>
      </c>
      <c r="F26" s="435">
        <f>+' 2. Önk. Bevételek'!F39</f>
        <v>200000000</v>
      </c>
      <c r="G26" s="74"/>
      <c r="H26" s="424">
        <f>+' 2. Önk. Bevételek'!H39</f>
        <v>72544113</v>
      </c>
      <c r="I26" s="73">
        <f>+' 2. Önk. Bevételek'!I39</f>
        <v>185601504</v>
      </c>
      <c r="J26" s="459">
        <f>+' 2. Önk. Bevételek'!J39</f>
        <v>249032958</v>
      </c>
      <c r="K26" s="74"/>
      <c r="L26" s="531">
        <f t="shared" si="15"/>
        <v>0.54957661363636368</v>
      </c>
      <c r="M26" s="531">
        <f t="shared" si="16"/>
        <v>1.406072</v>
      </c>
      <c r="N26" s="532">
        <f t="shared" si="17"/>
        <v>1.24516479</v>
      </c>
      <c r="O26" s="74"/>
      <c r="P26" s="424">
        <f t="shared" si="18"/>
        <v>0</v>
      </c>
      <c r="Q26" s="73">
        <f t="shared" si="19"/>
        <v>0</v>
      </c>
      <c r="R26" s="73">
        <f t="shared" si="20"/>
        <v>68000000</v>
      </c>
      <c r="S26" s="73">
        <f t="shared" si="21"/>
        <v>0</v>
      </c>
      <c r="T26" s="547">
        <f t="shared" si="6"/>
        <v>0</v>
      </c>
    </row>
    <row r="27" spans="1:20" x14ac:dyDescent="0.25">
      <c r="A27" s="401" t="s">
        <v>278</v>
      </c>
      <c r="B27" s="22" t="s">
        <v>279</v>
      </c>
      <c r="C27" s="424">
        <f>+' 2. Önk. Bevételek'!C50</f>
        <v>52520000</v>
      </c>
      <c r="D27" s="73">
        <f>+' 2. Önk. Bevételek'!D50</f>
        <v>50020000</v>
      </c>
      <c r="E27" s="73">
        <f>+' 2. Önk. Bevételek'!E50</f>
        <v>50020000</v>
      </c>
      <c r="F27" s="435">
        <f>+' 2. Önk. Bevételek'!F50</f>
        <v>58258577</v>
      </c>
      <c r="G27" s="74"/>
      <c r="H27" s="424">
        <f>+' 2. Önk. Bevételek'!H50</f>
        <v>28607944</v>
      </c>
      <c r="I27" s="73">
        <f>+' 2. Önk. Bevételek'!I50</f>
        <v>46045888</v>
      </c>
      <c r="J27" s="459">
        <f>+' 2. Önk. Bevételek'!J50</f>
        <v>62674045</v>
      </c>
      <c r="K27" s="74"/>
      <c r="L27" s="531">
        <f t="shared" si="15"/>
        <v>0.57193010795681731</v>
      </c>
      <c r="M27" s="531">
        <f t="shared" si="16"/>
        <v>0.92054954018392643</v>
      </c>
      <c r="N27" s="532">
        <f t="shared" si="17"/>
        <v>1.0757908659526647</v>
      </c>
      <c r="O27" s="74"/>
      <c r="P27" s="424">
        <f t="shared" si="18"/>
        <v>-2500000</v>
      </c>
      <c r="Q27" s="73">
        <f t="shared" si="19"/>
        <v>0</v>
      </c>
      <c r="R27" s="73">
        <f t="shared" si="20"/>
        <v>8238577</v>
      </c>
      <c r="S27" s="73">
        <f t="shared" si="21"/>
        <v>-2500000</v>
      </c>
      <c r="T27" s="547">
        <f t="shared" si="6"/>
        <v>-4.7600913937547604E-2</v>
      </c>
    </row>
    <row r="28" spans="1:20" x14ac:dyDescent="0.25">
      <c r="A28" s="401" t="s">
        <v>304</v>
      </c>
      <c r="B28" s="22" t="s">
        <v>305</v>
      </c>
      <c r="C28" s="424">
        <f>+' 2. Önk. Bevételek'!C67</f>
        <v>90845000</v>
      </c>
      <c r="D28" s="73">
        <f>+' 2. Önk. Bevételek'!D67</f>
        <v>90845000</v>
      </c>
      <c r="E28" s="73">
        <f>+' 2. Önk. Bevételek'!E67</f>
        <v>90845000</v>
      </c>
      <c r="F28" s="435">
        <f>+' 2. Önk. Bevételek'!F67</f>
        <v>64227622</v>
      </c>
      <c r="G28" s="74"/>
      <c r="H28" s="424">
        <f>+' 2. Önk. Bevételek'!H67</f>
        <v>1169292</v>
      </c>
      <c r="I28" s="73">
        <f>+' 2. Önk. Bevételek'!I67</f>
        <v>1753938</v>
      </c>
      <c r="J28" s="459">
        <f>+' 2. Önk. Bevételek'!J67</f>
        <v>54413978</v>
      </c>
      <c r="K28" s="74"/>
      <c r="L28" s="531">
        <f t="shared" si="15"/>
        <v>1.2871286256811052E-2</v>
      </c>
      <c r="M28" s="531">
        <f t="shared" si="16"/>
        <v>1.9306929385216578E-2</v>
      </c>
      <c r="N28" s="532">
        <f t="shared" si="17"/>
        <v>0.84720524138352815</v>
      </c>
      <c r="O28" s="74"/>
      <c r="P28" s="424">
        <f t="shared" si="18"/>
        <v>0</v>
      </c>
      <c r="Q28" s="73">
        <f t="shared" si="19"/>
        <v>0</v>
      </c>
      <c r="R28" s="73">
        <f t="shared" si="20"/>
        <v>-26617378</v>
      </c>
      <c r="S28" s="73">
        <f t="shared" si="21"/>
        <v>0</v>
      </c>
      <c r="T28" s="547">
        <f t="shared" si="6"/>
        <v>0</v>
      </c>
    </row>
    <row r="29" spans="1:20" x14ac:dyDescent="0.25">
      <c r="A29" s="401" t="s">
        <v>314</v>
      </c>
      <c r="B29" s="22" t="s">
        <v>315</v>
      </c>
      <c r="C29" s="424">
        <f>+' 2. Önk. Bevételek'!C72</f>
        <v>4181435</v>
      </c>
      <c r="D29" s="73">
        <f>+' 2. Önk. Bevételek'!D72</f>
        <v>4181435</v>
      </c>
      <c r="E29" s="73">
        <f>+' 2. Önk. Bevételek'!E72</f>
        <v>4181435</v>
      </c>
      <c r="F29" s="435">
        <f>+' 2. Önk. Bevételek'!F72</f>
        <v>4181435</v>
      </c>
      <c r="G29" s="74"/>
      <c r="H29" s="424">
        <f>+' 2. Önk. Bevételek'!H72</f>
        <v>420000</v>
      </c>
      <c r="I29" s="73">
        <f>+' 2. Önk. Bevételek'!I72</f>
        <v>630000</v>
      </c>
      <c r="J29" s="459">
        <f>+' 2. Önk. Bevételek'!J72</f>
        <v>840000</v>
      </c>
      <c r="K29" s="74"/>
      <c r="L29" s="531">
        <f t="shared" si="15"/>
        <v>0.10044398633483481</v>
      </c>
      <c r="M29" s="531">
        <f t="shared" si="16"/>
        <v>0.15066597950225222</v>
      </c>
      <c r="N29" s="532">
        <f t="shared" si="17"/>
        <v>0.20088797266966962</v>
      </c>
      <c r="O29" s="74"/>
      <c r="P29" s="424">
        <f t="shared" si="18"/>
        <v>0</v>
      </c>
      <c r="Q29" s="73">
        <f t="shared" si="19"/>
        <v>0</v>
      </c>
      <c r="R29" s="73">
        <f t="shared" si="20"/>
        <v>0</v>
      </c>
      <c r="S29" s="73">
        <f t="shared" si="21"/>
        <v>0</v>
      </c>
      <c r="T29" s="547">
        <f t="shared" si="6"/>
        <v>0</v>
      </c>
    </row>
    <row r="30" spans="1:20" x14ac:dyDescent="0.25">
      <c r="A30" s="401" t="s">
        <v>320</v>
      </c>
      <c r="B30" s="22" t="s">
        <v>321</v>
      </c>
      <c r="C30" s="424">
        <f>+' 2. Önk. Bevételek'!C76</f>
        <v>5900000</v>
      </c>
      <c r="D30" s="73">
        <f>+' 2. Önk. Bevételek'!D76</f>
        <v>5900000</v>
      </c>
      <c r="E30" s="73">
        <f>+' 2. Önk. Bevételek'!E76</f>
        <v>5900000</v>
      </c>
      <c r="F30" s="435">
        <f>+' 2. Önk. Bevételek'!F76</f>
        <v>7946980</v>
      </c>
      <c r="G30" s="74"/>
      <c r="H30" s="424">
        <f>+' 2. Önk. Bevételek'!H76</f>
        <v>1041500</v>
      </c>
      <c r="I30" s="73">
        <f>+' 2. Önk. Bevételek'!I76</f>
        <v>1925820</v>
      </c>
      <c r="J30" s="459">
        <f>+' 2. Önk. Bevételek'!J76</f>
        <v>7946980</v>
      </c>
      <c r="K30" s="74"/>
      <c r="L30" s="531">
        <f t="shared" si="15"/>
        <v>0.17652542372881355</v>
      </c>
      <c r="M30" s="531">
        <f t="shared" si="16"/>
        <v>0.3264101694915254</v>
      </c>
      <c r="N30" s="532">
        <f t="shared" si="17"/>
        <v>1</v>
      </c>
      <c r="O30" s="74"/>
      <c r="P30" s="424">
        <f t="shared" si="18"/>
        <v>0</v>
      </c>
      <c r="Q30" s="73">
        <f t="shared" si="19"/>
        <v>0</v>
      </c>
      <c r="R30" s="73">
        <f t="shared" si="20"/>
        <v>2046980</v>
      </c>
      <c r="S30" s="73">
        <f t="shared" si="21"/>
        <v>0</v>
      </c>
      <c r="T30" s="547">
        <f t="shared" si="6"/>
        <v>0</v>
      </c>
    </row>
    <row r="31" spans="1:20" x14ac:dyDescent="0.25">
      <c r="A31" s="401" t="s">
        <v>448</v>
      </c>
      <c r="B31" s="56"/>
      <c r="C31" s="427">
        <f>+' 2. Önk. Bevételek'!C80-C32</f>
        <v>0</v>
      </c>
      <c r="D31" s="318">
        <f>+' 2. Önk. Bevételek'!D80-D32</f>
        <v>489244</v>
      </c>
      <c r="E31" s="318">
        <f>+' 2. Önk. Bevételek'!E80-E32</f>
        <v>489244</v>
      </c>
      <c r="F31" s="444">
        <f>+' 2. Önk. Bevételek'!F80-F32</f>
        <v>489244</v>
      </c>
      <c r="G31" s="395"/>
      <c r="H31" s="427">
        <f>+' 2. Önk. Bevételek'!H80-H32</f>
        <v>489244</v>
      </c>
      <c r="I31" s="318">
        <f>+' 2. Önk. Bevételek'!I80-I32</f>
        <v>489244</v>
      </c>
      <c r="J31" s="460">
        <f>+' 2. Önk. Bevételek'!J80-J32</f>
        <v>25066603</v>
      </c>
      <c r="K31" s="74"/>
      <c r="L31" s="531">
        <f t="shared" si="15"/>
        <v>1</v>
      </c>
      <c r="M31" s="531">
        <f t="shared" si="16"/>
        <v>1</v>
      </c>
      <c r="N31" s="532">
        <f t="shared" si="17"/>
        <v>51.235381527417815</v>
      </c>
      <c r="O31" s="395"/>
      <c r="P31" s="424">
        <f t="shared" si="18"/>
        <v>489244</v>
      </c>
      <c r="Q31" s="73">
        <f t="shared" si="19"/>
        <v>0</v>
      </c>
      <c r="R31" s="73">
        <f t="shared" si="20"/>
        <v>0</v>
      </c>
      <c r="S31" s="73">
        <f t="shared" si="21"/>
        <v>489244</v>
      </c>
      <c r="T31" s="547" t="e">
        <f t="shared" si="6"/>
        <v>#DIV/0!</v>
      </c>
    </row>
    <row r="32" spans="1:20" x14ac:dyDescent="0.25">
      <c r="A32" s="400" t="s">
        <v>443</v>
      </c>
      <c r="B32" s="56"/>
      <c r="C32" s="427">
        <f>+' 2. Önk. Bevételek'!C87</f>
        <v>212261436</v>
      </c>
      <c r="D32" s="318">
        <f>+' 2. Önk. Bevételek'!D87</f>
        <v>212261436</v>
      </c>
      <c r="E32" s="318">
        <f>+' 2. Önk. Bevételek'!E87</f>
        <v>212261436</v>
      </c>
      <c r="F32" s="444">
        <f>+' 2. Önk. Bevételek'!F87</f>
        <v>212261436</v>
      </c>
      <c r="G32" s="395"/>
      <c r="H32" s="427">
        <f>+' 2. Önk. Bevételek'!H87</f>
        <v>212261436</v>
      </c>
      <c r="I32" s="318">
        <f>+' 2. Önk. Bevételek'!I87</f>
        <v>212261436</v>
      </c>
      <c r="J32" s="460">
        <f>+' 2. Önk. Bevételek'!J87</f>
        <v>212261436</v>
      </c>
      <c r="K32" s="74"/>
      <c r="L32" s="531">
        <f t="shared" si="15"/>
        <v>1</v>
      </c>
      <c r="M32" s="531">
        <f t="shared" si="16"/>
        <v>1</v>
      </c>
      <c r="N32" s="532">
        <f t="shared" si="17"/>
        <v>1</v>
      </c>
      <c r="O32" s="395"/>
      <c r="P32" s="424">
        <f t="shared" si="18"/>
        <v>0</v>
      </c>
      <c r="Q32" s="73">
        <f t="shared" si="19"/>
        <v>0</v>
      </c>
      <c r="R32" s="73">
        <f t="shared" si="20"/>
        <v>0</v>
      </c>
      <c r="S32" s="73">
        <f t="shared" si="21"/>
        <v>0</v>
      </c>
      <c r="T32" s="547">
        <f t="shared" si="6"/>
        <v>0</v>
      </c>
    </row>
    <row r="33" spans="1:20" x14ac:dyDescent="0.25">
      <c r="A33" s="404"/>
      <c r="B33" s="386" t="s">
        <v>370</v>
      </c>
      <c r="C33" s="426">
        <f>SUM(C24:C32)</f>
        <v>1479554563</v>
      </c>
      <c r="D33" s="387">
        <f t="shared" ref="D33:J33" si="22">SUM(D24:D32)</f>
        <v>1500709950</v>
      </c>
      <c r="E33" s="387">
        <f t="shared" si="22"/>
        <v>1520709950</v>
      </c>
      <c r="F33" s="443">
        <f t="shared" si="22"/>
        <v>1479554563</v>
      </c>
      <c r="G33" s="387"/>
      <c r="H33" s="426">
        <f t="shared" si="22"/>
        <v>742200081</v>
      </c>
      <c r="I33" s="387">
        <f t="shared" si="22"/>
        <v>1118302269</v>
      </c>
      <c r="J33" s="388">
        <f t="shared" si="22"/>
        <v>1547596576</v>
      </c>
      <c r="K33" s="389"/>
      <c r="L33" s="535">
        <f t="shared" si="15"/>
        <v>0.49456597592359536</v>
      </c>
      <c r="M33" s="535">
        <f t="shared" si="16"/>
        <v>0.7353817005011376</v>
      </c>
      <c r="N33" s="536">
        <f t="shared" si="17"/>
        <v>1.0459881742124031</v>
      </c>
      <c r="O33" s="389"/>
      <c r="P33" s="426">
        <f t="shared" ref="P33" si="23">SUM(P24:P32)</f>
        <v>21155387</v>
      </c>
      <c r="Q33" s="387">
        <f t="shared" ref="Q33" si="24">SUM(Q24:Q32)</f>
        <v>20000000</v>
      </c>
      <c r="R33" s="387">
        <f t="shared" ref="R33" si="25">SUM(R24:R32)</f>
        <v>-41155387</v>
      </c>
      <c r="S33" s="388">
        <f t="shared" ref="S33" si="26">SUM(S24:S32)</f>
        <v>21155387</v>
      </c>
      <c r="T33" s="548">
        <f t="shared" si="6"/>
        <v>1.42984838336104E-2</v>
      </c>
    </row>
    <row r="34" spans="1:20" x14ac:dyDescent="0.25">
      <c r="A34" s="403"/>
      <c r="B34" s="73"/>
      <c r="C34" s="424"/>
      <c r="D34" s="73"/>
      <c r="E34" s="73"/>
      <c r="F34" s="435"/>
      <c r="G34" s="73"/>
      <c r="H34" s="424"/>
      <c r="I34" s="73"/>
      <c r="J34" s="459"/>
      <c r="K34" s="73"/>
      <c r="L34" s="531"/>
      <c r="M34" s="531"/>
      <c r="N34" s="532"/>
      <c r="O34" s="73"/>
      <c r="P34" s="424"/>
      <c r="Q34" s="73"/>
      <c r="R34" s="73"/>
      <c r="S34" s="73"/>
      <c r="T34" s="549"/>
    </row>
    <row r="35" spans="1:20" ht="13.8" thickBot="1" x14ac:dyDescent="0.3">
      <c r="A35" s="406"/>
      <c r="B35" s="407" t="s">
        <v>449</v>
      </c>
      <c r="C35" s="428">
        <f>+C33-C22</f>
        <v>0</v>
      </c>
      <c r="D35" s="408">
        <f>+D33-D22</f>
        <v>0</v>
      </c>
      <c r="E35" s="408">
        <f>+E33-E22</f>
        <v>0</v>
      </c>
      <c r="F35" s="445">
        <f>+F33-F22</f>
        <v>0</v>
      </c>
      <c r="G35" s="408"/>
      <c r="H35" s="428">
        <f>+H33-H22</f>
        <v>49706162</v>
      </c>
      <c r="I35" s="408">
        <f>+I33-I22</f>
        <v>164630060</v>
      </c>
      <c r="J35" s="410">
        <f>+J33-J22</f>
        <v>141968012</v>
      </c>
      <c r="K35" s="409"/>
      <c r="L35" s="537">
        <f t="shared" ref="L35" si="27">IF(D35=0,0,H35/D35)</f>
        <v>0</v>
      </c>
      <c r="M35" s="537">
        <f t="shared" ref="M35" si="28">IF(E35=0,0,I35/E35)</f>
        <v>0</v>
      </c>
      <c r="N35" s="538">
        <f t="shared" ref="N35" si="29">IF(F35=0,0,J35/F35)</f>
        <v>0</v>
      </c>
      <c r="O35" s="409"/>
      <c r="P35" s="428">
        <f>+P33-P22</f>
        <v>0</v>
      </c>
      <c r="Q35" s="408">
        <f>+Q33-Q22</f>
        <v>0</v>
      </c>
      <c r="R35" s="408">
        <f>+R33-R22</f>
        <v>0</v>
      </c>
      <c r="S35" s="410">
        <f>+S33-S22</f>
        <v>0</v>
      </c>
      <c r="T35" s="550"/>
    </row>
    <row r="36" spans="1:20" x14ac:dyDescent="0.25">
      <c r="C36" s="424"/>
      <c r="D36" s="74"/>
      <c r="E36" s="74"/>
      <c r="F36" s="441"/>
      <c r="G36" s="74"/>
      <c r="H36" s="433"/>
      <c r="I36" s="218"/>
      <c r="J36" s="457"/>
      <c r="K36" s="74"/>
      <c r="L36" s="531"/>
      <c r="M36" s="531"/>
      <c r="N36" s="532"/>
      <c r="O36" s="74"/>
      <c r="P36" s="424"/>
      <c r="Q36" s="73"/>
      <c r="R36" s="73"/>
      <c r="S36" s="73"/>
      <c r="T36" s="549"/>
    </row>
    <row r="37" spans="1:20" ht="13.8" thickBot="1" x14ac:dyDescent="0.3">
      <c r="C37" s="424"/>
      <c r="D37" s="74"/>
      <c r="E37" s="74"/>
      <c r="F37" s="441"/>
      <c r="G37" s="74"/>
      <c r="H37" s="433"/>
      <c r="I37" s="218"/>
      <c r="J37" s="457"/>
      <c r="K37" s="74"/>
      <c r="L37" s="531"/>
      <c r="M37" s="531"/>
      <c r="N37" s="532"/>
      <c r="O37" s="74"/>
      <c r="P37" s="424"/>
      <c r="Q37" s="73">
        <f>+P42*P4+Q42*Q4</f>
        <v>0</v>
      </c>
      <c r="R37" s="73"/>
      <c r="S37" s="73"/>
      <c r="T37" s="549"/>
    </row>
    <row r="38" spans="1:20" ht="18" thickBot="1" x14ac:dyDescent="0.35">
      <c r="A38" s="413" t="s">
        <v>461</v>
      </c>
      <c r="B38" s="440"/>
      <c r="D38" s="74"/>
      <c r="E38" s="74"/>
      <c r="F38" s="441"/>
      <c r="G38" s="74"/>
      <c r="H38" s="433"/>
      <c r="I38" s="218"/>
      <c r="J38" s="457"/>
      <c r="K38" s="74"/>
      <c r="L38" s="531"/>
      <c r="M38" s="531"/>
      <c r="N38" s="532"/>
      <c r="O38" s="74"/>
      <c r="P38" s="424"/>
      <c r="Q38" s="73"/>
      <c r="R38" s="73"/>
      <c r="S38" s="73"/>
      <c r="T38" s="549"/>
    </row>
    <row r="39" spans="1:20" x14ac:dyDescent="0.25">
      <c r="A39" s="396"/>
      <c r="B39" s="397"/>
      <c r="C39" s="425"/>
      <c r="D39" s="417"/>
      <c r="E39" s="417"/>
      <c r="F39" s="442"/>
      <c r="G39" s="417"/>
      <c r="H39" s="434"/>
      <c r="I39" s="418"/>
      <c r="J39" s="458"/>
      <c r="K39" s="417"/>
      <c r="L39" s="539"/>
      <c r="M39" s="539"/>
      <c r="N39" s="540"/>
      <c r="O39" s="417"/>
      <c r="P39" s="425"/>
      <c r="Q39" s="416"/>
      <c r="R39" s="416"/>
      <c r="S39" s="416"/>
      <c r="T39" s="551"/>
    </row>
    <row r="40" spans="1:20" x14ac:dyDescent="0.25">
      <c r="A40" s="400" t="s">
        <v>0</v>
      </c>
      <c r="B40" s="56" t="str">
        <f t="shared" ref="B40:B48" si="30">+B13</f>
        <v>Személyi juttatások</v>
      </c>
      <c r="C40" s="424">
        <f>+'4. Dr Gáspár HSZK'!C13</f>
        <v>28556000</v>
      </c>
      <c r="D40" s="73">
        <f>+'4. Dr Gáspár HSZK'!D13</f>
        <v>28556000</v>
      </c>
      <c r="E40" s="73">
        <f>+'4. Dr Gáspár HSZK'!E13</f>
        <v>28556000</v>
      </c>
      <c r="F40" s="435">
        <f>+'4. Dr Gáspár HSZK'!F13</f>
        <v>28781178</v>
      </c>
      <c r="G40" s="73"/>
      <c r="H40" s="424">
        <f>+'4. Dr Gáspár HSZK'!H13</f>
        <v>13630407</v>
      </c>
      <c r="I40" s="73">
        <f>+'4. Dr Gáspár HSZK'!I13</f>
        <v>20450561</v>
      </c>
      <c r="J40" s="459">
        <f>+'4. Dr Gáspár HSZK'!J13</f>
        <v>27147663</v>
      </c>
      <c r="K40" s="73"/>
      <c r="L40" s="531">
        <f t="shared" ref="L40:L49" si="31">IF(D40=0,0,H40/D40)</f>
        <v>0.47732199887939486</v>
      </c>
      <c r="M40" s="531">
        <f t="shared" ref="M40:M49" si="32">IF(E40=0,0,I40/E40)</f>
        <v>0.71615635943409439</v>
      </c>
      <c r="N40" s="532">
        <f t="shared" ref="N40:N49" si="33">IF(F40=0,0,J40/F40)</f>
        <v>0.94324363651828291</v>
      </c>
      <c r="O40" s="73"/>
      <c r="P40" s="424">
        <f t="shared" ref="P40:P48" si="34">+D40-C40</f>
        <v>0</v>
      </c>
      <c r="Q40" s="73">
        <f t="shared" ref="Q40:Q48" si="35">+E40-D40</f>
        <v>0</v>
      </c>
      <c r="R40" s="73">
        <f t="shared" ref="R40:R48" si="36">+F40-E40</f>
        <v>225178</v>
      </c>
      <c r="S40" s="73">
        <f t="shared" ref="S40:S48" si="37">+P$4*P40+Q$4*Q40*R$4*R40</f>
        <v>0</v>
      </c>
      <c r="T40" s="547">
        <f>IF(S40=0,0,S40/C40)</f>
        <v>0</v>
      </c>
    </row>
    <row r="41" spans="1:20" x14ac:dyDescent="0.25">
      <c r="A41" s="400" t="s">
        <v>24</v>
      </c>
      <c r="B41" s="56" t="str">
        <f t="shared" si="30"/>
        <v>Munkaadót terhelő járulékok és szociális hozzájárulás</v>
      </c>
      <c r="C41" s="424">
        <f>+'4. Dr Gáspár HSZK'!C29</f>
        <v>4600000</v>
      </c>
      <c r="D41" s="73">
        <f>+'4. Dr Gáspár HSZK'!D29</f>
        <v>4600000</v>
      </c>
      <c r="E41" s="73">
        <f>+'4. Dr Gáspár HSZK'!E29</f>
        <v>4600000</v>
      </c>
      <c r="F41" s="435">
        <f>+'4. Dr Gáspár HSZK'!F29</f>
        <v>4374822</v>
      </c>
      <c r="G41" s="73"/>
      <c r="H41" s="424">
        <f>+'4. Dr Gáspár HSZK'!H29</f>
        <v>2287014</v>
      </c>
      <c r="I41" s="73">
        <f>+'4. Dr Gáspár HSZK'!I29</f>
        <v>3341309</v>
      </c>
      <c r="J41" s="459">
        <f>+'4. Dr Gáspár HSZK'!J29</f>
        <v>4374822</v>
      </c>
      <c r="K41" s="73"/>
      <c r="L41" s="531">
        <f t="shared" si="31"/>
        <v>0.49717695652173916</v>
      </c>
      <c r="M41" s="531">
        <f t="shared" si="32"/>
        <v>0.72637152173913044</v>
      </c>
      <c r="N41" s="532">
        <f t="shared" si="33"/>
        <v>1</v>
      </c>
      <c r="O41" s="73"/>
      <c r="P41" s="424">
        <f t="shared" si="34"/>
        <v>0</v>
      </c>
      <c r="Q41" s="73">
        <f t="shared" si="35"/>
        <v>0</v>
      </c>
      <c r="R41" s="73">
        <f t="shared" si="36"/>
        <v>-225178</v>
      </c>
      <c r="S41" s="73">
        <f t="shared" si="37"/>
        <v>0</v>
      </c>
      <c r="T41" s="547">
        <f t="shared" ref="T41:T60" si="38">IF(S41=0,0,S41/C41)</f>
        <v>0</v>
      </c>
    </row>
    <row r="42" spans="1:20" x14ac:dyDescent="0.25">
      <c r="A42" s="400" t="s">
        <v>27</v>
      </c>
      <c r="B42" s="56" t="str">
        <f t="shared" si="30"/>
        <v>Dologi kiadások</v>
      </c>
      <c r="C42" s="424">
        <f>+'4. Dr Gáspár HSZK'!C32</f>
        <v>11570000</v>
      </c>
      <c r="D42" s="73">
        <f>+'4. Dr Gáspár HSZK'!D32</f>
        <v>11570000</v>
      </c>
      <c r="E42" s="73">
        <f>+'4. Dr Gáspár HSZK'!E32</f>
        <v>11570000</v>
      </c>
      <c r="F42" s="435">
        <f>+'4. Dr Gáspár HSZK'!F32</f>
        <v>11541054</v>
      </c>
      <c r="G42" s="73"/>
      <c r="H42" s="427">
        <f>+'4. Dr Gáspár HSZK'!H32</f>
        <v>5248399</v>
      </c>
      <c r="I42" s="318">
        <f>+'4. Dr Gáspár HSZK'!I32</f>
        <v>7719977</v>
      </c>
      <c r="J42" s="459">
        <f>+'4. Dr Gáspár HSZK'!J32</f>
        <v>10670176</v>
      </c>
      <c r="K42" s="73"/>
      <c r="L42" s="531">
        <f t="shared" si="31"/>
        <v>0.45362134831460676</v>
      </c>
      <c r="M42" s="531">
        <f t="shared" si="32"/>
        <v>0.6672408815903198</v>
      </c>
      <c r="N42" s="532">
        <f t="shared" si="33"/>
        <v>0.92454086082605624</v>
      </c>
      <c r="O42" s="73"/>
      <c r="P42" s="424">
        <f t="shared" si="34"/>
        <v>0</v>
      </c>
      <c r="Q42" s="73">
        <f t="shared" si="35"/>
        <v>0</v>
      </c>
      <c r="R42" s="73">
        <f t="shared" si="36"/>
        <v>-28946</v>
      </c>
      <c r="S42" s="73">
        <f t="shared" si="37"/>
        <v>0</v>
      </c>
      <c r="T42" s="547">
        <f t="shared" si="38"/>
        <v>0</v>
      </c>
    </row>
    <row r="43" spans="1:20" x14ac:dyDescent="0.25">
      <c r="A43" s="400" t="s">
        <v>107</v>
      </c>
      <c r="B43" s="56" t="str">
        <f t="shared" si="30"/>
        <v>Elláttotak pénzbeli juttatásai</v>
      </c>
      <c r="C43" s="424"/>
      <c r="D43" s="73"/>
      <c r="E43" s="73"/>
      <c r="F43" s="435"/>
      <c r="G43" s="73"/>
      <c r="H43" s="424"/>
      <c r="I43" s="73"/>
      <c r="J43" s="459"/>
      <c r="K43" s="73"/>
      <c r="L43" s="531">
        <f t="shared" si="31"/>
        <v>0</v>
      </c>
      <c r="M43" s="531">
        <f t="shared" si="32"/>
        <v>0</v>
      </c>
      <c r="N43" s="532">
        <f t="shared" si="33"/>
        <v>0</v>
      </c>
      <c r="O43" s="73"/>
      <c r="P43" s="424">
        <f t="shared" si="34"/>
        <v>0</v>
      </c>
      <c r="Q43" s="73">
        <f t="shared" si="35"/>
        <v>0</v>
      </c>
      <c r="R43" s="73">
        <f t="shared" si="36"/>
        <v>0</v>
      </c>
      <c r="S43" s="73">
        <f t="shared" si="37"/>
        <v>0</v>
      </c>
      <c r="T43" s="547">
        <f t="shared" si="38"/>
        <v>0</v>
      </c>
    </row>
    <row r="44" spans="1:20" x14ac:dyDescent="0.25">
      <c r="A44" s="401" t="s">
        <v>369</v>
      </c>
      <c r="B44" s="56" t="str">
        <f t="shared" si="30"/>
        <v>Egyéb működési célú kiadások</v>
      </c>
      <c r="C44" s="424"/>
      <c r="D44" s="73"/>
      <c r="E44" s="73"/>
      <c r="F44" s="435"/>
      <c r="G44" s="73"/>
      <c r="H44" s="424"/>
      <c r="I44" s="73"/>
      <c r="J44" s="459"/>
      <c r="K44" s="73"/>
      <c r="L44" s="531">
        <f t="shared" si="31"/>
        <v>0</v>
      </c>
      <c r="M44" s="531">
        <f t="shared" si="32"/>
        <v>0</v>
      </c>
      <c r="N44" s="532">
        <f t="shared" si="33"/>
        <v>0</v>
      </c>
      <c r="O44" s="73"/>
      <c r="P44" s="424">
        <f t="shared" si="34"/>
        <v>0</v>
      </c>
      <c r="Q44" s="73">
        <f t="shared" si="35"/>
        <v>0</v>
      </c>
      <c r="R44" s="73">
        <f t="shared" si="36"/>
        <v>0</v>
      </c>
      <c r="S44" s="73">
        <f t="shared" si="37"/>
        <v>0</v>
      </c>
      <c r="T44" s="547">
        <f t="shared" si="38"/>
        <v>0</v>
      </c>
    </row>
    <row r="45" spans="1:20" x14ac:dyDescent="0.25">
      <c r="A45" s="400" t="s">
        <v>154</v>
      </c>
      <c r="B45" s="56" t="str">
        <f t="shared" si="30"/>
        <v>Beruházások</v>
      </c>
      <c r="C45" s="424">
        <f>+'4. Dr Gáspár HSZK'!C83</f>
        <v>120000</v>
      </c>
      <c r="D45" s="73">
        <f>+'4. Dr Gáspár HSZK'!D83</f>
        <v>120000</v>
      </c>
      <c r="E45" s="73">
        <f>+'4. Dr Gáspár HSZK'!E83</f>
        <v>120000</v>
      </c>
      <c r="F45" s="435">
        <f>+'4. Dr Gáspár HSZK'!F83</f>
        <v>148946</v>
      </c>
      <c r="G45" s="73"/>
      <c r="H45" s="424">
        <f>+'4. Dr Gáspár HSZK'!H83</f>
        <v>0</v>
      </c>
      <c r="I45" s="73">
        <f>+'4. Dr Gáspár HSZK'!I83</f>
        <v>0</v>
      </c>
      <c r="J45" s="459">
        <f>+'4. Dr Gáspár HSZK'!J83</f>
        <v>0</v>
      </c>
      <c r="K45" s="73">
        <f>+'4. Dr Gáspár HSZK'!K83</f>
        <v>0</v>
      </c>
      <c r="L45" s="531">
        <f t="shared" si="31"/>
        <v>0</v>
      </c>
      <c r="M45" s="531">
        <f t="shared" si="32"/>
        <v>0</v>
      </c>
      <c r="N45" s="532">
        <f t="shared" si="33"/>
        <v>0</v>
      </c>
      <c r="O45" s="73"/>
      <c r="P45" s="424">
        <f t="shared" si="34"/>
        <v>0</v>
      </c>
      <c r="Q45" s="73">
        <f t="shared" si="35"/>
        <v>0</v>
      </c>
      <c r="R45" s="73">
        <f t="shared" si="36"/>
        <v>28946</v>
      </c>
      <c r="S45" s="73">
        <f t="shared" si="37"/>
        <v>0</v>
      </c>
      <c r="T45" s="547">
        <f t="shared" si="38"/>
        <v>0</v>
      </c>
    </row>
    <row r="46" spans="1:20" x14ac:dyDescent="0.25">
      <c r="A46" s="400" t="s">
        <v>169</v>
      </c>
      <c r="B46" s="56" t="str">
        <f t="shared" si="30"/>
        <v>Felújítások</v>
      </c>
      <c r="C46" s="424">
        <f>+'4. Dr Gáspár HSZK'!C86</f>
        <v>0</v>
      </c>
      <c r="D46" s="73">
        <f>+'4. Dr Gáspár HSZK'!D86</f>
        <v>0</v>
      </c>
      <c r="E46" s="73">
        <f>+'4. Dr Gáspár HSZK'!E86</f>
        <v>0</v>
      </c>
      <c r="F46" s="435">
        <f>+'4. Dr Gáspár HSZK'!F86</f>
        <v>0</v>
      </c>
      <c r="G46" s="73"/>
      <c r="H46" s="424">
        <f>+'4. Dr Gáspár HSZK'!H86</f>
        <v>0</v>
      </c>
      <c r="I46" s="73">
        <f>+'4. Dr Gáspár HSZK'!I86</f>
        <v>0</v>
      </c>
      <c r="J46" s="459">
        <f>+'4. Dr Gáspár HSZK'!J86</f>
        <v>0</v>
      </c>
      <c r="K46" s="73">
        <f>+'4. Dr Gáspár HSZK'!K86</f>
        <v>0</v>
      </c>
      <c r="L46" s="531">
        <f t="shared" si="31"/>
        <v>0</v>
      </c>
      <c r="M46" s="531">
        <f t="shared" si="32"/>
        <v>0</v>
      </c>
      <c r="N46" s="532">
        <f t="shared" si="33"/>
        <v>0</v>
      </c>
      <c r="O46" s="73"/>
      <c r="P46" s="424">
        <f t="shared" si="34"/>
        <v>0</v>
      </c>
      <c r="Q46" s="73">
        <f t="shared" si="35"/>
        <v>0</v>
      </c>
      <c r="R46" s="73">
        <f t="shared" si="36"/>
        <v>0</v>
      </c>
      <c r="S46" s="73">
        <f t="shared" si="37"/>
        <v>0</v>
      </c>
      <c r="T46" s="547">
        <f t="shared" si="38"/>
        <v>0</v>
      </c>
    </row>
    <row r="47" spans="1:20" x14ac:dyDescent="0.25">
      <c r="A47" s="400" t="s">
        <v>179</v>
      </c>
      <c r="B47" s="56" t="str">
        <f t="shared" si="30"/>
        <v>Szolgáltatások kiadásai</v>
      </c>
      <c r="C47" s="424"/>
      <c r="D47" s="73"/>
      <c r="E47" s="73"/>
      <c r="F47" s="435"/>
      <c r="G47" s="73"/>
      <c r="H47" s="424"/>
      <c r="I47" s="73"/>
      <c r="J47" s="459"/>
      <c r="K47" s="73"/>
      <c r="L47" s="531">
        <f t="shared" si="31"/>
        <v>0</v>
      </c>
      <c r="M47" s="531">
        <f t="shared" si="32"/>
        <v>0</v>
      </c>
      <c r="N47" s="532">
        <f t="shared" si="33"/>
        <v>0</v>
      </c>
      <c r="O47" s="73"/>
      <c r="P47" s="424">
        <f t="shared" si="34"/>
        <v>0</v>
      </c>
      <c r="Q47" s="73">
        <f t="shared" si="35"/>
        <v>0</v>
      </c>
      <c r="R47" s="73">
        <f t="shared" si="36"/>
        <v>0</v>
      </c>
      <c r="S47" s="73">
        <f t="shared" si="37"/>
        <v>0</v>
      </c>
      <c r="T47" s="547">
        <f t="shared" si="38"/>
        <v>0</v>
      </c>
    </row>
    <row r="48" spans="1:20" x14ac:dyDescent="0.25">
      <c r="A48" s="400" t="s">
        <v>197</v>
      </c>
      <c r="B48" s="56" t="str">
        <f t="shared" si="30"/>
        <v>Finanszírozási kiadások</v>
      </c>
      <c r="C48" s="403"/>
      <c r="F48" s="446"/>
      <c r="H48" s="403"/>
      <c r="J48" s="457"/>
      <c r="L48" s="531">
        <f t="shared" si="31"/>
        <v>0</v>
      </c>
      <c r="M48" s="531">
        <f t="shared" si="32"/>
        <v>0</v>
      </c>
      <c r="N48" s="532">
        <f t="shared" si="33"/>
        <v>0</v>
      </c>
      <c r="P48" s="424">
        <f t="shared" si="34"/>
        <v>0</v>
      </c>
      <c r="Q48" s="73">
        <f t="shared" si="35"/>
        <v>0</v>
      </c>
      <c r="R48" s="73">
        <f t="shared" si="36"/>
        <v>0</v>
      </c>
      <c r="S48" s="73">
        <f t="shared" si="37"/>
        <v>0</v>
      </c>
      <c r="T48" s="547">
        <f t="shared" si="38"/>
        <v>0</v>
      </c>
    </row>
    <row r="49" spans="1:20" x14ac:dyDescent="0.25">
      <c r="A49" s="402"/>
      <c r="B49" s="386" t="s">
        <v>371</v>
      </c>
      <c r="C49" s="426">
        <f>SUM(C40:C48)</f>
        <v>44846000</v>
      </c>
      <c r="D49" s="387">
        <f t="shared" ref="D49" si="39">SUM(D40:D48)</f>
        <v>44846000</v>
      </c>
      <c r="E49" s="387">
        <f t="shared" ref="E49" si="40">SUM(E40:E48)</f>
        <v>44846000</v>
      </c>
      <c r="F49" s="443">
        <f t="shared" ref="F49" si="41">SUM(F40:F48)</f>
        <v>44846000</v>
      </c>
      <c r="G49" s="387"/>
      <c r="H49" s="426">
        <f t="shared" ref="H49" si="42">SUM(H40:H48)</f>
        <v>21165820</v>
      </c>
      <c r="I49" s="387">
        <f t="shared" ref="I49" si="43">SUM(I40:I48)</f>
        <v>31511847</v>
      </c>
      <c r="J49" s="388">
        <f t="shared" ref="J49" si="44">SUM(J40:J48)</f>
        <v>42192661</v>
      </c>
      <c r="K49" s="204"/>
      <c r="L49" s="533">
        <f t="shared" si="31"/>
        <v>0.47196673058912725</v>
      </c>
      <c r="M49" s="533">
        <f t="shared" si="32"/>
        <v>0.70266795254872227</v>
      </c>
      <c r="N49" s="534">
        <f t="shared" si="33"/>
        <v>0.94083443339428263</v>
      </c>
      <c r="O49" s="204"/>
      <c r="P49" s="426">
        <f t="shared" ref="P49" si="45">SUM(P40:P48)</f>
        <v>0</v>
      </c>
      <c r="Q49" s="387">
        <f t="shared" ref="Q49" si="46">SUM(Q40:Q48)</f>
        <v>0</v>
      </c>
      <c r="R49" s="387">
        <f t="shared" ref="R49" si="47">SUM(R40:R48)</f>
        <v>0</v>
      </c>
      <c r="S49" s="388">
        <f t="shared" ref="S49" si="48">SUM(S40:S48)</f>
        <v>0</v>
      </c>
      <c r="T49" s="548">
        <f t="shared" si="38"/>
        <v>0</v>
      </c>
    </row>
    <row r="50" spans="1:20" x14ac:dyDescent="0.25">
      <c r="A50" s="403"/>
      <c r="C50" s="424"/>
      <c r="D50" s="74"/>
      <c r="E50" s="74"/>
      <c r="F50" s="441"/>
      <c r="G50" s="74"/>
      <c r="H50" s="433"/>
      <c r="I50" s="218"/>
      <c r="J50" s="457"/>
      <c r="K50" s="74"/>
      <c r="L50" s="531"/>
      <c r="M50" s="531"/>
      <c r="N50" s="532"/>
      <c r="O50" s="74"/>
      <c r="P50" s="424"/>
      <c r="Q50" s="73"/>
      <c r="R50" s="73"/>
      <c r="S50" s="73"/>
      <c r="T50" s="547"/>
    </row>
    <row r="51" spans="1:20" x14ac:dyDescent="0.25">
      <c r="A51" s="400" t="str">
        <f>+A24</f>
        <v>B1</v>
      </c>
      <c r="B51" s="56" t="s">
        <v>441</v>
      </c>
      <c r="C51" s="424">
        <f>+'4. Dr Gáspár HSZK'!C93</f>
        <v>0</v>
      </c>
      <c r="D51" s="73">
        <f>+'4. Dr Gáspár HSZK'!D93</f>
        <v>0</v>
      </c>
      <c r="E51" s="73">
        <f>+'4. Dr Gáspár HSZK'!E93</f>
        <v>0</v>
      </c>
      <c r="F51" s="435">
        <f>+'4. Dr Gáspár HSZK'!F93</f>
        <v>0</v>
      </c>
      <c r="G51" s="73">
        <f>+'4. Dr Gáspár HSZK'!G93</f>
        <v>0</v>
      </c>
      <c r="H51" s="424">
        <f>+'4. Dr Gáspár HSZK'!H93</f>
        <v>0</v>
      </c>
      <c r="I51" s="73">
        <f>+'4. Dr Gáspár HSZK'!I93</f>
        <v>0</v>
      </c>
      <c r="J51" s="459">
        <f>+'4. Dr Gáspár HSZK'!J93</f>
        <v>574197</v>
      </c>
      <c r="K51" s="73"/>
      <c r="L51" s="531">
        <f t="shared" ref="L51:L60" si="49">IF(D51=0,0,H51/D51)</f>
        <v>0</v>
      </c>
      <c r="M51" s="531">
        <f t="shared" ref="M51:M60" si="50">IF(E51=0,0,I51/E51)</f>
        <v>0</v>
      </c>
      <c r="N51" s="532">
        <f t="shared" ref="N51:N60" si="51">IF(F51=0,0,J51/F51)</f>
        <v>0</v>
      </c>
      <c r="O51" s="73"/>
      <c r="P51" s="424">
        <f t="shared" ref="P51:P59" si="52">+D51-C51</f>
        <v>0</v>
      </c>
      <c r="Q51" s="73">
        <f t="shared" ref="Q51:Q59" si="53">+E51-D51</f>
        <v>0</v>
      </c>
      <c r="R51" s="73">
        <f t="shared" ref="R51:R59" si="54">+F51-E51</f>
        <v>0</v>
      </c>
      <c r="S51" s="73">
        <f t="shared" ref="S51:S59" si="55">+P$4*P51+Q$4*Q51*R$4*R51</f>
        <v>0</v>
      </c>
      <c r="T51" s="547">
        <f t="shared" si="38"/>
        <v>0</v>
      </c>
    </row>
    <row r="52" spans="1:20" x14ac:dyDescent="0.25">
      <c r="A52" s="400" t="str">
        <f t="shared" ref="A52" si="56">+A25</f>
        <v>B2</v>
      </c>
      <c r="B52" s="56" t="s">
        <v>440</v>
      </c>
      <c r="C52" s="424"/>
      <c r="D52" s="73"/>
      <c r="E52" s="73"/>
      <c r="F52" s="435"/>
      <c r="G52" s="73"/>
      <c r="H52" s="424"/>
      <c r="I52" s="73"/>
      <c r="J52" s="459"/>
      <c r="K52" s="73"/>
      <c r="L52" s="531">
        <f t="shared" si="49"/>
        <v>0</v>
      </c>
      <c r="M52" s="531">
        <f t="shared" si="50"/>
        <v>0</v>
      </c>
      <c r="N52" s="532">
        <f t="shared" si="51"/>
        <v>0</v>
      </c>
      <c r="O52" s="73"/>
      <c r="P52" s="424">
        <f t="shared" si="52"/>
        <v>0</v>
      </c>
      <c r="Q52" s="73">
        <f t="shared" si="53"/>
        <v>0</v>
      </c>
      <c r="R52" s="73">
        <f t="shared" si="54"/>
        <v>0</v>
      </c>
      <c r="S52" s="73">
        <f t="shared" si="55"/>
        <v>0</v>
      </c>
      <c r="T52" s="547">
        <f t="shared" si="38"/>
        <v>0</v>
      </c>
    </row>
    <row r="53" spans="1:20" x14ac:dyDescent="0.25">
      <c r="A53" s="400" t="str">
        <f t="shared" ref="A53" si="57">+A26</f>
        <v>B3</v>
      </c>
      <c r="B53" s="56" t="s">
        <v>266</v>
      </c>
      <c r="C53" s="424"/>
      <c r="D53" s="73"/>
      <c r="E53" s="73"/>
      <c r="F53" s="435"/>
      <c r="G53" s="73"/>
      <c r="H53" s="424"/>
      <c r="I53" s="73"/>
      <c r="J53" s="459"/>
      <c r="K53" s="73"/>
      <c r="L53" s="531">
        <f t="shared" si="49"/>
        <v>0</v>
      </c>
      <c r="M53" s="531">
        <f t="shared" si="50"/>
        <v>0</v>
      </c>
      <c r="N53" s="532">
        <f t="shared" si="51"/>
        <v>0</v>
      </c>
      <c r="O53" s="73"/>
      <c r="P53" s="424">
        <f t="shared" si="52"/>
        <v>0</v>
      </c>
      <c r="Q53" s="73">
        <f t="shared" si="53"/>
        <v>0</v>
      </c>
      <c r="R53" s="73">
        <f t="shared" si="54"/>
        <v>0</v>
      </c>
      <c r="S53" s="73">
        <f t="shared" si="55"/>
        <v>0</v>
      </c>
      <c r="T53" s="547">
        <f t="shared" si="38"/>
        <v>0</v>
      </c>
    </row>
    <row r="54" spans="1:20" x14ac:dyDescent="0.25">
      <c r="A54" s="400" t="str">
        <f t="shared" ref="A54" si="58">+A27</f>
        <v>B4</v>
      </c>
      <c r="B54" s="56" t="s">
        <v>279</v>
      </c>
      <c r="C54" s="424">
        <f>+'4. Dr Gáspár HSZK'!C95</f>
        <v>6305000</v>
      </c>
      <c r="D54" s="73">
        <f>+'4. Dr Gáspár HSZK'!D95</f>
        <v>6305000</v>
      </c>
      <c r="E54" s="73">
        <f>+'4. Dr Gáspár HSZK'!E95</f>
        <v>6305000</v>
      </c>
      <c r="F54" s="435">
        <f>+'4. Dr Gáspár HSZK'!F95</f>
        <v>6305000</v>
      </c>
      <c r="G54" s="73"/>
      <c r="H54" s="424">
        <f>+'4. Dr Gáspár HSZK'!H95</f>
        <v>3822258</v>
      </c>
      <c r="I54" s="73">
        <f>+'4. Dr Gáspár HSZK'!I95</f>
        <v>5258763</v>
      </c>
      <c r="J54" s="459">
        <f>+'4. Dr Gáspár HSZK'!J95</f>
        <v>7507799</v>
      </c>
      <c r="K54" s="73"/>
      <c r="L54" s="531">
        <f t="shared" si="49"/>
        <v>0.60622648691514669</v>
      </c>
      <c r="M54" s="531">
        <f t="shared" si="50"/>
        <v>0.83406233148295006</v>
      </c>
      <c r="N54" s="532">
        <f t="shared" si="51"/>
        <v>1.1907690721649484</v>
      </c>
      <c r="O54" s="73"/>
      <c r="P54" s="424">
        <f t="shared" si="52"/>
        <v>0</v>
      </c>
      <c r="Q54" s="73">
        <f t="shared" si="53"/>
        <v>0</v>
      </c>
      <c r="R54" s="73">
        <f t="shared" si="54"/>
        <v>0</v>
      </c>
      <c r="S54" s="73">
        <f t="shared" si="55"/>
        <v>0</v>
      </c>
      <c r="T54" s="547">
        <f t="shared" si="38"/>
        <v>0</v>
      </c>
    </row>
    <row r="55" spans="1:20" x14ac:dyDescent="0.25">
      <c r="A55" s="400" t="str">
        <f t="shared" ref="A55" si="59">+A28</f>
        <v>B5</v>
      </c>
      <c r="B55" s="56" t="s">
        <v>305</v>
      </c>
      <c r="C55" s="424"/>
      <c r="D55" s="73"/>
      <c r="E55" s="73"/>
      <c r="F55" s="435"/>
      <c r="G55" s="73"/>
      <c r="H55" s="424"/>
      <c r="I55" s="73"/>
      <c r="J55" s="459"/>
      <c r="K55" s="73"/>
      <c r="L55" s="531">
        <f t="shared" si="49"/>
        <v>0</v>
      </c>
      <c r="M55" s="531">
        <f t="shared" si="50"/>
        <v>0</v>
      </c>
      <c r="N55" s="532">
        <f t="shared" si="51"/>
        <v>0</v>
      </c>
      <c r="O55" s="73"/>
      <c r="P55" s="424">
        <f t="shared" si="52"/>
        <v>0</v>
      </c>
      <c r="Q55" s="73">
        <f t="shared" si="53"/>
        <v>0</v>
      </c>
      <c r="R55" s="73">
        <f t="shared" si="54"/>
        <v>0</v>
      </c>
      <c r="S55" s="73">
        <f t="shared" si="55"/>
        <v>0</v>
      </c>
      <c r="T55" s="547">
        <f t="shared" si="38"/>
        <v>0</v>
      </c>
    </row>
    <row r="56" spans="1:20" x14ac:dyDescent="0.25">
      <c r="A56" s="400" t="str">
        <f t="shared" ref="A56" si="60">+A29</f>
        <v>B6</v>
      </c>
      <c r="B56" s="56" t="s">
        <v>315</v>
      </c>
      <c r="C56" s="424"/>
      <c r="D56" s="73"/>
      <c r="E56" s="73"/>
      <c r="F56" s="435"/>
      <c r="G56" s="73"/>
      <c r="H56" s="424"/>
      <c r="I56" s="73"/>
      <c r="J56" s="459"/>
      <c r="K56" s="73"/>
      <c r="L56" s="531">
        <f t="shared" si="49"/>
        <v>0</v>
      </c>
      <c r="M56" s="531">
        <f t="shared" si="50"/>
        <v>0</v>
      </c>
      <c r="N56" s="532">
        <f t="shared" si="51"/>
        <v>0</v>
      </c>
      <c r="O56" s="73"/>
      <c r="P56" s="424">
        <f t="shared" si="52"/>
        <v>0</v>
      </c>
      <c r="Q56" s="73">
        <f t="shared" si="53"/>
        <v>0</v>
      </c>
      <c r="R56" s="73">
        <f t="shared" si="54"/>
        <v>0</v>
      </c>
      <c r="S56" s="73">
        <f t="shared" si="55"/>
        <v>0</v>
      </c>
      <c r="T56" s="547">
        <f t="shared" si="38"/>
        <v>0</v>
      </c>
    </row>
    <row r="57" spans="1:20" x14ac:dyDescent="0.25">
      <c r="A57" s="400" t="str">
        <f t="shared" ref="A57" si="61">+A30</f>
        <v>B7</v>
      </c>
      <c r="B57" s="56" t="s">
        <v>321</v>
      </c>
      <c r="C57" s="424"/>
      <c r="D57" s="73"/>
      <c r="E57" s="73"/>
      <c r="F57" s="435"/>
      <c r="G57" s="73"/>
      <c r="H57" s="424"/>
      <c r="I57" s="73"/>
      <c r="J57" s="459"/>
      <c r="K57" s="73"/>
      <c r="L57" s="531">
        <f t="shared" si="49"/>
        <v>0</v>
      </c>
      <c r="M57" s="531">
        <f t="shared" si="50"/>
        <v>0</v>
      </c>
      <c r="N57" s="532">
        <f t="shared" si="51"/>
        <v>0</v>
      </c>
      <c r="O57" s="73"/>
      <c r="P57" s="424">
        <f t="shared" si="52"/>
        <v>0</v>
      </c>
      <c r="Q57" s="73">
        <f t="shared" si="53"/>
        <v>0</v>
      </c>
      <c r="R57" s="73">
        <f t="shared" si="54"/>
        <v>0</v>
      </c>
      <c r="S57" s="73">
        <f t="shared" si="55"/>
        <v>0</v>
      </c>
      <c r="T57" s="547">
        <f t="shared" ref="T57" si="62">IF(S57=0,0,S57/C57)</f>
        <v>0</v>
      </c>
    </row>
    <row r="58" spans="1:20" x14ac:dyDescent="0.25">
      <c r="A58" s="400" t="str">
        <f>+A31</f>
        <v>B8-ból maradványértéken túli finanszírozási bevételek</v>
      </c>
      <c r="B58" s="56"/>
      <c r="C58" s="424">
        <f>+'4. Dr Gáspár HSZK'!C99-C59</f>
        <v>37908599</v>
      </c>
      <c r="D58" s="73">
        <f>+'4. Dr Gáspár HSZK'!D99-D59</f>
        <v>37908599</v>
      </c>
      <c r="E58" s="73">
        <f>+'4. Dr Gáspár HSZK'!E99-E59</f>
        <v>37908599</v>
      </c>
      <c r="F58" s="435">
        <f>+'4. Dr Gáspár HSZK'!F99-F59</f>
        <v>37908599</v>
      </c>
      <c r="G58" s="73"/>
      <c r="H58" s="424">
        <f>+'4. Dr Gáspár HSZK'!H99-H59</f>
        <v>19343259</v>
      </c>
      <c r="I58" s="73">
        <f>+'4. Dr Gáspár HSZK'!I99-I59</f>
        <v>26920675</v>
      </c>
      <c r="J58" s="459">
        <f>+'4. Dr Gáspár HSZK'!J99-J59</f>
        <v>35356344</v>
      </c>
      <c r="K58" s="73"/>
      <c r="L58" s="531">
        <f t="shared" si="49"/>
        <v>0.5102604556818362</v>
      </c>
      <c r="M58" s="531">
        <f t="shared" si="50"/>
        <v>0.71014692471225327</v>
      </c>
      <c r="N58" s="532">
        <f t="shared" si="51"/>
        <v>0.93267345490662945</v>
      </c>
      <c r="O58" s="73"/>
      <c r="P58" s="424">
        <f t="shared" si="52"/>
        <v>0</v>
      </c>
      <c r="Q58" s="73">
        <f t="shared" si="53"/>
        <v>0</v>
      </c>
      <c r="R58" s="73">
        <f t="shared" si="54"/>
        <v>0</v>
      </c>
      <c r="S58" s="73">
        <f t="shared" si="55"/>
        <v>0</v>
      </c>
      <c r="T58" s="547">
        <f t="shared" si="38"/>
        <v>0</v>
      </c>
    </row>
    <row r="59" spans="1:20" x14ac:dyDescent="0.25">
      <c r="A59" s="400" t="str">
        <f>+A32</f>
        <v>B8-ból előző évi mardvány igénybevétele</v>
      </c>
      <c r="B59" s="56"/>
      <c r="C59" s="424">
        <f>+'4. Dr Gáspár HSZK'!C101</f>
        <v>632401</v>
      </c>
      <c r="D59" s="73">
        <f>+'4. Dr Gáspár HSZK'!D101</f>
        <v>632401</v>
      </c>
      <c r="E59" s="73">
        <f>+'4. Dr Gáspár HSZK'!E101</f>
        <v>632401</v>
      </c>
      <c r="F59" s="435">
        <f>+'4. Dr Gáspár HSZK'!F101</f>
        <v>632401</v>
      </c>
      <c r="G59" s="73"/>
      <c r="H59" s="424">
        <f>+'4. Dr Gáspár HSZK'!H101</f>
        <v>632401</v>
      </c>
      <c r="I59" s="73">
        <f>+'4. Dr Gáspár HSZK'!I101</f>
        <v>632401</v>
      </c>
      <c r="J59" s="459">
        <f>+'4. Dr Gáspár HSZK'!J101</f>
        <v>632401</v>
      </c>
      <c r="K59" s="73"/>
      <c r="L59" s="531">
        <f t="shared" si="49"/>
        <v>1</v>
      </c>
      <c r="M59" s="531">
        <f t="shared" si="50"/>
        <v>1</v>
      </c>
      <c r="N59" s="532">
        <f t="shared" si="51"/>
        <v>1</v>
      </c>
      <c r="O59" s="73"/>
      <c r="P59" s="424">
        <f t="shared" si="52"/>
        <v>0</v>
      </c>
      <c r="Q59" s="73">
        <f t="shared" si="53"/>
        <v>0</v>
      </c>
      <c r="R59" s="73">
        <f t="shared" si="54"/>
        <v>0</v>
      </c>
      <c r="S59" s="73">
        <f t="shared" si="55"/>
        <v>0</v>
      </c>
      <c r="T59" s="547">
        <f t="shared" si="38"/>
        <v>0</v>
      </c>
    </row>
    <row r="60" spans="1:20" x14ac:dyDescent="0.25">
      <c r="A60" s="404"/>
      <c r="B60" s="386" t="s">
        <v>370</v>
      </c>
      <c r="C60" s="426">
        <f>SUM(C51:C59)</f>
        <v>44846000</v>
      </c>
      <c r="D60" s="387">
        <f t="shared" ref="D60" si="63">SUM(D51:D59)</f>
        <v>44846000</v>
      </c>
      <c r="E60" s="387">
        <f t="shared" ref="E60" si="64">SUM(E51:E59)</f>
        <v>44846000</v>
      </c>
      <c r="F60" s="443">
        <f t="shared" ref="F60" si="65">SUM(F51:F59)</f>
        <v>44846000</v>
      </c>
      <c r="G60" s="387"/>
      <c r="H60" s="426">
        <f t="shared" ref="H60" si="66">SUM(H51:H59)</f>
        <v>23797918</v>
      </c>
      <c r="I60" s="387">
        <f t="shared" ref="I60" si="67">SUM(I51:I59)</f>
        <v>32811839</v>
      </c>
      <c r="J60" s="388">
        <f t="shared" ref="J60" si="68">SUM(J51:J59)</f>
        <v>44070741</v>
      </c>
      <c r="K60" s="389"/>
      <c r="L60" s="535">
        <f t="shared" si="49"/>
        <v>0.53065865406056278</v>
      </c>
      <c r="M60" s="535">
        <f t="shared" si="50"/>
        <v>0.73165586674396821</v>
      </c>
      <c r="N60" s="536">
        <f t="shared" si="51"/>
        <v>0.98271286179369399</v>
      </c>
      <c r="O60" s="389"/>
      <c r="P60" s="426">
        <f t="shared" ref="P60" si="69">SUM(P51:P59)</f>
        <v>0</v>
      </c>
      <c r="Q60" s="387">
        <f t="shared" ref="Q60" si="70">SUM(Q51:Q59)</f>
        <v>0</v>
      </c>
      <c r="R60" s="387">
        <f t="shared" ref="R60" si="71">SUM(R51:R59)</f>
        <v>0</v>
      </c>
      <c r="S60" s="388">
        <f t="shared" ref="S60" si="72">SUM(S51:S59)</f>
        <v>0</v>
      </c>
      <c r="T60" s="548">
        <f t="shared" si="38"/>
        <v>0</v>
      </c>
    </row>
    <row r="61" spans="1:20" x14ac:dyDescent="0.25">
      <c r="A61" s="403"/>
      <c r="B61" s="73"/>
      <c r="C61" s="424"/>
      <c r="D61" s="73"/>
      <c r="E61" s="73"/>
      <c r="F61" s="435"/>
      <c r="G61" s="73"/>
      <c r="H61" s="424"/>
      <c r="I61" s="73"/>
      <c r="J61" s="459"/>
      <c r="K61" s="73"/>
      <c r="L61" s="531"/>
      <c r="M61" s="531"/>
      <c r="N61" s="532"/>
      <c r="O61" s="73"/>
      <c r="P61" s="424"/>
      <c r="Q61" s="73"/>
      <c r="R61" s="73"/>
      <c r="S61" s="73"/>
      <c r="T61" s="549"/>
    </row>
    <row r="62" spans="1:20" ht="13.8" thickBot="1" x14ac:dyDescent="0.3">
      <c r="A62" s="406"/>
      <c r="B62" s="407" t="s">
        <v>449</v>
      </c>
      <c r="C62" s="428">
        <f>+C60-C49</f>
        <v>0</v>
      </c>
      <c r="D62" s="408">
        <f>+D60-D49</f>
        <v>0</v>
      </c>
      <c r="E62" s="408">
        <f>+E60-E49</f>
        <v>0</v>
      </c>
      <c r="F62" s="445">
        <f>+F60-F49</f>
        <v>0</v>
      </c>
      <c r="G62" s="408"/>
      <c r="H62" s="428">
        <f>+H60-H49</f>
        <v>2632098</v>
      </c>
      <c r="I62" s="408">
        <f>+I60-I49</f>
        <v>1299992</v>
      </c>
      <c r="J62" s="410">
        <f>+J60-J49</f>
        <v>1878080</v>
      </c>
      <c r="K62" s="409"/>
      <c r="L62" s="537">
        <f t="shared" ref="L62" si="73">IF(D62=0,0,H62/D62)</f>
        <v>0</v>
      </c>
      <c r="M62" s="537">
        <f t="shared" ref="M62" si="74">IF(E62=0,0,I62/E62)</f>
        <v>0</v>
      </c>
      <c r="N62" s="538">
        <f t="shared" ref="N62" si="75">IF(F62=0,0,J62/F62)</f>
        <v>0</v>
      </c>
      <c r="O62" s="409"/>
      <c r="P62" s="428">
        <f>+P60-P49</f>
        <v>0</v>
      </c>
      <c r="Q62" s="408">
        <f>+Q60-Q49</f>
        <v>0</v>
      </c>
      <c r="R62" s="408">
        <f>+R60-R49</f>
        <v>0</v>
      </c>
      <c r="S62" s="410">
        <f>+S60-S49</f>
        <v>0</v>
      </c>
      <c r="T62" s="550"/>
    </row>
    <row r="63" spans="1:20" ht="13.8" thickBot="1" x14ac:dyDescent="0.3">
      <c r="C63" s="424"/>
      <c r="D63" s="74"/>
      <c r="E63" s="74"/>
      <c r="F63" s="441"/>
      <c r="G63" s="74"/>
      <c r="H63" s="433"/>
      <c r="I63" s="218"/>
      <c r="J63" s="457"/>
      <c r="K63" s="74"/>
      <c r="L63" s="531"/>
      <c r="M63" s="531"/>
      <c r="N63" s="532"/>
      <c r="O63" s="74"/>
      <c r="P63" s="424"/>
      <c r="Q63" s="73"/>
      <c r="R63" s="73"/>
      <c r="S63" s="73"/>
      <c r="T63" s="549"/>
    </row>
    <row r="64" spans="1:20" ht="13.8" hidden="1" thickBot="1" x14ac:dyDescent="0.3">
      <c r="C64" s="424"/>
      <c r="D64" s="74"/>
      <c r="E64" s="74"/>
      <c r="F64" s="441"/>
      <c r="G64" s="74"/>
      <c r="H64" s="433"/>
      <c r="I64" s="218"/>
      <c r="J64" s="457"/>
      <c r="K64" s="74"/>
      <c r="L64" s="531"/>
      <c r="M64" s="531"/>
      <c r="N64" s="532"/>
      <c r="O64" s="74"/>
      <c r="P64" s="424"/>
      <c r="Q64" s="73"/>
      <c r="R64" s="73"/>
      <c r="S64" s="73"/>
      <c r="T64" s="549"/>
    </row>
    <row r="65" spans="1:20" ht="18" thickBot="1" x14ac:dyDescent="0.35">
      <c r="A65" s="413" t="s">
        <v>462</v>
      </c>
      <c r="B65" s="440"/>
      <c r="D65" s="74"/>
      <c r="E65" s="74"/>
      <c r="F65" s="441"/>
      <c r="G65" s="74"/>
      <c r="H65" s="433"/>
      <c r="I65" s="218"/>
      <c r="J65" s="457"/>
      <c r="K65" s="74"/>
      <c r="L65" s="531"/>
      <c r="M65" s="531"/>
      <c r="N65" s="532"/>
      <c r="O65" s="74"/>
      <c r="P65" s="424"/>
      <c r="Q65" s="73"/>
      <c r="R65" s="73"/>
      <c r="S65" s="73"/>
      <c r="T65" s="549"/>
    </row>
    <row r="66" spans="1:20" x14ac:dyDescent="0.25">
      <c r="A66" s="396"/>
      <c r="B66" s="397"/>
      <c r="C66" s="425"/>
      <c r="D66" s="417"/>
      <c r="E66" s="417"/>
      <c r="F66" s="442"/>
      <c r="G66" s="417"/>
      <c r="H66" s="434"/>
      <c r="I66" s="418"/>
      <c r="J66" s="458"/>
      <c r="K66" s="417"/>
      <c r="L66" s="539"/>
      <c r="M66" s="539"/>
      <c r="N66" s="540"/>
      <c r="O66" s="417"/>
      <c r="P66" s="425"/>
      <c r="Q66" s="416"/>
      <c r="R66" s="416"/>
      <c r="S66" s="416"/>
      <c r="T66" s="551"/>
    </row>
    <row r="67" spans="1:20" x14ac:dyDescent="0.25">
      <c r="A67" s="400" t="s">
        <v>0</v>
      </c>
      <c r="B67" s="56" t="str">
        <f t="shared" ref="B67:B75" si="76">+B40</f>
        <v>Személyi juttatások</v>
      </c>
      <c r="C67" s="424">
        <f>+'5. Csicsergő'!C13</f>
        <v>168109000</v>
      </c>
      <c r="D67" s="73">
        <f>+'5. Csicsergő'!D13</f>
        <v>168109000</v>
      </c>
      <c r="E67" s="73">
        <f>+'5. Csicsergő'!E13</f>
        <v>168109000</v>
      </c>
      <c r="F67" s="435">
        <f>+'5. Csicsergő'!F13</f>
        <v>167045578</v>
      </c>
      <c r="G67" s="73"/>
      <c r="H67" s="424">
        <f>+'5. Csicsergő'!H13</f>
        <v>82528474</v>
      </c>
      <c r="I67" s="73">
        <f>+'5. Csicsergő'!I13</f>
        <v>123008879</v>
      </c>
      <c r="J67" s="459">
        <f>+'5. Csicsergő'!J13</f>
        <v>166554870</v>
      </c>
      <c r="K67" s="73"/>
      <c r="L67" s="531">
        <f t="shared" ref="L67:L76" si="77">IF(D67=0,0,H67/D67)</f>
        <v>0.49092240153709793</v>
      </c>
      <c r="M67" s="531">
        <f t="shared" ref="M67:M76" si="78">IF(E67=0,0,I67/E67)</f>
        <v>0.73172096080519189</v>
      </c>
      <c r="N67" s="532">
        <f t="shared" ref="N67:N76" si="79">IF(F67=0,0,J67/F67)</f>
        <v>0.9970624304703235</v>
      </c>
      <c r="O67" s="73"/>
      <c r="P67" s="424">
        <f>+'5. Csicsergő'!P13</f>
        <v>0</v>
      </c>
      <c r="Q67" s="73">
        <f>+'5. Csicsergő'!Q13</f>
        <v>0</v>
      </c>
      <c r="R67" s="73">
        <f>+'5. Csicsergő'!R13</f>
        <v>0</v>
      </c>
      <c r="S67" s="73">
        <f>+'5. Csicsergő'!S13</f>
        <v>0</v>
      </c>
      <c r="T67" s="547">
        <f>IF(S67=0,0,S67/C67)</f>
        <v>0</v>
      </c>
    </row>
    <row r="68" spans="1:20" x14ac:dyDescent="0.25">
      <c r="A68" s="400" t="s">
        <v>24</v>
      </c>
      <c r="B68" s="56" t="str">
        <f t="shared" si="76"/>
        <v>Munkaadót terhelő járulékok és szociális hozzájárulás</v>
      </c>
      <c r="C68" s="424">
        <f>+'5. Csicsergő'!C30</f>
        <v>26000000</v>
      </c>
      <c r="D68" s="73">
        <f>+'5. Csicsergő'!D30</f>
        <v>26000000</v>
      </c>
      <c r="E68" s="73">
        <f>+'5. Csicsergő'!E30</f>
        <v>26000000</v>
      </c>
      <c r="F68" s="435">
        <f>+'5. Csicsergő'!F30</f>
        <v>27063422</v>
      </c>
      <c r="G68" s="73"/>
      <c r="H68" s="424">
        <f>+'5. Csicsergő'!H30</f>
        <v>13641320</v>
      </c>
      <c r="I68" s="73">
        <f>+'5. Csicsergő'!I30</f>
        <v>20284766</v>
      </c>
      <c r="J68" s="459">
        <f>+'5. Csicsergő'!J30</f>
        <v>27063422</v>
      </c>
      <c r="K68" s="73"/>
      <c r="L68" s="531">
        <f t="shared" si="77"/>
        <v>0.52466615384615389</v>
      </c>
      <c r="M68" s="531">
        <f t="shared" si="78"/>
        <v>0.7801833076923077</v>
      </c>
      <c r="N68" s="532">
        <f t="shared" si="79"/>
        <v>1</v>
      </c>
      <c r="O68" s="73"/>
      <c r="P68" s="424">
        <f>+'5. Csicsergő'!P30</f>
        <v>0</v>
      </c>
      <c r="Q68" s="73">
        <f>+'5. Csicsergő'!Q30</f>
        <v>0</v>
      </c>
      <c r="R68" s="73">
        <f>+'5. Csicsergő'!R30</f>
        <v>0</v>
      </c>
      <c r="S68" s="73">
        <f>+'5. Csicsergő'!S30</f>
        <v>0</v>
      </c>
      <c r="T68" s="547">
        <f t="shared" ref="T68:T87" si="80">IF(S68=0,0,S68/C68)</f>
        <v>0</v>
      </c>
    </row>
    <row r="69" spans="1:20" x14ac:dyDescent="0.25">
      <c r="A69" s="400" t="s">
        <v>27</v>
      </c>
      <c r="B69" s="56" t="str">
        <f t="shared" si="76"/>
        <v>Dologi kiadások</v>
      </c>
      <c r="C69" s="424">
        <f>+'5. Csicsergő'!C33</f>
        <v>13425000</v>
      </c>
      <c r="D69" s="73">
        <f>+'5. Csicsergő'!D33</f>
        <v>13425000</v>
      </c>
      <c r="E69" s="73">
        <f>+'5. Csicsergő'!E33</f>
        <v>12769557</v>
      </c>
      <c r="F69" s="435">
        <f>+'5. Csicsergő'!F33</f>
        <v>12702667</v>
      </c>
      <c r="G69" s="73"/>
      <c r="H69" s="424">
        <f>+'5. Csicsergő'!H33</f>
        <v>5334888</v>
      </c>
      <c r="I69" s="73">
        <f>+'5. Csicsergő'!I33</f>
        <v>7770882</v>
      </c>
      <c r="J69" s="459">
        <f>+'5. Csicsergő'!J33</f>
        <v>10660790</v>
      </c>
      <c r="K69" s="73"/>
      <c r="L69" s="531">
        <f t="shared" si="77"/>
        <v>0.3973845810055866</v>
      </c>
      <c r="M69" s="531">
        <f t="shared" si="78"/>
        <v>0.60854750090390763</v>
      </c>
      <c r="N69" s="532">
        <f t="shared" si="79"/>
        <v>0.83925603969623075</v>
      </c>
      <c r="O69" s="73"/>
      <c r="P69" s="424">
        <f>+'5. Csicsergő'!P33</f>
        <v>0</v>
      </c>
      <c r="Q69" s="73">
        <f>+'5. Csicsergő'!Q33</f>
        <v>-655443</v>
      </c>
      <c r="R69" s="73">
        <f>+'5. Csicsergő'!R33</f>
        <v>0</v>
      </c>
      <c r="S69" s="73">
        <f>+'5. Csicsergő'!S33</f>
        <v>-655443</v>
      </c>
      <c r="T69" s="547">
        <f t="shared" si="80"/>
        <v>-4.8822569832402234E-2</v>
      </c>
    </row>
    <row r="70" spans="1:20" x14ac:dyDescent="0.25">
      <c r="A70" s="400" t="s">
        <v>107</v>
      </c>
      <c r="B70" s="56" t="str">
        <f t="shared" si="76"/>
        <v>Elláttotak pénzbeli juttatásai</v>
      </c>
      <c r="C70" s="424"/>
      <c r="D70" s="73"/>
      <c r="E70" s="73"/>
      <c r="F70" s="435"/>
      <c r="G70" s="73"/>
      <c r="H70" s="424"/>
      <c r="I70" s="73"/>
      <c r="J70" s="459"/>
      <c r="K70" s="73"/>
      <c r="L70" s="531">
        <f t="shared" si="77"/>
        <v>0</v>
      </c>
      <c r="M70" s="531">
        <f t="shared" si="78"/>
        <v>0</v>
      </c>
      <c r="N70" s="532">
        <f t="shared" si="79"/>
        <v>0</v>
      </c>
      <c r="O70" s="73"/>
      <c r="P70" s="424"/>
      <c r="Q70" s="73"/>
      <c r="R70" s="73"/>
      <c r="S70" s="73"/>
      <c r="T70" s="547">
        <f t="shared" si="80"/>
        <v>0</v>
      </c>
    </row>
    <row r="71" spans="1:20" x14ac:dyDescent="0.25">
      <c r="A71" s="401" t="s">
        <v>369</v>
      </c>
      <c r="B71" s="56" t="str">
        <f t="shared" si="76"/>
        <v>Egyéb működési célú kiadások</v>
      </c>
      <c r="C71" s="424"/>
      <c r="D71" s="73"/>
      <c r="E71" s="73"/>
      <c r="F71" s="435"/>
      <c r="G71" s="73"/>
      <c r="H71" s="424"/>
      <c r="I71" s="73"/>
      <c r="J71" s="459"/>
      <c r="K71" s="73"/>
      <c r="L71" s="531">
        <f t="shared" si="77"/>
        <v>0</v>
      </c>
      <c r="M71" s="531">
        <f t="shared" si="78"/>
        <v>0</v>
      </c>
      <c r="N71" s="532">
        <f t="shared" si="79"/>
        <v>0</v>
      </c>
      <c r="O71" s="73"/>
      <c r="P71" s="424"/>
      <c r="Q71" s="73"/>
      <c r="R71" s="73"/>
      <c r="S71" s="73"/>
      <c r="T71" s="547">
        <f t="shared" si="80"/>
        <v>0</v>
      </c>
    </row>
    <row r="72" spans="1:20" x14ac:dyDescent="0.25">
      <c r="A72" s="400" t="s">
        <v>154</v>
      </c>
      <c r="B72" s="56" t="str">
        <f t="shared" si="76"/>
        <v>Beruházások</v>
      </c>
      <c r="C72" s="424">
        <f>+'5. Csicsergő'!C84</f>
        <v>1105000</v>
      </c>
      <c r="D72" s="73">
        <f>+'5. Csicsergő'!D84</f>
        <v>1105000</v>
      </c>
      <c r="E72" s="73">
        <f>+'5. Csicsergő'!E84</f>
        <v>1760443</v>
      </c>
      <c r="F72" s="435">
        <f>+'5. Csicsergő'!F84</f>
        <v>1827333</v>
      </c>
      <c r="G72" s="73"/>
      <c r="H72" s="424">
        <f>+'5. Csicsergő'!H84</f>
        <v>907513</v>
      </c>
      <c r="I72" s="73">
        <f>+'5. Csicsergő'!I84</f>
        <v>1609567</v>
      </c>
      <c r="J72" s="459">
        <f>+'5. Csicsergő'!J84</f>
        <v>1827333</v>
      </c>
      <c r="K72" s="73"/>
      <c r="L72" s="531">
        <f t="shared" si="77"/>
        <v>0.8212787330316742</v>
      </c>
      <c r="M72" s="531">
        <f t="shared" si="78"/>
        <v>0.9142965719424031</v>
      </c>
      <c r="N72" s="532">
        <f t="shared" si="79"/>
        <v>1</v>
      </c>
      <c r="O72" s="73"/>
      <c r="P72" s="424">
        <f>+'5. Csicsergő'!P84</f>
        <v>0</v>
      </c>
      <c r="Q72" s="73">
        <f>+'5. Csicsergő'!Q84</f>
        <v>655443</v>
      </c>
      <c r="R72" s="73">
        <f>+'5. Csicsergő'!R84</f>
        <v>0</v>
      </c>
      <c r="S72" s="73">
        <f>+'5. Csicsergő'!S84</f>
        <v>655443</v>
      </c>
      <c r="T72" s="547">
        <f t="shared" si="80"/>
        <v>0.59316108597285067</v>
      </c>
    </row>
    <row r="73" spans="1:20" x14ac:dyDescent="0.25">
      <c r="A73" s="400" t="s">
        <v>169</v>
      </c>
      <c r="B73" s="56" t="str">
        <f t="shared" si="76"/>
        <v>Felújítások</v>
      </c>
      <c r="C73" s="424">
        <f>+'5. Csicsergő'!C87</f>
        <v>0</v>
      </c>
      <c r="D73" s="73">
        <f>+'5. Csicsergő'!D87</f>
        <v>0</v>
      </c>
      <c r="E73" s="73">
        <f>+'5. Csicsergő'!E87</f>
        <v>0</v>
      </c>
      <c r="F73" s="435">
        <f>+'5. Csicsergő'!F87</f>
        <v>0</v>
      </c>
      <c r="G73" s="73"/>
      <c r="H73" s="424">
        <f>+'5. Csicsergő'!H87</f>
        <v>0</v>
      </c>
      <c r="I73" s="73">
        <f>+'5. Csicsergő'!I87</f>
        <v>0</v>
      </c>
      <c r="J73" s="459">
        <f>+'5. Csicsergő'!J87</f>
        <v>0</v>
      </c>
      <c r="K73" s="73"/>
      <c r="L73" s="531">
        <f t="shared" si="77"/>
        <v>0</v>
      </c>
      <c r="M73" s="531">
        <f t="shared" si="78"/>
        <v>0</v>
      </c>
      <c r="N73" s="532">
        <f t="shared" si="79"/>
        <v>0</v>
      </c>
      <c r="O73" s="73"/>
      <c r="P73" s="424">
        <f>+'5. Csicsergő'!P87</f>
        <v>0</v>
      </c>
      <c r="Q73" s="73">
        <f>+'5. Csicsergő'!Q87</f>
        <v>0</v>
      </c>
      <c r="R73" s="73">
        <f>+'5. Csicsergő'!R87</f>
        <v>0</v>
      </c>
      <c r="S73" s="73">
        <f>+'5. Csicsergő'!S87</f>
        <v>0</v>
      </c>
      <c r="T73" s="547">
        <f t="shared" si="80"/>
        <v>0</v>
      </c>
    </row>
    <row r="74" spans="1:20" x14ac:dyDescent="0.25">
      <c r="A74" s="400" t="s">
        <v>179</v>
      </c>
      <c r="B74" s="56" t="str">
        <f t="shared" si="76"/>
        <v>Szolgáltatások kiadásai</v>
      </c>
      <c r="C74" s="424"/>
      <c r="D74" s="73"/>
      <c r="E74" s="73"/>
      <c r="F74" s="435"/>
      <c r="G74" s="73"/>
      <c r="H74" s="424"/>
      <c r="I74" s="73"/>
      <c r="J74" s="459"/>
      <c r="K74" s="73"/>
      <c r="L74" s="531">
        <f t="shared" si="77"/>
        <v>0</v>
      </c>
      <c r="M74" s="531">
        <f t="shared" si="78"/>
        <v>0</v>
      </c>
      <c r="N74" s="532">
        <f t="shared" si="79"/>
        <v>0</v>
      </c>
      <c r="O74" s="73"/>
      <c r="P74" s="424"/>
      <c r="Q74" s="73"/>
      <c r="R74" s="73"/>
      <c r="S74" s="73"/>
      <c r="T74" s="547">
        <f t="shared" si="80"/>
        <v>0</v>
      </c>
    </row>
    <row r="75" spans="1:20" x14ac:dyDescent="0.25">
      <c r="A75" s="400" t="s">
        <v>197</v>
      </c>
      <c r="B75" s="56" t="str">
        <f t="shared" si="76"/>
        <v>Finanszírozási kiadások</v>
      </c>
      <c r="C75" s="403"/>
      <c r="F75" s="446"/>
      <c r="H75" s="403"/>
      <c r="J75" s="457"/>
      <c r="L75" s="531">
        <f t="shared" si="77"/>
        <v>0</v>
      </c>
      <c r="M75" s="531">
        <f t="shared" si="78"/>
        <v>0</v>
      </c>
      <c r="N75" s="532">
        <f t="shared" si="79"/>
        <v>0</v>
      </c>
      <c r="P75" s="403"/>
      <c r="T75" s="547">
        <f t="shared" si="80"/>
        <v>0</v>
      </c>
    </row>
    <row r="76" spans="1:20" x14ac:dyDescent="0.25">
      <c r="A76" s="402"/>
      <c r="B76" s="386" t="s">
        <v>371</v>
      </c>
      <c r="C76" s="426">
        <f>SUM(C67:C75)</f>
        <v>208639000</v>
      </c>
      <c r="D76" s="387">
        <f t="shared" ref="D76" si="81">SUM(D67:D75)</f>
        <v>208639000</v>
      </c>
      <c r="E76" s="387">
        <f t="shared" ref="E76" si="82">SUM(E67:E75)</f>
        <v>208639000</v>
      </c>
      <c r="F76" s="443">
        <f t="shared" ref="F76" si="83">SUM(F67:F75)</f>
        <v>208639000</v>
      </c>
      <c r="G76" s="387"/>
      <c r="H76" s="426">
        <f t="shared" ref="H76" si="84">SUM(H67:H75)</f>
        <v>102412195</v>
      </c>
      <c r="I76" s="387">
        <f t="shared" ref="I76" si="85">SUM(I67:I75)</f>
        <v>152674094</v>
      </c>
      <c r="J76" s="388">
        <f t="shared" ref="J76" si="86">SUM(J67:J75)</f>
        <v>206106415</v>
      </c>
      <c r="K76" s="204"/>
      <c r="L76" s="533">
        <f t="shared" si="77"/>
        <v>0.49085834863088879</v>
      </c>
      <c r="M76" s="533">
        <f t="shared" si="78"/>
        <v>0.7317620099789589</v>
      </c>
      <c r="N76" s="534">
        <f t="shared" si="79"/>
        <v>0.9878614017513504</v>
      </c>
      <c r="O76" s="204"/>
      <c r="P76" s="426">
        <f t="shared" ref="P76" si="87">SUM(P67:P75)</f>
        <v>0</v>
      </c>
      <c r="Q76" s="387">
        <f t="shared" ref="Q76" si="88">SUM(Q67:Q75)</f>
        <v>0</v>
      </c>
      <c r="R76" s="387">
        <f t="shared" ref="R76" si="89">SUM(R67:R75)</f>
        <v>0</v>
      </c>
      <c r="S76" s="388">
        <f t="shared" ref="S76" si="90">SUM(S67:S75)</f>
        <v>0</v>
      </c>
      <c r="T76" s="548">
        <f t="shared" si="80"/>
        <v>0</v>
      </c>
    </row>
    <row r="77" spans="1:20" x14ac:dyDescent="0.25">
      <c r="A77" s="403"/>
      <c r="C77" s="403"/>
      <c r="F77" s="446"/>
      <c r="H77" s="403"/>
      <c r="J77" s="457"/>
      <c r="L77" s="531"/>
      <c r="M77" s="531"/>
      <c r="N77" s="532"/>
      <c r="P77" s="403"/>
      <c r="T77" s="547"/>
    </row>
    <row r="78" spans="1:20" x14ac:dyDescent="0.25">
      <c r="A78" s="400" t="str">
        <f t="shared" ref="A78:B84" si="91">+A51</f>
        <v>B1</v>
      </c>
      <c r="B78" s="56" t="str">
        <f t="shared" si="91"/>
        <v>Működési célú tám-ok államháztartáson belülről</v>
      </c>
      <c r="C78" s="424">
        <f>+'5. Csicsergő'!C93</f>
        <v>0</v>
      </c>
      <c r="D78" s="73">
        <f>+'5. Csicsergő'!D93</f>
        <v>0</v>
      </c>
      <c r="E78" s="73">
        <f>+'5. Csicsergő'!E93</f>
        <v>0</v>
      </c>
      <c r="F78" s="435">
        <f>+'5. Csicsergő'!F93</f>
        <v>0</v>
      </c>
      <c r="G78" s="73"/>
      <c r="H78" s="424">
        <f>+'5. Csicsergő'!H93</f>
        <v>0</v>
      </c>
      <c r="I78" s="73">
        <f>+'5. Csicsergő'!I93</f>
        <v>0</v>
      </c>
      <c r="J78" s="459">
        <f>+'5. Csicsergő'!J93</f>
        <v>0</v>
      </c>
      <c r="K78" s="73"/>
      <c r="L78" s="531">
        <f t="shared" ref="L78:L87" si="92">IF(D78=0,0,H78/D78)</f>
        <v>0</v>
      </c>
      <c r="M78" s="531">
        <f t="shared" ref="M78:M87" si="93">IF(E78=0,0,I78/E78)</f>
        <v>0</v>
      </c>
      <c r="N78" s="532">
        <f t="shared" ref="N78:N87" si="94">IF(F78=0,0,J78/F78)</f>
        <v>0</v>
      </c>
      <c r="O78" s="73"/>
      <c r="P78" s="424">
        <f>+'5. Csicsergő'!P93</f>
        <v>0</v>
      </c>
      <c r="Q78" s="73">
        <f>+'5. Csicsergő'!Q93</f>
        <v>0</v>
      </c>
      <c r="R78" s="73">
        <f>+'5. Csicsergő'!R93</f>
        <v>0</v>
      </c>
      <c r="S78" s="73">
        <f>+'5. Csicsergő'!S93</f>
        <v>0</v>
      </c>
      <c r="T78" s="547">
        <f t="shared" si="80"/>
        <v>0</v>
      </c>
    </row>
    <row r="79" spans="1:20" x14ac:dyDescent="0.25">
      <c r="A79" s="400" t="str">
        <f t="shared" si="91"/>
        <v>B2</v>
      </c>
      <c r="B79" s="56" t="str">
        <f t="shared" si="91"/>
        <v>Felhalmozási célú tám-ok államházt-on belülről</v>
      </c>
      <c r="C79" s="424"/>
      <c r="D79" s="73"/>
      <c r="E79" s="73"/>
      <c r="F79" s="435"/>
      <c r="G79" s="73"/>
      <c r="H79" s="424"/>
      <c r="I79" s="73"/>
      <c r="J79" s="459"/>
      <c r="K79" s="73"/>
      <c r="L79" s="531">
        <f t="shared" si="92"/>
        <v>0</v>
      </c>
      <c r="M79" s="531">
        <f t="shared" si="93"/>
        <v>0</v>
      </c>
      <c r="N79" s="532">
        <f t="shared" si="94"/>
        <v>0</v>
      </c>
      <c r="O79" s="73"/>
      <c r="P79" s="424"/>
      <c r="Q79" s="73"/>
      <c r="R79" s="73"/>
      <c r="S79" s="73"/>
      <c r="T79" s="547">
        <f t="shared" si="80"/>
        <v>0</v>
      </c>
    </row>
    <row r="80" spans="1:20" x14ac:dyDescent="0.25">
      <c r="A80" s="400" t="str">
        <f t="shared" si="91"/>
        <v>B3</v>
      </c>
      <c r="B80" s="56" t="str">
        <f t="shared" si="91"/>
        <v>Közhatalmi bevételek</v>
      </c>
      <c r="C80" s="424"/>
      <c r="D80" s="73"/>
      <c r="E80" s="73"/>
      <c r="F80" s="435"/>
      <c r="G80" s="73"/>
      <c r="H80" s="424"/>
      <c r="I80" s="73"/>
      <c r="J80" s="459"/>
      <c r="K80" s="73"/>
      <c r="L80" s="531">
        <f t="shared" si="92"/>
        <v>0</v>
      </c>
      <c r="M80" s="531">
        <f t="shared" si="93"/>
        <v>0</v>
      </c>
      <c r="N80" s="532">
        <f t="shared" si="94"/>
        <v>0</v>
      </c>
      <c r="O80" s="73"/>
      <c r="P80" s="424"/>
      <c r="Q80" s="73"/>
      <c r="R80" s="73"/>
      <c r="S80" s="73"/>
      <c r="T80" s="547">
        <f t="shared" si="80"/>
        <v>0</v>
      </c>
    </row>
    <row r="81" spans="1:20" x14ac:dyDescent="0.25">
      <c r="A81" s="400" t="str">
        <f t="shared" si="91"/>
        <v>B4</v>
      </c>
      <c r="B81" s="56" t="str">
        <f t="shared" si="91"/>
        <v>Működési bevételek</v>
      </c>
      <c r="C81" s="424">
        <f>+'5. Csicsergő'!C95</f>
        <v>5000</v>
      </c>
      <c r="D81" s="73">
        <f>+'5. Csicsergő'!D95</f>
        <v>5000</v>
      </c>
      <c r="E81" s="73">
        <f>+'5. Csicsergő'!E95</f>
        <v>5000</v>
      </c>
      <c r="F81" s="435">
        <f>+'5. Csicsergő'!F95</f>
        <v>5000</v>
      </c>
      <c r="G81" s="73"/>
      <c r="H81" s="424">
        <f>+'5. Csicsergő'!H95</f>
        <v>2592</v>
      </c>
      <c r="I81" s="73">
        <f>+'5. Csicsergő'!I95</f>
        <v>3123</v>
      </c>
      <c r="J81" s="459">
        <f>+'5. Csicsergő'!J95</f>
        <v>3782</v>
      </c>
      <c r="K81" s="73"/>
      <c r="L81" s="531">
        <f t="shared" si="92"/>
        <v>0.51839999999999997</v>
      </c>
      <c r="M81" s="531">
        <f t="shared" si="93"/>
        <v>0.62460000000000004</v>
      </c>
      <c r="N81" s="532">
        <f t="shared" si="94"/>
        <v>0.75639999999999996</v>
      </c>
      <c r="O81" s="73"/>
      <c r="P81" s="424">
        <f>+'5. Csicsergő'!P95</f>
        <v>0</v>
      </c>
      <c r="Q81" s="73">
        <f>+'5. Csicsergő'!Q95</f>
        <v>0</v>
      </c>
      <c r="R81" s="73">
        <f>+'5. Csicsergő'!R95</f>
        <v>0</v>
      </c>
      <c r="S81" s="73">
        <f>+'5. Csicsergő'!S95</f>
        <v>0</v>
      </c>
      <c r="T81" s="547">
        <f t="shared" si="80"/>
        <v>0</v>
      </c>
    </row>
    <row r="82" spans="1:20" x14ac:dyDescent="0.25">
      <c r="A82" s="400" t="str">
        <f t="shared" si="91"/>
        <v>B5</v>
      </c>
      <c r="B82" s="56" t="str">
        <f t="shared" si="91"/>
        <v>Felhalmozási bevételek</v>
      </c>
      <c r="C82" s="424"/>
      <c r="D82" s="73"/>
      <c r="E82" s="73"/>
      <c r="F82" s="435"/>
      <c r="G82" s="73"/>
      <c r="H82" s="424"/>
      <c r="I82" s="73"/>
      <c r="J82" s="459"/>
      <c r="K82" s="73"/>
      <c r="L82" s="531">
        <f t="shared" si="92"/>
        <v>0</v>
      </c>
      <c r="M82" s="531">
        <f t="shared" si="93"/>
        <v>0</v>
      </c>
      <c r="N82" s="532">
        <f t="shared" si="94"/>
        <v>0</v>
      </c>
      <c r="O82" s="73"/>
      <c r="P82" s="424"/>
      <c r="Q82" s="73"/>
      <c r="R82" s="73"/>
      <c r="S82" s="73"/>
      <c r="T82" s="547">
        <f t="shared" si="80"/>
        <v>0</v>
      </c>
    </row>
    <row r="83" spans="1:20" x14ac:dyDescent="0.25">
      <c r="A83" s="400" t="str">
        <f t="shared" si="91"/>
        <v>B6</v>
      </c>
      <c r="B83" s="56" t="str">
        <f t="shared" si="91"/>
        <v>Működési célú átvett pénzeszközök</v>
      </c>
      <c r="C83" s="424"/>
      <c r="D83" s="73"/>
      <c r="E83" s="73"/>
      <c r="F83" s="435"/>
      <c r="G83" s="73"/>
      <c r="H83" s="424"/>
      <c r="I83" s="73"/>
      <c r="J83" s="459"/>
      <c r="K83" s="73"/>
      <c r="L83" s="531">
        <f t="shared" si="92"/>
        <v>0</v>
      </c>
      <c r="M83" s="531">
        <f t="shared" si="93"/>
        <v>0</v>
      </c>
      <c r="N83" s="532">
        <f t="shared" si="94"/>
        <v>0</v>
      </c>
      <c r="O83" s="73"/>
      <c r="P83" s="424"/>
      <c r="Q83" s="73"/>
      <c r="R83" s="73"/>
      <c r="S83" s="73"/>
      <c r="T83" s="547">
        <f t="shared" si="80"/>
        <v>0</v>
      </c>
    </row>
    <row r="84" spans="1:20" x14ac:dyDescent="0.25">
      <c r="A84" s="400" t="str">
        <f t="shared" si="91"/>
        <v>B7</v>
      </c>
      <c r="B84" s="56" t="str">
        <f t="shared" si="91"/>
        <v>Felhalmozási célú átvett pénzeszközök</v>
      </c>
      <c r="C84" s="424"/>
      <c r="D84" s="73"/>
      <c r="E84" s="73"/>
      <c r="F84" s="435"/>
      <c r="G84" s="73"/>
      <c r="H84" s="424"/>
      <c r="I84" s="73"/>
      <c r="J84" s="459"/>
      <c r="K84" s="73"/>
      <c r="L84" s="531">
        <f t="shared" si="92"/>
        <v>0</v>
      </c>
      <c r="M84" s="531">
        <f t="shared" si="93"/>
        <v>0</v>
      </c>
      <c r="N84" s="532">
        <f t="shared" si="94"/>
        <v>0</v>
      </c>
      <c r="O84" s="73"/>
      <c r="P84" s="424"/>
      <c r="Q84" s="73"/>
      <c r="R84" s="73"/>
      <c r="S84" s="73"/>
      <c r="T84" s="547">
        <f t="shared" si="80"/>
        <v>0</v>
      </c>
    </row>
    <row r="85" spans="1:20" x14ac:dyDescent="0.25">
      <c r="A85" s="400" t="str">
        <f>+A58</f>
        <v>B8-ból maradványértéken túli finanszírozási bevételek</v>
      </c>
      <c r="B85" s="56"/>
      <c r="C85" s="424">
        <f>+'5. Csicsergő'!C99-C86</f>
        <v>208046159</v>
      </c>
      <c r="D85" s="73">
        <f>+'5. Csicsergő'!D99-D86</f>
        <v>208046159</v>
      </c>
      <c r="E85" s="73">
        <f>+'5. Csicsergő'!E99-E86</f>
        <v>208046159</v>
      </c>
      <c r="F85" s="435">
        <f>+'5. Csicsergő'!F99-F86</f>
        <v>208046159</v>
      </c>
      <c r="G85" s="73"/>
      <c r="H85" s="424">
        <f>+'5. Csicsergő'!H99-H86</f>
        <v>108702593</v>
      </c>
      <c r="I85" s="73">
        <f>+'5. Csicsergő'!I99-I86</f>
        <v>153763522</v>
      </c>
      <c r="J85" s="459">
        <f>+'5. Csicsergő'!J99-J86</f>
        <v>205845198</v>
      </c>
      <c r="K85" s="73"/>
      <c r="L85" s="531">
        <f t="shared" si="92"/>
        <v>0.52249266952340134</v>
      </c>
      <c r="M85" s="531">
        <f t="shared" si="93"/>
        <v>0.73908368575071848</v>
      </c>
      <c r="N85" s="532">
        <f t="shared" si="94"/>
        <v>0.98942080444753611</v>
      </c>
      <c r="O85" s="73"/>
      <c r="P85" s="424">
        <f>+'5. Csicsergő'!P99-P86</f>
        <v>0</v>
      </c>
      <c r="Q85" s="73">
        <f>+'5. Csicsergő'!Q99-Q86</f>
        <v>0</v>
      </c>
      <c r="R85" s="73">
        <f>+'5. Csicsergő'!R99-R86</f>
        <v>0</v>
      </c>
      <c r="S85" s="73">
        <f>+'5. Csicsergő'!S99-S86</f>
        <v>0</v>
      </c>
      <c r="T85" s="547">
        <f t="shared" si="80"/>
        <v>0</v>
      </c>
    </row>
    <row r="86" spans="1:20" x14ac:dyDescent="0.25">
      <c r="A86" s="400" t="str">
        <f>+A59</f>
        <v>B8-ból előző évi mardvány igénybevétele</v>
      </c>
      <c r="B86" s="56"/>
      <c r="C86" s="424">
        <f>+'5. Csicsergő'!C101</f>
        <v>587841</v>
      </c>
      <c r="D86" s="73">
        <f>+'5. Csicsergő'!D101</f>
        <v>587841</v>
      </c>
      <c r="E86" s="73">
        <f>+'5. Csicsergő'!E101</f>
        <v>587841</v>
      </c>
      <c r="F86" s="435">
        <f>+'5. Csicsergő'!F101</f>
        <v>587841</v>
      </c>
      <c r="G86" s="73"/>
      <c r="H86" s="424">
        <f>+'5. Csicsergő'!H101</f>
        <v>587841</v>
      </c>
      <c r="I86" s="73">
        <f>+'5. Csicsergő'!I101</f>
        <v>587841</v>
      </c>
      <c r="J86" s="459">
        <f>+'5. Csicsergő'!J101</f>
        <v>587841</v>
      </c>
      <c r="K86" s="73"/>
      <c r="L86" s="531">
        <f t="shared" si="92"/>
        <v>1</v>
      </c>
      <c r="M86" s="531">
        <f t="shared" si="93"/>
        <v>1</v>
      </c>
      <c r="N86" s="532">
        <f t="shared" si="94"/>
        <v>1</v>
      </c>
      <c r="O86" s="73"/>
      <c r="P86" s="424">
        <f>+'5. Csicsergő'!P101</f>
        <v>0</v>
      </c>
      <c r="Q86" s="73">
        <f>+'5. Csicsergő'!Q101</f>
        <v>0</v>
      </c>
      <c r="R86" s="73">
        <f>+'5. Csicsergő'!R101</f>
        <v>0</v>
      </c>
      <c r="S86" s="73">
        <f>+'5. Csicsergő'!S101</f>
        <v>0</v>
      </c>
      <c r="T86" s="547">
        <f t="shared" si="80"/>
        <v>0</v>
      </c>
    </row>
    <row r="87" spans="1:20" x14ac:dyDescent="0.25">
      <c r="A87" s="404"/>
      <c r="B87" s="386" t="s">
        <v>370</v>
      </c>
      <c r="C87" s="426">
        <f>SUM(C78:C86)</f>
        <v>208639000</v>
      </c>
      <c r="D87" s="387">
        <f t="shared" ref="D87" si="95">SUM(D78:D86)</f>
        <v>208639000</v>
      </c>
      <c r="E87" s="387">
        <f t="shared" ref="E87" si="96">SUM(E78:E86)</f>
        <v>208639000</v>
      </c>
      <c r="F87" s="443">
        <f t="shared" ref="F87" si="97">SUM(F78:F86)</f>
        <v>208639000</v>
      </c>
      <c r="G87" s="387"/>
      <c r="H87" s="426">
        <f t="shared" ref="H87" si="98">SUM(H78:H86)</f>
        <v>109293026</v>
      </c>
      <c r="I87" s="387">
        <f t="shared" ref="I87" si="99">SUM(I78:I86)</f>
        <v>154354486</v>
      </c>
      <c r="J87" s="388">
        <f t="shared" ref="J87" si="100">SUM(J78:J86)</f>
        <v>206436821</v>
      </c>
      <c r="K87" s="389"/>
      <c r="L87" s="535">
        <f t="shared" si="92"/>
        <v>0.523837949760112</v>
      </c>
      <c r="M87" s="535">
        <f t="shared" si="93"/>
        <v>0.73981607465526578</v>
      </c>
      <c r="N87" s="536">
        <f t="shared" si="94"/>
        <v>0.98944502705630299</v>
      </c>
      <c r="O87" s="389"/>
      <c r="P87" s="426">
        <f t="shared" ref="P87" si="101">SUM(P78:P86)</f>
        <v>0</v>
      </c>
      <c r="Q87" s="387">
        <f t="shared" ref="Q87" si="102">SUM(Q78:Q86)</f>
        <v>0</v>
      </c>
      <c r="R87" s="387">
        <f t="shared" ref="R87" si="103">SUM(R78:R86)</f>
        <v>0</v>
      </c>
      <c r="S87" s="388">
        <f t="shared" ref="S87" si="104">SUM(S78:S86)</f>
        <v>0</v>
      </c>
      <c r="T87" s="548">
        <f t="shared" si="80"/>
        <v>0</v>
      </c>
    </row>
    <row r="88" spans="1:20" x14ac:dyDescent="0.25">
      <c r="A88" s="403"/>
      <c r="B88" s="73"/>
      <c r="C88" s="424"/>
      <c r="D88" s="73"/>
      <c r="E88" s="73"/>
      <c r="F88" s="435"/>
      <c r="G88" s="73"/>
      <c r="H88" s="424"/>
      <c r="I88" s="73"/>
      <c r="J88" s="459"/>
      <c r="K88" s="73"/>
      <c r="L88" s="531"/>
      <c r="M88" s="531"/>
      <c r="N88" s="532"/>
      <c r="O88" s="73"/>
      <c r="P88" s="424"/>
      <c r="Q88" s="73"/>
      <c r="R88" s="73"/>
      <c r="S88" s="73"/>
      <c r="T88" s="549"/>
    </row>
    <row r="89" spans="1:20" ht="13.8" thickBot="1" x14ac:dyDescent="0.3">
      <c r="A89" s="406"/>
      <c r="B89" s="407" t="s">
        <v>449</v>
      </c>
      <c r="C89" s="428">
        <f>+C87-C76</f>
        <v>0</v>
      </c>
      <c r="D89" s="408">
        <f>+D87-D76</f>
        <v>0</v>
      </c>
      <c r="E89" s="408">
        <f>+E87-E76</f>
        <v>0</v>
      </c>
      <c r="F89" s="445">
        <f>+F87-F76</f>
        <v>0</v>
      </c>
      <c r="G89" s="408"/>
      <c r="H89" s="428">
        <f>+H87-H76</f>
        <v>6880831</v>
      </c>
      <c r="I89" s="408">
        <f>+I87-I76</f>
        <v>1680392</v>
      </c>
      <c r="J89" s="410">
        <f>+J87-J76</f>
        <v>330406</v>
      </c>
      <c r="K89" s="409"/>
      <c r="L89" s="537">
        <f t="shared" ref="L89" si="105">IF(D89=0,0,H89/D89)</f>
        <v>0</v>
      </c>
      <c r="M89" s="537">
        <f t="shared" ref="M89" si="106">IF(E89=0,0,I89/E89)</f>
        <v>0</v>
      </c>
      <c r="N89" s="538">
        <f t="shared" ref="N89" si="107">IF(F89=0,0,J89/F89)</f>
        <v>0</v>
      </c>
      <c r="O89" s="409"/>
      <c r="P89" s="428">
        <f>+P87-P76</f>
        <v>0</v>
      </c>
      <c r="Q89" s="408">
        <f>+Q87-Q76</f>
        <v>0</v>
      </c>
      <c r="R89" s="408">
        <f>+R87-R76</f>
        <v>0</v>
      </c>
      <c r="S89" s="410">
        <f>+S87-S76</f>
        <v>0</v>
      </c>
      <c r="T89" s="550"/>
    </row>
    <row r="90" spans="1:20" x14ac:dyDescent="0.25">
      <c r="A90" s="56"/>
      <c r="B90" s="56"/>
      <c r="C90" s="424"/>
      <c r="D90" s="73"/>
      <c r="E90" s="73"/>
      <c r="F90" s="435"/>
      <c r="G90" s="73"/>
      <c r="H90" s="424"/>
      <c r="I90" s="73"/>
      <c r="J90" s="459"/>
      <c r="K90" s="73"/>
      <c r="L90" s="531"/>
      <c r="M90" s="531"/>
      <c r="N90" s="532"/>
      <c r="O90" s="73"/>
      <c r="P90" s="424"/>
      <c r="Q90" s="73"/>
      <c r="R90" s="73"/>
      <c r="S90" s="73"/>
      <c r="T90" s="549"/>
    </row>
    <row r="91" spans="1:20" ht="13.8" thickBot="1" x14ac:dyDescent="0.3">
      <c r="A91" s="56"/>
      <c r="B91" s="56"/>
      <c r="C91" s="424"/>
      <c r="D91" s="73"/>
      <c r="E91" s="73"/>
      <c r="F91" s="435"/>
      <c r="G91" s="73"/>
      <c r="H91" s="424"/>
      <c r="I91" s="73"/>
      <c r="J91" s="459"/>
      <c r="K91" s="73"/>
      <c r="L91" s="531"/>
      <c r="M91" s="531"/>
      <c r="N91" s="532"/>
      <c r="O91" s="73"/>
      <c r="P91" s="424"/>
      <c r="Q91" s="73"/>
      <c r="R91" s="73"/>
      <c r="S91" s="73"/>
      <c r="T91" s="549"/>
    </row>
    <row r="92" spans="1:20" ht="18" thickBot="1" x14ac:dyDescent="0.35">
      <c r="A92" s="413" t="s">
        <v>447</v>
      </c>
      <c r="B92" s="440"/>
      <c r="D92" s="73"/>
      <c r="E92" s="73"/>
      <c r="F92" s="435"/>
      <c r="G92" s="73"/>
      <c r="H92" s="424"/>
      <c r="I92" s="73"/>
      <c r="J92" s="459"/>
      <c r="K92" s="73"/>
      <c r="L92" s="531"/>
      <c r="M92" s="531"/>
      <c r="N92" s="532"/>
      <c r="O92" s="73"/>
      <c r="P92" s="424"/>
      <c r="Q92" s="73"/>
      <c r="R92" s="73"/>
      <c r="S92" s="73"/>
      <c r="T92" s="549"/>
    </row>
    <row r="93" spans="1:20" x14ac:dyDescent="0.25">
      <c r="A93" s="396"/>
      <c r="B93" s="414"/>
      <c r="C93" s="425"/>
      <c r="D93" s="416"/>
      <c r="E93" s="416"/>
      <c r="F93" s="415"/>
      <c r="G93" s="416"/>
      <c r="H93" s="425"/>
      <c r="I93" s="416"/>
      <c r="J93" s="461"/>
      <c r="K93" s="416"/>
      <c r="L93" s="539"/>
      <c r="M93" s="539"/>
      <c r="N93" s="540"/>
      <c r="O93" s="416"/>
      <c r="P93" s="425"/>
      <c r="Q93" s="416"/>
      <c r="R93" s="416"/>
      <c r="S93" s="416"/>
      <c r="T93" s="551"/>
    </row>
    <row r="94" spans="1:20" x14ac:dyDescent="0.25">
      <c r="A94" s="400" t="s">
        <v>0</v>
      </c>
      <c r="B94" s="56" t="str">
        <f t="shared" ref="B94:B102" si="108">+B67</f>
        <v>Személyi juttatások</v>
      </c>
      <c r="C94" s="424">
        <f>+'6. Gólyahír'!C13</f>
        <v>56821000</v>
      </c>
      <c r="D94" s="73">
        <f>+'6. Gólyahír'!D13</f>
        <v>56821000</v>
      </c>
      <c r="E94" s="73">
        <f>+'6. Gólyahír'!E13</f>
        <v>56821000</v>
      </c>
      <c r="F94" s="435">
        <f>+'6. Gólyahír'!F13</f>
        <v>56843947</v>
      </c>
      <c r="G94" s="73"/>
      <c r="H94" s="424">
        <f>+'6. Gólyahír'!H13</f>
        <v>27168410</v>
      </c>
      <c r="I94" s="73">
        <f>+'6. Gólyahír'!I13</f>
        <v>41413909</v>
      </c>
      <c r="J94" s="459">
        <f>+'6. Gólyahír'!J13</f>
        <v>56093306</v>
      </c>
      <c r="K94" s="73"/>
      <c r="L94" s="531">
        <f t="shared" ref="L94:L103" si="109">IF(D94=0,0,H94/D94)</f>
        <v>0.47814030024110804</v>
      </c>
      <c r="M94" s="531">
        <f t="shared" ref="M94:M103" si="110">IF(E94=0,0,I94/E94)</f>
        <v>0.72884864750708367</v>
      </c>
      <c r="N94" s="532">
        <f t="shared" ref="N94:N103" si="111">IF(F94=0,0,J94/F94)</f>
        <v>0.98679470656743806</v>
      </c>
      <c r="O94" s="73"/>
      <c r="P94" s="424">
        <f>+'6. Gólyahír'!P13</f>
        <v>0</v>
      </c>
      <c r="Q94" s="73">
        <f>+'6. Gólyahír'!Q13</f>
        <v>0</v>
      </c>
      <c r="R94" s="73">
        <f>+'6. Gólyahír'!R13</f>
        <v>0</v>
      </c>
      <c r="S94" s="73">
        <f>+'6. Gólyahír'!S13</f>
        <v>0</v>
      </c>
      <c r="T94" s="547">
        <f>IF(S94=0,0,S94/C94)</f>
        <v>0</v>
      </c>
    </row>
    <row r="95" spans="1:20" x14ac:dyDescent="0.25">
      <c r="A95" s="400" t="s">
        <v>24</v>
      </c>
      <c r="B95" s="56" t="str">
        <f t="shared" si="108"/>
        <v>Munkaadót terhelő járulékok és szociális hozzájárulás</v>
      </c>
      <c r="C95" s="424">
        <f>+'6. Gólyahír'!C29</f>
        <v>8800000</v>
      </c>
      <c r="D95" s="73">
        <f>+'6. Gólyahír'!D29</f>
        <v>8800000</v>
      </c>
      <c r="E95" s="73">
        <f>+'6. Gólyahír'!E29</f>
        <v>8800000</v>
      </c>
      <c r="F95" s="435">
        <f>+'6. Gólyahír'!F29</f>
        <v>8828148</v>
      </c>
      <c r="G95" s="73"/>
      <c r="H95" s="424">
        <f>+'6. Gólyahír'!H29</f>
        <v>4415490</v>
      </c>
      <c r="I95" s="73">
        <f>+'6. Gólyahír'!I29</f>
        <v>6672747</v>
      </c>
      <c r="J95" s="459">
        <f>+'6. Gólyahír'!J29</f>
        <v>8828148</v>
      </c>
      <c r="K95" s="73"/>
      <c r="L95" s="531">
        <f t="shared" si="109"/>
        <v>0.50176022727272729</v>
      </c>
      <c r="M95" s="531">
        <f t="shared" si="110"/>
        <v>0.75826670454545453</v>
      </c>
      <c r="N95" s="532">
        <f t="shared" si="111"/>
        <v>1</v>
      </c>
      <c r="O95" s="73"/>
      <c r="P95" s="424">
        <f>+'6. Gólyahír'!P29</f>
        <v>0</v>
      </c>
      <c r="Q95" s="73">
        <f>+'6. Gólyahír'!Q29</f>
        <v>0</v>
      </c>
      <c r="R95" s="73">
        <f>+'6. Gólyahír'!R29</f>
        <v>0</v>
      </c>
      <c r="S95" s="73">
        <f>+'6. Gólyahír'!S29</f>
        <v>0</v>
      </c>
      <c r="T95" s="547">
        <f t="shared" ref="T95:T114" si="112">IF(S95=0,0,S95/C95)</f>
        <v>0</v>
      </c>
    </row>
    <row r="96" spans="1:20" x14ac:dyDescent="0.25">
      <c r="A96" s="400" t="s">
        <v>27</v>
      </c>
      <c r="B96" s="56" t="str">
        <f t="shared" si="108"/>
        <v>Dologi kiadások</v>
      </c>
      <c r="C96" s="424">
        <f>+'6. Gólyahír'!C32</f>
        <v>12202000</v>
      </c>
      <c r="D96" s="73">
        <f>+'6. Gólyahír'!D32</f>
        <v>12202000</v>
      </c>
      <c r="E96" s="73">
        <f>+'6. Gólyahír'!E32</f>
        <v>12202000</v>
      </c>
      <c r="F96" s="435">
        <f>+'6. Gólyahír'!F32</f>
        <v>11724665</v>
      </c>
      <c r="G96" s="73"/>
      <c r="H96" s="424">
        <f>+'6. Gólyahír'!H32</f>
        <v>5037335</v>
      </c>
      <c r="I96" s="73">
        <f>+'6. Gólyahír'!I32</f>
        <v>7077854</v>
      </c>
      <c r="J96" s="459">
        <f>+'6. Gólyahír'!J32</f>
        <v>10708948</v>
      </c>
      <c r="K96" s="73"/>
      <c r="L96" s="531">
        <f t="shared" si="109"/>
        <v>0.41282863465005737</v>
      </c>
      <c r="M96" s="531">
        <f t="shared" si="110"/>
        <v>0.58005687592197996</v>
      </c>
      <c r="N96" s="532">
        <f t="shared" si="111"/>
        <v>0.91336920926951859</v>
      </c>
      <c r="O96" s="73"/>
      <c r="P96" s="424">
        <f>+'6. Gólyahír'!P32</f>
        <v>0</v>
      </c>
      <c r="Q96" s="73">
        <f>+'6. Gólyahír'!Q32</f>
        <v>0</v>
      </c>
      <c r="R96" s="73">
        <f>+'6. Gólyahír'!R32</f>
        <v>0</v>
      </c>
      <c r="S96" s="73">
        <f>+'6. Gólyahír'!S32</f>
        <v>0</v>
      </c>
      <c r="T96" s="547">
        <f t="shared" si="112"/>
        <v>0</v>
      </c>
    </row>
    <row r="97" spans="1:20" x14ac:dyDescent="0.25">
      <c r="A97" s="400" t="s">
        <v>107</v>
      </c>
      <c r="B97" s="56" t="str">
        <f t="shared" si="108"/>
        <v>Elláttotak pénzbeli juttatásai</v>
      </c>
      <c r="C97" s="424"/>
      <c r="D97" s="73"/>
      <c r="E97" s="73"/>
      <c r="F97" s="435"/>
      <c r="G97" s="73"/>
      <c r="H97" s="424"/>
      <c r="I97" s="73"/>
      <c r="J97" s="459"/>
      <c r="K97" s="73"/>
      <c r="L97" s="531">
        <f t="shared" si="109"/>
        <v>0</v>
      </c>
      <c r="M97" s="531">
        <f t="shared" si="110"/>
        <v>0</v>
      </c>
      <c r="N97" s="532">
        <f t="shared" si="111"/>
        <v>0</v>
      </c>
      <c r="O97" s="73"/>
      <c r="P97" s="424"/>
      <c r="Q97" s="73"/>
      <c r="R97" s="73"/>
      <c r="S97" s="73"/>
      <c r="T97" s="547">
        <f t="shared" si="112"/>
        <v>0</v>
      </c>
    </row>
    <row r="98" spans="1:20" x14ac:dyDescent="0.25">
      <c r="A98" s="401" t="s">
        <v>369</v>
      </c>
      <c r="B98" s="56" t="str">
        <f t="shared" si="108"/>
        <v>Egyéb működési célú kiadások</v>
      </c>
      <c r="C98" s="424"/>
      <c r="D98" s="73"/>
      <c r="E98" s="73"/>
      <c r="F98" s="435"/>
      <c r="G98" s="73"/>
      <c r="H98" s="424"/>
      <c r="I98" s="73"/>
      <c r="J98" s="459"/>
      <c r="K98" s="73"/>
      <c r="L98" s="531">
        <f t="shared" si="109"/>
        <v>0</v>
      </c>
      <c r="M98" s="531">
        <f t="shared" si="110"/>
        <v>0</v>
      </c>
      <c r="N98" s="532">
        <f t="shared" si="111"/>
        <v>0</v>
      </c>
      <c r="O98" s="73"/>
      <c r="P98" s="424"/>
      <c r="Q98" s="73"/>
      <c r="R98" s="73"/>
      <c r="S98" s="73"/>
      <c r="T98" s="547">
        <f t="shared" si="112"/>
        <v>0</v>
      </c>
    </row>
    <row r="99" spans="1:20" x14ac:dyDescent="0.25">
      <c r="A99" s="400" t="s">
        <v>154</v>
      </c>
      <c r="B99" s="56" t="str">
        <f t="shared" si="108"/>
        <v>Beruházások</v>
      </c>
      <c r="C99" s="424">
        <f>+'6. Gólyahír'!C83</f>
        <v>300000</v>
      </c>
      <c r="D99" s="73">
        <f>+'6. Gólyahír'!D83</f>
        <v>300000</v>
      </c>
      <c r="E99" s="73">
        <f>+'6. Gólyahír'!E83</f>
        <v>300000</v>
      </c>
      <c r="F99" s="435">
        <f>+'6. Gólyahír'!F83</f>
        <v>726240</v>
      </c>
      <c r="G99" s="73"/>
      <c r="H99" s="424">
        <f>+'6. Gólyahír'!H83</f>
        <v>0</v>
      </c>
      <c r="I99" s="73">
        <f>+'6. Gólyahír'!I83</f>
        <v>0</v>
      </c>
      <c r="J99" s="459">
        <f>+'6. Gólyahír'!J83</f>
        <v>726240</v>
      </c>
      <c r="K99" s="73"/>
      <c r="L99" s="531">
        <f t="shared" si="109"/>
        <v>0</v>
      </c>
      <c r="M99" s="531">
        <f t="shared" si="110"/>
        <v>0</v>
      </c>
      <c r="N99" s="532">
        <f t="shared" si="111"/>
        <v>1</v>
      </c>
      <c r="O99" s="73"/>
      <c r="P99" s="424">
        <f>+'6. Gólyahír'!P83</f>
        <v>0</v>
      </c>
      <c r="Q99" s="73">
        <f>+'6. Gólyahír'!Q83</f>
        <v>0</v>
      </c>
      <c r="R99" s="73">
        <f>+'6. Gólyahír'!R83</f>
        <v>0</v>
      </c>
      <c r="S99" s="73">
        <f>+'6. Gólyahír'!S83</f>
        <v>0</v>
      </c>
      <c r="T99" s="547">
        <f t="shared" si="112"/>
        <v>0</v>
      </c>
    </row>
    <row r="100" spans="1:20" x14ac:dyDescent="0.25">
      <c r="A100" s="400" t="s">
        <v>169</v>
      </c>
      <c r="B100" s="56" t="str">
        <f t="shared" si="108"/>
        <v>Felújítások</v>
      </c>
      <c r="C100" s="424">
        <f>+'6. Gólyahír'!C86</f>
        <v>0</v>
      </c>
      <c r="D100" s="73">
        <f>+'6. Gólyahír'!D86</f>
        <v>0</v>
      </c>
      <c r="E100" s="73">
        <f>+'6. Gólyahír'!E86</f>
        <v>0</v>
      </c>
      <c r="F100" s="435">
        <f>+'6. Gólyahír'!F86</f>
        <v>0</v>
      </c>
      <c r="G100" s="73"/>
      <c r="H100" s="424">
        <f>+'6. Gólyahír'!H86</f>
        <v>0</v>
      </c>
      <c r="I100" s="73">
        <f>+'6. Gólyahír'!I86</f>
        <v>0</v>
      </c>
      <c r="J100" s="459">
        <f>+'6. Gólyahír'!J86</f>
        <v>0</v>
      </c>
      <c r="K100" s="73"/>
      <c r="L100" s="531">
        <f t="shared" si="109"/>
        <v>0</v>
      </c>
      <c r="M100" s="531">
        <f t="shared" si="110"/>
        <v>0</v>
      </c>
      <c r="N100" s="532">
        <f t="shared" si="111"/>
        <v>0</v>
      </c>
      <c r="O100" s="73"/>
      <c r="P100" s="424">
        <f>+'6. Gólyahír'!P86</f>
        <v>0</v>
      </c>
      <c r="Q100" s="73">
        <f>+'6. Gólyahír'!Q86</f>
        <v>0</v>
      </c>
      <c r="R100" s="73">
        <f>+'6. Gólyahír'!R86</f>
        <v>0</v>
      </c>
      <c r="S100" s="73">
        <f>+'6. Gólyahír'!S86</f>
        <v>0</v>
      </c>
      <c r="T100" s="547">
        <f t="shared" si="112"/>
        <v>0</v>
      </c>
    </row>
    <row r="101" spans="1:20" x14ac:dyDescent="0.25">
      <c r="A101" s="400" t="s">
        <v>179</v>
      </c>
      <c r="B101" s="56" t="str">
        <f t="shared" si="108"/>
        <v>Szolgáltatások kiadásai</v>
      </c>
      <c r="C101" s="424"/>
      <c r="D101" s="73"/>
      <c r="E101" s="73"/>
      <c r="F101" s="435"/>
      <c r="G101" s="73"/>
      <c r="H101" s="424"/>
      <c r="I101" s="73"/>
      <c r="J101" s="459"/>
      <c r="K101" s="73"/>
      <c r="L101" s="531">
        <f t="shared" si="109"/>
        <v>0</v>
      </c>
      <c r="M101" s="531">
        <f t="shared" si="110"/>
        <v>0</v>
      </c>
      <c r="N101" s="532">
        <f t="shared" si="111"/>
        <v>0</v>
      </c>
      <c r="O101" s="73"/>
      <c r="P101" s="424"/>
      <c r="Q101" s="73"/>
      <c r="R101" s="73"/>
      <c r="S101" s="73"/>
      <c r="T101" s="547">
        <f t="shared" si="112"/>
        <v>0</v>
      </c>
    </row>
    <row r="102" spans="1:20" x14ac:dyDescent="0.25">
      <c r="A102" s="400" t="s">
        <v>197</v>
      </c>
      <c r="B102" s="56" t="str">
        <f t="shared" si="108"/>
        <v>Finanszírozási kiadások</v>
      </c>
      <c r="C102" s="403"/>
      <c r="F102" s="446"/>
      <c r="H102" s="403"/>
      <c r="J102" s="457"/>
      <c r="L102" s="531">
        <f t="shared" si="109"/>
        <v>0</v>
      </c>
      <c r="M102" s="531">
        <f t="shared" si="110"/>
        <v>0</v>
      </c>
      <c r="N102" s="532">
        <f t="shared" si="111"/>
        <v>0</v>
      </c>
      <c r="P102" s="403"/>
      <c r="T102" s="547">
        <f t="shared" si="112"/>
        <v>0</v>
      </c>
    </row>
    <row r="103" spans="1:20" x14ac:dyDescent="0.25">
      <c r="A103" s="402"/>
      <c r="B103" s="386" t="s">
        <v>371</v>
      </c>
      <c r="C103" s="426">
        <f>SUM(C94:C102)</f>
        <v>78123000</v>
      </c>
      <c r="D103" s="387">
        <f t="shared" ref="D103" si="113">SUM(D94:D102)</f>
        <v>78123000</v>
      </c>
      <c r="E103" s="387">
        <f t="shared" ref="E103" si="114">SUM(E94:E102)</f>
        <v>78123000</v>
      </c>
      <c r="F103" s="443">
        <f t="shared" ref="F103" si="115">SUM(F94:F102)</f>
        <v>78123000</v>
      </c>
      <c r="G103" s="387"/>
      <c r="H103" s="426">
        <f t="shared" ref="H103" si="116">SUM(H94:H102)</f>
        <v>36621235</v>
      </c>
      <c r="I103" s="387">
        <f t="shared" ref="I103" si="117">SUM(I94:I102)</f>
        <v>55164510</v>
      </c>
      <c r="J103" s="388">
        <f t="shared" ref="J103" si="118">SUM(J94:J102)</f>
        <v>76356642</v>
      </c>
      <c r="K103" s="204"/>
      <c r="L103" s="533">
        <f t="shared" si="109"/>
        <v>0.46876380835349385</v>
      </c>
      <c r="M103" s="533">
        <f t="shared" si="110"/>
        <v>0.70612380476940206</v>
      </c>
      <c r="N103" s="534">
        <f t="shared" si="111"/>
        <v>0.97739003878499287</v>
      </c>
      <c r="O103" s="204"/>
      <c r="P103" s="426">
        <f t="shared" ref="P103" si="119">SUM(P94:P102)</f>
        <v>0</v>
      </c>
      <c r="Q103" s="387">
        <f t="shared" ref="Q103" si="120">SUM(Q94:Q102)</f>
        <v>0</v>
      </c>
      <c r="R103" s="387">
        <f t="shared" ref="R103" si="121">SUM(R94:R102)</f>
        <v>0</v>
      </c>
      <c r="S103" s="388">
        <f t="shared" ref="S103" si="122">SUM(S94:S102)</f>
        <v>0</v>
      </c>
      <c r="T103" s="548">
        <f t="shared" si="112"/>
        <v>0</v>
      </c>
    </row>
    <row r="104" spans="1:20" x14ac:dyDescent="0.25">
      <c r="A104" s="400"/>
      <c r="B104" s="56"/>
      <c r="C104" s="424"/>
      <c r="D104" s="73"/>
      <c r="E104" s="73"/>
      <c r="F104" s="435"/>
      <c r="G104" s="73"/>
      <c r="H104" s="424"/>
      <c r="I104" s="73"/>
      <c r="J104" s="459"/>
      <c r="K104" s="73"/>
      <c r="L104" s="531"/>
      <c r="M104" s="531"/>
      <c r="N104" s="532"/>
      <c r="O104" s="73"/>
      <c r="P104" s="424"/>
      <c r="Q104" s="73"/>
      <c r="R104" s="73"/>
      <c r="S104" s="73"/>
      <c r="T104" s="547"/>
    </row>
    <row r="105" spans="1:20" x14ac:dyDescent="0.25">
      <c r="A105" s="400" t="str">
        <f>+A78</f>
        <v>B1</v>
      </c>
      <c r="B105" s="22" t="str">
        <f>+B78</f>
        <v>Működési célú tám-ok államháztartáson belülről</v>
      </c>
      <c r="C105" s="424">
        <f>+'6. Gólyahír'!C93</f>
        <v>0</v>
      </c>
      <c r="D105" s="73">
        <f>+'6. Gólyahír'!D93</f>
        <v>0</v>
      </c>
      <c r="E105" s="73">
        <f>+'6. Gólyahír'!E93</f>
        <v>0</v>
      </c>
      <c r="F105" s="435">
        <f>+'6. Gólyahír'!F93</f>
        <v>0</v>
      </c>
      <c r="G105" s="73"/>
      <c r="H105" s="424">
        <f>+'6. Gólyahír'!H93</f>
        <v>0</v>
      </c>
      <c r="I105" s="73">
        <f>+'6. Gólyahír'!I93</f>
        <v>0</v>
      </c>
      <c r="J105" s="459">
        <f>+'6. Gólyahír'!J93</f>
        <v>0</v>
      </c>
      <c r="K105" s="73"/>
      <c r="L105" s="531">
        <f t="shared" ref="L105:L114" si="123">IF(D105=0,0,H105/D105)</f>
        <v>0</v>
      </c>
      <c r="M105" s="531">
        <f t="shared" ref="M105:M114" si="124">IF(E105=0,0,I105/E105)</f>
        <v>0</v>
      </c>
      <c r="N105" s="532">
        <f t="shared" ref="N105:N114" si="125">IF(F105=0,0,J105/F105)</f>
        <v>0</v>
      </c>
      <c r="O105" s="73"/>
      <c r="P105" s="424">
        <f>+'6. Gólyahír'!P93</f>
        <v>0</v>
      </c>
      <c r="Q105" s="73">
        <f>+'6. Gólyahír'!Q93</f>
        <v>0</v>
      </c>
      <c r="R105" s="73">
        <f>+'6. Gólyahír'!R93</f>
        <v>0</v>
      </c>
      <c r="S105" s="73">
        <f>+'6. Gólyahír'!S93</f>
        <v>0</v>
      </c>
      <c r="T105" s="547">
        <f t="shared" si="112"/>
        <v>0</v>
      </c>
    </row>
    <row r="106" spans="1:20" x14ac:dyDescent="0.25">
      <c r="A106" s="400" t="str">
        <f t="shared" ref="A106:B106" si="126">+A79</f>
        <v>B2</v>
      </c>
      <c r="B106" s="22" t="str">
        <f t="shared" si="126"/>
        <v>Felhalmozási célú tám-ok államházt-on belülről</v>
      </c>
      <c r="C106" s="424"/>
      <c r="D106" s="73"/>
      <c r="E106" s="73"/>
      <c r="F106" s="435"/>
      <c r="G106" s="73"/>
      <c r="H106" s="424"/>
      <c r="I106" s="73"/>
      <c r="J106" s="459"/>
      <c r="K106" s="73"/>
      <c r="L106" s="531">
        <f t="shared" si="123"/>
        <v>0</v>
      </c>
      <c r="M106" s="531">
        <f t="shared" si="124"/>
        <v>0</v>
      </c>
      <c r="N106" s="532">
        <f t="shared" si="125"/>
        <v>0</v>
      </c>
      <c r="O106" s="73"/>
      <c r="P106" s="424"/>
      <c r="Q106" s="73"/>
      <c r="R106" s="73"/>
      <c r="S106" s="73"/>
      <c r="T106" s="547">
        <f t="shared" si="112"/>
        <v>0</v>
      </c>
    </row>
    <row r="107" spans="1:20" x14ac:dyDescent="0.25">
      <c r="A107" s="400" t="str">
        <f t="shared" ref="A107:B107" si="127">+A80</f>
        <v>B3</v>
      </c>
      <c r="B107" s="22" t="str">
        <f t="shared" si="127"/>
        <v>Közhatalmi bevételek</v>
      </c>
      <c r="C107" s="424"/>
      <c r="D107" s="73"/>
      <c r="E107" s="73"/>
      <c r="F107" s="435"/>
      <c r="G107" s="73"/>
      <c r="H107" s="424"/>
      <c r="I107" s="73"/>
      <c r="J107" s="459"/>
      <c r="K107" s="73"/>
      <c r="L107" s="531">
        <f t="shared" si="123"/>
        <v>0</v>
      </c>
      <c r="M107" s="531">
        <f t="shared" si="124"/>
        <v>0</v>
      </c>
      <c r="N107" s="532">
        <f t="shared" si="125"/>
        <v>0</v>
      </c>
      <c r="O107" s="73"/>
      <c r="P107" s="424"/>
      <c r="Q107" s="73"/>
      <c r="R107" s="73"/>
      <c r="S107" s="73"/>
      <c r="T107" s="547">
        <f t="shared" si="112"/>
        <v>0</v>
      </c>
    </row>
    <row r="108" spans="1:20" x14ac:dyDescent="0.25">
      <c r="A108" s="400" t="str">
        <f t="shared" ref="A108:B108" si="128">+A81</f>
        <v>B4</v>
      </c>
      <c r="B108" s="22" t="str">
        <f t="shared" si="128"/>
        <v>Működési bevételek</v>
      </c>
      <c r="C108" s="424">
        <f>+'6. Gólyahír'!C95</f>
        <v>4110000</v>
      </c>
      <c r="D108" s="73">
        <f>+'6. Gólyahír'!D95</f>
        <v>4110000</v>
      </c>
      <c r="E108" s="73">
        <f>+'6. Gólyahír'!E95</f>
        <v>4110000</v>
      </c>
      <c r="F108" s="435">
        <f>+'6. Gólyahír'!F95</f>
        <v>4110000</v>
      </c>
      <c r="G108" s="73"/>
      <c r="H108" s="424">
        <f>+'6. Gólyahír'!H95</f>
        <v>1848067</v>
      </c>
      <c r="I108" s="73">
        <f>+'6. Gólyahír'!I95</f>
        <v>2946484</v>
      </c>
      <c r="J108" s="459">
        <f>+'6. Gólyahír'!J95</f>
        <v>4421197</v>
      </c>
      <c r="K108" s="73"/>
      <c r="L108" s="531">
        <f t="shared" si="123"/>
        <v>0.44965133819951336</v>
      </c>
      <c r="M108" s="531">
        <f t="shared" si="124"/>
        <v>0.71690608272506084</v>
      </c>
      <c r="N108" s="532">
        <f t="shared" si="125"/>
        <v>1.0757170316301703</v>
      </c>
      <c r="O108" s="73"/>
      <c r="P108" s="424">
        <f>+'6. Gólyahír'!P95</f>
        <v>0</v>
      </c>
      <c r="Q108" s="73">
        <f>+'6. Gólyahír'!Q95</f>
        <v>0</v>
      </c>
      <c r="R108" s="73">
        <f>+'6. Gólyahír'!R95</f>
        <v>0</v>
      </c>
      <c r="S108" s="73">
        <f>+'6. Gólyahír'!S95</f>
        <v>0</v>
      </c>
      <c r="T108" s="547">
        <f t="shared" si="112"/>
        <v>0</v>
      </c>
    </row>
    <row r="109" spans="1:20" x14ac:dyDescent="0.25">
      <c r="A109" s="400" t="str">
        <f t="shared" ref="A109:B109" si="129">+A82</f>
        <v>B5</v>
      </c>
      <c r="B109" s="22" t="str">
        <f t="shared" si="129"/>
        <v>Felhalmozási bevételek</v>
      </c>
      <c r="C109" s="424"/>
      <c r="D109" s="73"/>
      <c r="E109" s="73"/>
      <c r="F109" s="435"/>
      <c r="G109" s="73"/>
      <c r="H109" s="424"/>
      <c r="I109" s="73"/>
      <c r="J109" s="459"/>
      <c r="K109" s="73"/>
      <c r="L109" s="531">
        <f t="shared" si="123"/>
        <v>0</v>
      </c>
      <c r="M109" s="531">
        <f t="shared" si="124"/>
        <v>0</v>
      </c>
      <c r="N109" s="532">
        <f t="shared" si="125"/>
        <v>0</v>
      </c>
      <c r="O109" s="73"/>
      <c r="P109" s="424"/>
      <c r="Q109" s="73"/>
      <c r="R109" s="73"/>
      <c r="S109" s="73"/>
      <c r="T109" s="547">
        <f t="shared" si="112"/>
        <v>0</v>
      </c>
    </row>
    <row r="110" spans="1:20" x14ac:dyDescent="0.25">
      <c r="A110" s="400" t="str">
        <f t="shared" ref="A110:B110" si="130">+A83</f>
        <v>B6</v>
      </c>
      <c r="B110" s="22" t="str">
        <f t="shared" si="130"/>
        <v>Működési célú átvett pénzeszközök</v>
      </c>
      <c r="C110" s="424"/>
      <c r="D110" s="73"/>
      <c r="E110" s="73"/>
      <c r="F110" s="435"/>
      <c r="G110" s="73"/>
      <c r="H110" s="424"/>
      <c r="I110" s="73"/>
      <c r="J110" s="459"/>
      <c r="K110" s="73"/>
      <c r="L110" s="531">
        <f t="shared" si="123"/>
        <v>0</v>
      </c>
      <c r="M110" s="531">
        <f t="shared" si="124"/>
        <v>0</v>
      </c>
      <c r="N110" s="532">
        <f t="shared" si="125"/>
        <v>0</v>
      </c>
      <c r="O110" s="73"/>
      <c r="P110" s="424"/>
      <c r="Q110" s="73"/>
      <c r="R110" s="73"/>
      <c r="S110" s="73"/>
      <c r="T110" s="547">
        <f t="shared" si="112"/>
        <v>0</v>
      </c>
    </row>
    <row r="111" spans="1:20" x14ac:dyDescent="0.25">
      <c r="A111" s="400" t="str">
        <f t="shared" ref="A111:B111" si="131">+A84</f>
        <v>B7</v>
      </c>
      <c r="B111" s="22" t="str">
        <f t="shared" si="131"/>
        <v>Felhalmozási célú átvett pénzeszközök</v>
      </c>
      <c r="C111" s="424"/>
      <c r="D111" s="73"/>
      <c r="E111" s="73"/>
      <c r="F111" s="435"/>
      <c r="G111" s="73"/>
      <c r="H111" s="424"/>
      <c r="I111" s="73"/>
      <c r="J111" s="459"/>
      <c r="K111" s="73"/>
      <c r="L111" s="531">
        <f t="shared" si="123"/>
        <v>0</v>
      </c>
      <c r="M111" s="531">
        <f t="shared" si="124"/>
        <v>0</v>
      </c>
      <c r="N111" s="532">
        <f t="shared" si="125"/>
        <v>0</v>
      </c>
      <c r="O111" s="73"/>
      <c r="P111" s="424"/>
      <c r="Q111" s="73"/>
      <c r="R111" s="73"/>
      <c r="S111" s="73"/>
      <c r="T111" s="547">
        <f t="shared" si="112"/>
        <v>0</v>
      </c>
    </row>
    <row r="112" spans="1:20" x14ac:dyDescent="0.25">
      <c r="A112" s="400" t="str">
        <f t="shared" ref="A112" si="132">+A85</f>
        <v>B8-ból maradványértéken túli finanszírozási bevételek</v>
      </c>
      <c r="C112" s="424">
        <f>+'6. Gólyahír'!C99-C113</f>
        <v>72679378</v>
      </c>
      <c r="D112" s="73">
        <f>+'6. Gólyahír'!D99-D113</f>
        <v>72679378</v>
      </c>
      <c r="E112" s="73">
        <f>+'6. Gólyahír'!E99-E113</f>
        <v>72679378</v>
      </c>
      <c r="F112" s="435">
        <f>+'6. Gólyahír'!F99-F113</f>
        <v>72679378</v>
      </c>
      <c r="G112" s="73"/>
      <c r="H112" s="424">
        <f>+'6. Gólyahír'!H99-H113</f>
        <v>37881556</v>
      </c>
      <c r="I112" s="73">
        <f>+'6. Gólyahír'!I99-I113</f>
        <v>53761438</v>
      </c>
      <c r="J112" s="459">
        <f>+'6. Gólyahír'!J99-J113</f>
        <v>71609031</v>
      </c>
      <c r="K112" s="73"/>
      <c r="L112" s="531">
        <f t="shared" si="123"/>
        <v>0.52121464220566116</v>
      </c>
      <c r="M112" s="531">
        <f t="shared" si="124"/>
        <v>0.73970690833375041</v>
      </c>
      <c r="N112" s="532">
        <f t="shared" si="125"/>
        <v>0.98527303026726509</v>
      </c>
      <c r="O112" s="73"/>
      <c r="P112" s="424">
        <f>+'6. Gólyahír'!P99-P113</f>
        <v>0</v>
      </c>
      <c r="Q112" s="73">
        <f>+'6. Gólyahír'!Q99-Q113</f>
        <v>0</v>
      </c>
      <c r="R112" s="73">
        <f>+'6. Gólyahír'!R99-R113</f>
        <v>0</v>
      </c>
      <c r="S112" s="73">
        <f>+'6. Gólyahír'!S99-S113</f>
        <v>0</v>
      </c>
      <c r="T112" s="547">
        <f t="shared" si="112"/>
        <v>0</v>
      </c>
    </row>
    <row r="113" spans="1:20" x14ac:dyDescent="0.25">
      <c r="A113" s="400" t="str">
        <f t="shared" ref="A113" si="133">+A86</f>
        <v>B8-ból előző évi mardvány igénybevétele</v>
      </c>
      <c r="C113" s="424">
        <f>+'6. Gólyahír'!C101</f>
        <v>1333622</v>
      </c>
      <c r="D113" s="73">
        <f>+'6. Gólyahír'!D101</f>
        <v>1333622</v>
      </c>
      <c r="E113" s="73">
        <f>+'6. Gólyahír'!E101</f>
        <v>1333622</v>
      </c>
      <c r="F113" s="435">
        <f>+'6. Gólyahír'!F101</f>
        <v>1333622</v>
      </c>
      <c r="G113" s="73"/>
      <c r="H113" s="424">
        <f>+'6. Gólyahír'!H101</f>
        <v>1333622</v>
      </c>
      <c r="I113" s="73">
        <f>+'6. Gólyahír'!I101</f>
        <v>1333622</v>
      </c>
      <c r="J113" s="459">
        <f>+'6. Gólyahír'!J101</f>
        <v>1333622</v>
      </c>
      <c r="K113" s="73"/>
      <c r="L113" s="531">
        <f t="shared" si="123"/>
        <v>1</v>
      </c>
      <c r="M113" s="531">
        <f t="shared" si="124"/>
        <v>1</v>
      </c>
      <c r="N113" s="532">
        <f t="shared" si="125"/>
        <v>1</v>
      </c>
      <c r="O113" s="73"/>
      <c r="P113" s="424">
        <f>+'6. Gólyahír'!P101</f>
        <v>0</v>
      </c>
      <c r="Q113" s="73">
        <f>+'6. Gólyahír'!Q101</f>
        <v>0</v>
      </c>
      <c r="R113" s="73">
        <f>+'6. Gólyahír'!R101</f>
        <v>0</v>
      </c>
      <c r="S113" s="73">
        <f>+'6. Gólyahír'!S101</f>
        <v>0</v>
      </c>
      <c r="T113" s="547">
        <f t="shared" si="112"/>
        <v>0</v>
      </c>
    </row>
    <row r="114" spans="1:20" x14ac:dyDescent="0.25">
      <c r="A114" s="404"/>
      <c r="B114" s="386" t="s">
        <v>370</v>
      </c>
      <c r="C114" s="426">
        <f>SUM(C105:C113)</f>
        <v>78123000</v>
      </c>
      <c r="D114" s="387">
        <f t="shared" ref="D114" si="134">SUM(D105:D113)</f>
        <v>78123000</v>
      </c>
      <c r="E114" s="387">
        <f t="shared" ref="E114" si="135">SUM(E105:E113)</f>
        <v>78123000</v>
      </c>
      <c r="F114" s="443">
        <f t="shared" ref="F114" si="136">SUM(F105:F113)</f>
        <v>78123000</v>
      </c>
      <c r="G114" s="387"/>
      <c r="H114" s="426">
        <f t="shared" ref="H114" si="137">SUM(H105:H113)</f>
        <v>41063245</v>
      </c>
      <c r="I114" s="387">
        <f t="shared" ref="I114" si="138">SUM(I105:I113)</f>
        <v>58041544</v>
      </c>
      <c r="J114" s="388">
        <f t="shared" ref="J114" si="139">SUM(J105:J113)</f>
        <v>77363850</v>
      </c>
      <c r="K114" s="389"/>
      <c r="L114" s="535">
        <f t="shared" si="123"/>
        <v>0.52562299194859385</v>
      </c>
      <c r="M114" s="535">
        <f t="shared" si="124"/>
        <v>0.74295078274003812</v>
      </c>
      <c r="N114" s="536">
        <f t="shared" si="125"/>
        <v>0.99028263123535964</v>
      </c>
      <c r="O114" s="389"/>
      <c r="P114" s="426">
        <f t="shared" ref="P114" si="140">SUM(P105:P113)</f>
        <v>0</v>
      </c>
      <c r="Q114" s="387">
        <f t="shared" ref="Q114" si="141">SUM(Q105:Q113)</f>
        <v>0</v>
      </c>
      <c r="R114" s="387">
        <f t="shared" ref="R114" si="142">SUM(R105:R113)</f>
        <v>0</v>
      </c>
      <c r="S114" s="388">
        <f t="shared" ref="S114" si="143">SUM(S105:S113)</f>
        <v>0</v>
      </c>
      <c r="T114" s="548">
        <f t="shared" si="112"/>
        <v>0</v>
      </c>
    </row>
    <row r="115" spans="1:20" x14ac:dyDescent="0.25">
      <c r="A115" s="403"/>
      <c r="B115" s="73"/>
      <c r="C115" s="424"/>
      <c r="D115" s="73"/>
      <c r="E115" s="73"/>
      <c r="F115" s="435"/>
      <c r="G115" s="73"/>
      <c r="H115" s="424"/>
      <c r="I115" s="73"/>
      <c r="J115" s="459"/>
      <c r="K115" s="73"/>
      <c r="L115" s="531"/>
      <c r="M115" s="531"/>
      <c r="N115" s="532"/>
      <c r="O115" s="73"/>
      <c r="P115" s="424"/>
      <c r="Q115" s="73"/>
      <c r="R115" s="73"/>
      <c r="S115" s="73"/>
      <c r="T115" s="549"/>
    </row>
    <row r="116" spans="1:20" ht="13.8" thickBot="1" x14ac:dyDescent="0.3">
      <c r="A116" s="406"/>
      <c r="B116" s="407" t="s">
        <v>449</v>
      </c>
      <c r="C116" s="428">
        <f>+C114-C103</f>
        <v>0</v>
      </c>
      <c r="D116" s="408">
        <f>+D114-D103</f>
        <v>0</v>
      </c>
      <c r="E116" s="408">
        <f>+E114-E103</f>
        <v>0</v>
      </c>
      <c r="F116" s="445">
        <f>+F114-F103</f>
        <v>0</v>
      </c>
      <c r="G116" s="408"/>
      <c r="H116" s="428">
        <f>+H114-H103</f>
        <v>4442010</v>
      </c>
      <c r="I116" s="408">
        <f>+I114-I103</f>
        <v>2877034</v>
      </c>
      <c r="J116" s="410">
        <f>+J114-J103</f>
        <v>1007208</v>
      </c>
      <c r="K116" s="409"/>
      <c r="L116" s="537">
        <f t="shared" ref="L116" si="144">IF(D116=0,0,H116/D116)</f>
        <v>0</v>
      </c>
      <c r="M116" s="537">
        <f t="shared" ref="M116" si="145">IF(E116=0,0,I116/E116)</f>
        <v>0</v>
      </c>
      <c r="N116" s="538">
        <f t="shared" ref="N116" si="146">IF(F116=0,0,J116/F116)</f>
        <v>0</v>
      </c>
      <c r="O116" s="409"/>
      <c r="P116" s="428">
        <f>+P114-P103</f>
        <v>0</v>
      </c>
      <c r="Q116" s="408">
        <f>+Q114-Q103</f>
        <v>0</v>
      </c>
      <c r="R116" s="408">
        <f>+R114-R103</f>
        <v>0</v>
      </c>
      <c r="S116" s="410">
        <f>+S114-S103</f>
        <v>0</v>
      </c>
      <c r="T116" s="550"/>
    </row>
    <row r="117" spans="1:20" x14ac:dyDescent="0.25">
      <c r="C117" s="403"/>
      <c r="F117" s="446"/>
      <c r="H117" s="403"/>
      <c r="J117" s="457"/>
      <c r="L117" s="531"/>
      <c r="M117" s="531"/>
      <c r="N117" s="532"/>
      <c r="P117" s="403"/>
      <c r="T117" s="549"/>
    </row>
    <row r="118" spans="1:20" ht="13.8" thickBot="1" x14ac:dyDescent="0.3">
      <c r="C118" s="403"/>
      <c r="F118" s="446"/>
      <c r="H118" s="403"/>
      <c r="J118" s="457"/>
      <c r="L118" s="531"/>
      <c r="M118" s="531"/>
      <c r="N118" s="532"/>
      <c r="P118" s="403"/>
      <c r="T118" s="549"/>
    </row>
    <row r="119" spans="1:20" ht="18" thickBot="1" x14ac:dyDescent="0.35">
      <c r="A119" s="411" t="s">
        <v>446</v>
      </c>
      <c r="B119" s="528"/>
      <c r="C119" s="403"/>
      <c r="F119" s="446"/>
      <c r="H119" s="403"/>
      <c r="J119" s="457"/>
      <c r="L119" s="531"/>
      <c r="M119" s="531"/>
      <c r="N119" s="532"/>
      <c r="P119" s="403"/>
      <c r="T119" s="549"/>
    </row>
    <row r="120" spans="1:20" x14ac:dyDescent="0.25">
      <c r="A120" s="396"/>
      <c r="B120" s="397"/>
      <c r="C120" s="396"/>
      <c r="D120" s="398"/>
      <c r="E120" s="398"/>
      <c r="F120" s="447"/>
      <c r="G120" s="398"/>
      <c r="H120" s="396"/>
      <c r="I120" s="398"/>
      <c r="J120" s="458"/>
      <c r="K120" s="398"/>
      <c r="L120" s="539"/>
      <c r="M120" s="539"/>
      <c r="N120" s="540"/>
      <c r="O120" s="398"/>
      <c r="P120" s="396"/>
      <c r="Q120" s="397"/>
      <c r="R120" s="397"/>
      <c r="S120" s="397"/>
      <c r="T120" s="551"/>
    </row>
    <row r="121" spans="1:20" x14ac:dyDescent="0.25">
      <c r="A121" s="400" t="s">
        <v>0</v>
      </c>
      <c r="B121" s="56" t="str">
        <f t="shared" ref="B121:B129" si="147">+B94</f>
        <v>Személyi juttatások</v>
      </c>
      <c r="C121" s="424">
        <f>+'7. Polg.Hiv.'!C13</f>
        <v>122543000</v>
      </c>
      <c r="D121" s="73">
        <f>+'7. Polg.Hiv.'!D13</f>
        <v>123105635</v>
      </c>
      <c r="E121" s="73">
        <f>+'7. Polg.Hiv.'!E13</f>
        <v>123105635</v>
      </c>
      <c r="F121" s="435">
        <f>+'7. Polg.Hiv.'!F13</f>
        <v>123389945</v>
      </c>
      <c r="G121" s="73"/>
      <c r="H121" s="424">
        <f>+'7. Polg.Hiv.'!H13</f>
        <v>62184602</v>
      </c>
      <c r="I121" s="73">
        <f>+'7. Polg.Hiv.'!I13</f>
        <v>91683480</v>
      </c>
      <c r="J121" s="459">
        <f>+'7. Polg.Hiv.'!J13</f>
        <v>123111716</v>
      </c>
      <c r="K121" s="73"/>
      <c r="L121" s="531">
        <f t="shared" ref="L121:L130" si="148">IF(D121=0,0,H121/D121)</f>
        <v>0.50513205183499521</v>
      </c>
      <c r="M121" s="531">
        <f t="shared" ref="M121:M130" si="149">IF(E121=0,0,I121/E121)</f>
        <v>0.74475453540367997</v>
      </c>
      <c r="N121" s="532">
        <f t="shared" ref="N121:N130" si="150">IF(F121=0,0,J121/F121)</f>
        <v>0.99774512420764916</v>
      </c>
      <c r="O121" s="73"/>
      <c r="P121" s="424">
        <f>D121-C121</f>
        <v>562635</v>
      </c>
      <c r="Q121" s="73">
        <f>+E121-D121</f>
        <v>0</v>
      </c>
      <c r="R121" s="73">
        <f>+'7. Polg.Hiv.'!R13</f>
        <v>0</v>
      </c>
      <c r="S121" s="73">
        <f>+'7. Polg.Hiv.'!S13</f>
        <v>562635</v>
      </c>
      <c r="T121" s="547">
        <f>IF(S121=0,0,S121/C121)</f>
        <v>4.591327125988429E-3</v>
      </c>
    </row>
    <row r="122" spans="1:20" x14ac:dyDescent="0.25">
      <c r="A122" s="400" t="s">
        <v>24</v>
      </c>
      <c r="B122" s="56" t="str">
        <f t="shared" si="147"/>
        <v>Munkaadót terhelő járulékok és szociális hozzájárulás</v>
      </c>
      <c r="C122" s="424">
        <f>+'7. Polg.Hiv.'!C29</f>
        <v>19000000</v>
      </c>
      <c r="D122" s="73">
        <f>+'7. Polg.Hiv.'!D29</f>
        <v>19000000</v>
      </c>
      <c r="E122" s="73">
        <f>+'7. Polg.Hiv.'!E29</f>
        <v>19000000</v>
      </c>
      <c r="F122" s="435">
        <f>+'7. Polg.Hiv.'!F29</f>
        <v>18835690</v>
      </c>
      <c r="G122" s="73"/>
      <c r="H122" s="424">
        <f>+'7. Polg.Hiv.'!H29</f>
        <v>10041548</v>
      </c>
      <c r="I122" s="73">
        <f>+'7. Polg.Hiv.'!I29</f>
        <v>14630193</v>
      </c>
      <c r="J122" s="459">
        <f>+'7. Polg.Hiv.'!J29</f>
        <v>18835690</v>
      </c>
      <c r="K122" s="73"/>
      <c r="L122" s="531">
        <f t="shared" si="148"/>
        <v>0.52850252631578942</v>
      </c>
      <c r="M122" s="531">
        <f t="shared" si="149"/>
        <v>0.77001015789473681</v>
      </c>
      <c r="N122" s="532">
        <f t="shared" si="150"/>
        <v>1</v>
      </c>
      <c r="O122" s="73"/>
      <c r="P122" s="424">
        <f>+'7. Polg.Hiv.'!P29</f>
        <v>0</v>
      </c>
      <c r="Q122" s="73">
        <f>+'7. Polg.Hiv.'!Q29</f>
        <v>0</v>
      </c>
      <c r="R122" s="73">
        <f>+'7. Polg.Hiv.'!R29</f>
        <v>0</v>
      </c>
      <c r="S122" s="73">
        <f>+'7. Polg.Hiv.'!S29</f>
        <v>0</v>
      </c>
      <c r="T122" s="547">
        <f t="shared" ref="T122:T141" si="151">IF(S122=0,0,S122/C122)</f>
        <v>0</v>
      </c>
    </row>
    <row r="123" spans="1:20" x14ac:dyDescent="0.25">
      <c r="A123" s="400" t="s">
        <v>27</v>
      </c>
      <c r="B123" s="56" t="str">
        <f t="shared" si="147"/>
        <v>Dologi kiadások</v>
      </c>
      <c r="C123" s="424">
        <f>+'7. Polg.Hiv.'!C32</f>
        <v>10790000</v>
      </c>
      <c r="D123" s="73">
        <f>+'7. Polg.Hiv.'!D32</f>
        <v>10227365</v>
      </c>
      <c r="E123" s="73">
        <f>+'7. Polg.Hiv.'!E32</f>
        <v>10227365</v>
      </c>
      <c r="F123" s="435">
        <f>+'7. Polg.Hiv.'!F32</f>
        <v>10107365</v>
      </c>
      <c r="G123" s="73"/>
      <c r="H123" s="424">
        <f>+'7. Polg.Hiv.'!H32</f>
        <v>4228180</v>
      </c>
      <c r="I123" s="73">
        <f>+'7. Polg.Hiv.'!I32</f>
        <v>6569990</v>
      </c>
      <c r="J123" s="459">
        <f>+'7. Polg.Hiv.'!J32</f>
        <v>9160416</v>
      </c>
      <c r="K123" s="73"/>
      <c r="L123" s="531">
        <f t="shared" si="148"/>
        <v>0.41341831449254035</v>
      </c>
      <c r="M123" s="531">
        <f t="shared" si="149"/>
        <v>0.64239322640777952</v>
      </c>
      <c r="N123" s="532">
        <f t="shared" si="150"/>
        <v>0.90631099203402665</v>
      </c>
      <c r="O123" s="73"/>
      <c r="P123" s="424">
        <f>+'7. Polg.Hiv.'!P32</f>
        <v>-562635</v>
      </c>
      <c r="Q123" s="73">
        <f>+'7. Polg.Hiv.'!Q32</f>
        <v>0</v>
      </c>
      <c r="R123" s="73">
        <f>+'7. Polg.Hiv.'!R32</f>
        <v>0</v>
      </c>
      <c r="S123" s="73">
        <f>+'7. Polg.Hiv.'!S32</f>
        <v>-562635</v>
      </c>
      <c r="T123" s="547">
        <f t="shared" si="151"/>
        <v>-5.2144114921223353E-2</v>
      </c>
    </row>
    <row r="124" spans="1:20" x14ac:dyDescent="0.25">
      <c r="A124" s="400" t="s">
        <v>107</v>
      </c>
      <c r="B124" s="56" t="str">
        <f t="shared" si="147"/>
        <v>Elláttotak pénzbeli juttatásai</v>
      </c>
      <c r="C124" s="424"/>
      <c r="D124" s="73"/>
      <c r="E124" s="73"/>
      <c r="F124" s="435"/>
      <c r="G124" s="73"/>
      <c r="H124" s="424"/>
      <c r="I124" s="73"/>
      <c r="J124" s="459"/>
      <c r="K124" s="73"/>
      <c r="L124" s="531">
        <f t="shared" si="148"/>
        <v>0</v>
      </c>
      <c r="M124" s="531">
        <f t="shared" si="149"/>
        <v>0</v>
      </c>
      <c r="N124" s="532">
        <f t="shared" si="150"/>
        <v>0</v>
      </c>
      <c r="O124" s="73"/>
      <c r="P124" s="424"/>
      <c r="Q124" s="73"/>
      <c r="R124" s="73"/>
      <c r="S124" s="73"/>
      <c r="T124" s="547">
        <f t="shared" si="151"/>
        <v>0</v>
      </c>
    </row>
    <row r="125" spans="1:20" x14ac:dyDescent="0.25">
      <c r="A125" s="401" t="s">
        <v>369</v>
      </c>
      <c r="B125" s="56" t="str">
        <f t="shared" si="147"/>
        <v>Egyéb működési célú kiadások</v>
      </c>
      <c r="C125" s="424"/>
      <c r="D125" s="73"/>
      <c r="E125" s="73"/>
      <c r="F125" s="435"/>
      <c r="G125" s="73"/>
      <c r="H125" s="424"/>
      <c r="I125" s="73"/>
      <c r="J125" s="459"/>
      <c r="K125" s="73"/>
      <c r="L125" s="531">
        <f t="shared" si="148"/>
        <v>0</v>
      </c>
      <c r="M125" s="531">
        <f t="shared" si="149"/>
        <v>0</v>
      </c>
      <c r="N125" s="532">
        <f t="shared" si="150"/>
        <v>0</v>
      </c>
      <c r="O125" s="73"/>
      <c r="P125" s="424"/>
      <c r="Q125" s="73"/>
      <c r="R125" s="73"/>
      <c r="S125" s="73"/>
      <c r="T125" s="547">
        <f t="shared" si="151"/>
        <v>0</v>
      </c>
    </row>
    <row r="126" spans="1:20" x14ac:dyDescent="0.25">
      <c r="A126" s="400" t="s">
        <v>154</v>
      </c>
      <c r="B126" s="326" t="str">
        <f t="shared" si="147"/>
        <v>Beruházások</v>
      </c>
      <c r="C126" s="424">
        <f>+'7. Polg.Hiv.'!C83</f>
        <v>2500000</v>
      </c>
      <c r="D126" s="73">
        <f>+'7. Polg.Hiv.'!D83</f>
        <v>2500000</v>
      </c>
      <c r="E126" s="73">
        <f>+'7. Polg.Hiv.'!E83</f>
        <v>2500000</v>
      </c>
      <c r="F126" s="435">
        <f>+'7. Polg.Hiv.'!F83</f>
        <v>2500000</v>
      </c>
      <c r="G126" s="73"/>
      <c r="H126" s="424">
        <f>+'7. Polg.Hiv.'!H83</f>
        <v>811750</v>
      </c>
      <c r="I126" s="73">
        <f>+'7. Polg.Hiv.'!I83</f>
        <v>811750</v>
      </c>
      <c r="J126" s="459">
        <f>+'7. Polg.Hiv.'!J83</f>
        <v>811750</v>
      </c>
      <c r="K126" s="73"/>
      <c r="L126" s="531">
        <f t="shared" si="148"/>
        <v>0.32469999999999999</v>
      </c>
      <c r="M126" s="531">
        <f t="shared" si="149"/>
        <v>0.32469999999999999</v>
      </c>
      <c r="N126" s="532">
        <f t="shared" si="150"/>
        <v>0.32469999999999999</v>
      </c>
      <c r="O126" s="73"/>
      <c r="P126" s="424">
        <f>+'7. Polg.Hiv.'!P83</f>
        <v>0</v>
      </c>
      <c r="Q126" s="73">
        <f>+'7. Polg.Hiv.'!Q83</f>
        <v>0</v>
      </c>
      <c r="R126" s="73">
        <f>+'7. Polg.Hiv.'!R83</f>
        <v>0</v>
      </c>
      <c r="S126" s="73">
        <f>+'7. Polg.Hiv.'!S83</f>
        <v>0</v>
      </c>
      <c r="T126" s="547">
        <f t="shared" si="151"/>
        <v>0</v>
      </c>
    </row>
    <row r="127" spans="1:20" x14ac:dyDescent="0.25">
      <c r="A127" s="400" t="s">
        <v>169</v>
      </c>
      <c r="B127" s="56" t="str">
        <f t="shared" si="147"/>
        <v>Felújítások</v>
      </c>
      <c r="C127" s="424">
        <f>+'7. Polg.Hiv.'!C86</f>
        <v>0</v>
      </c>
      <c r="D127" s="73">
        <f>+'7. Polg.Hiv.'!D86</f>
        <v>0</v>
      </c>
      <c r="E127" s="73">
        <f>+'7. Polg.Hiv.'!E86</f>
        <v>0</v>
      </c>
      <c r="F127" s="435">
        <f>+'7. Polg.Hiv.'!F86</f>
        <v>0</v>
      </c>
      <c r="G127" s="73"/>
      <c r="H127" s="424">
        <f>+'7. Polg.Hiv.'!H86</f>
        <v>0</v>
      </c>
      <c r="I127" s="73">
        <f>+'7. Polg.Hiv.'!I86</f>
        <v>0</v>
      </c>
      <c r="J127" s="459">
        <f>+'7. Polg.Hiv.'!J86</f>
        <v>0</v>
      </c>
      <c r="K127" s="73"/>
      <c r="L127" s="531">
        <f t="shared" si="148"/>
        <v>0</v>
      </c>
      <c r="M127" s="531">
        <f t="shared" si="149"/>
        <v>0</v>
      </c>
      <c r="N127" s="532">
        <f t="shared" si="150"/>
        <v>0</v>
      </c>
      <c r="O127" s="73"/>
      <c r="P127" s="424">
        <f>+'7. Polg.Hiv.'!P86</f>
        <v>0</v>
      </c>
      <c r="Q127" s="73">
        <f>+'7. Polg.Hiv.'!Q86</f>
        <v>0</v>
      </c>
      <c r="R127" s="73">
        <f>+'7. Polg.Hiv.'!R86</f>
        <v>0</v>
      </c>
      <c r="S127" s="73">
        <f>+'7. Polg.Hiv.'!S86</f>
        <v>0</v>
      </c>
      <c r="T127" s="547">
        <f t="shared" si="151"/>
        <v>0</v>
      </c>
    </row>
    <row r="128" spans="1:20" x14ac:dyDescent="0.25">
      <c r="A128" s="400" t="s">
        <v>179</v>
      </c>
      <c r="B128" s="56" t="str">
        <f t="shared" si="147"/>
        <v>Szolgáltatások kiadásai</v>
      </c>
      <c r="C128" s="424"/>
      <c r="D128" s="73"/>
      <c r="E128" s="73"/>
      <c r="F128" s="435"/>
      <c r="G128" s="73"/>
      <c r="H128" s="424"/>
      <c r="I128" s="73"/>
      <c r="J128" s="459"/>
      <c r="K128" s="73"/>
      <c r="L128" s="531">
        <f t="shared" si="148"/>
        <v>0</v>
      </c>
      <c r="M128" s="531">
        <f t="shared" si="149"/>
        <v>0</v>
      </c>
      <c r="N128" s="532">
        <f t="shared" si="150"/>
        <v>0</v>
      </c>
      <c r="O128" s="73"/>
      <c r="P128" s="424"/>
      <c r="Q128" s="73"/>
      <c r="R128" s="73"/>
      <c r="S128" s="73"/>
      <c r="T128" s="547">
        <f t="shared" si="151"/>
        <v>0</v>
      </c>
    </row>
    <row r="129" spans="1:20" x14ac:dyDescent="0.25">
      <c r="A129" s="400" t="s">
        <v>197</v>
      </c>
      <c r="B129" s="56" t="str">
        <f t="shared" si="147"/>
        <v>Finanszírozási kiadások</v>
      </c>
      <c r="C129" s="403"/>
      <c r="F129" s="446"/>
      <c r="H129" s="403"/>
      <c r="J129" s="457"/>
      <c r="L129" s="531">
        <f t="shared" si="148"/>
        <v>0</v>
      </c>
      <c r="M129" s="531">
        <f t="shared" si="149"/>
        <v>0</v>
      </c>
      <c r="N129" s="532">
        <f t="shared" si="150"/>
        <v>0</v>
      </c>
      <c r="P129" s="403"/>
      <c r="T129" s="547">
        <f t="shared" si="151"/>
        <v>0</v>
      </c>
    </row>
    <row r="130" spans="1:20" x14ac:dyDescent="0.25">
      <c r="A130" s="402"/>
      <c r="B130" s="386" t="s">
        <v>371</v>
      </c>
      <c r="C130" s="426">
        <f>SUM(C121:C129)</f>
        <v>154833000</v>
      </c>
      <c r="D130" s="387">
        <f t="shared" ref="D130" si="152">SUM(D121:D129)</f>
        <v>154833000</v>
      </c>
      <c r="E130" s="387">
        <f t="shared" ref="E130" si="153">SUM(E121:E129)</f>
        <v>154833000</v>
      </c>
      <c r="F130" s="443">
        <f t="shared" ref="F130" si="154">SUM(F121:F129)</f>
        <v>154833000</v>
      </c>
      <c r="G130" s="387"/>
      <c r="H130" s="426">
        <f t="shared" ref="H130" si="155">SUM(H121:H129)</f>
        <v>77266080</v>
      </c>
      <c r="I130" s="387">
        <f t="shared" ref="I130" si="156">SUM(I121:I129)</f>
        <v>113695413</v>
      </c>
      <c r="J130" s="388">
        <f t="shared" ref="J130" si="157">SUM(J121:J129)</f>
        <v>151919572</v>
      </c>
      <c r="K130" s="204"/>
      <c r="L130" s="533">
        <f t="shared" si="148"/>
        <v>0.49902850167599933</v>
      </c>
      <c r="M130" s="533">
        <f t="shared" si="149"/>
        <v>0.73430995330452808</v>
      </c>
      <c r="N130" s="534">
        <f t="shared" si="150"/>
        <v>0.9811834169718342</v>
      </c>
      <c r="O130" s="204"/>
      <c r="P130" s="426">
        <f t="shared" ref="P130" si="158">SUM(P121:P129)</f>
        <v>0</v>
      </c>
      <c r="Q130" s="387">
        <f t="shared" ref="Q130" si="159">SUM(Q121:Q129)</f>
        <v>0</v>
      </c>
      <c r="R130" s="387">
        <f t="shared" ref="R130" si="160">SUM(R121:R129)</f>
        <v>0</v>
      </c>
      <c r="S130" s="388">
        <f t="shared" ref="S130" si="161">SUM(S121:S129)</f>
        <v>0</v>
      </c>
      <c r="T130" s="548">
        <f t="shared" si="151"/>
        <v>0</v>
      </c>
    </row>
    <row r="131" spans="1:20" x14ac:dyDescent="0.25">
      <c r="A131" s="403"/>
      <c r="C131" s="403"/>
      <c r="F131" s="446"/>
      <c r="H131" s="403"/>
      <c r="J131" s="457"/>
      <c r="L131" s="531"/>
      <c r="M131" s="531"/>
      <c r="N131" s="532"/>
      <c r="P131" s="403"/>
      <c r="T131" s="547"/>
    </row>
    <row r="132" spans="1:20" x14ac:dyDescent="0.25">
      <c r="A132" s="400" t="str">
        <f t="shared" ref="A132:B138" si="162">+A105</f>
        <v>B1</v>
      </c>
      <c r="B132" s="56" t="str">
        <f t="shared" si="162"/>
        <v>Működési célú tám-ok államháztartáson belülről</v>
      </c>
      <c r="C132" s="424">
        <f>+'7. Polg.Hiv.'!C93</f>
        <v>0</v>
      </c>
      <c r="D132" s="73">
        <f>+'7. Polg.Hiv.'!D93</f>
        <v>0</v>
      </c>
      <c r="E132" s="73">
        <f>+'7. Polg.Hiv.'!E93</f>
        <v>0</v>
      </c>
      <c r="F132" s="435">
        <f>+'7. Polg.Hiv.'!F93</f>
        <v>0</v>
      </c>
      <c r="G132" s="73"/>
      <c r="H132" s="424">
        <f>+'7. Polg.Hiv.'!H93</f>
        <v>0</v>
      </c>
      <c r="I132" s="73">
        <f>+'7. Polg.Hiv.'!I93</f>
        <v>0</v>
      </c>
      <c r="J132" s="459">
        <f>+'7. Polg.Hiv.'!J93</f>
        <v>0</v>
      </c>
      <c r="K132" s="73"/>
      <c r="L132" s="531">
        <f t="shared" ref="L132:L141" si="163">IF(D132=0,0,H132/D132)</f>
        <v>0</v>
      </c>
      <c r="M132" s="531">
        <f t="shared" ref="M132:M141" si="164">IF(E132=0,0,I132/E132)</f>
        <v>0</v>
      </c>
      <c r="N132" s="532">
        <f t="shared" ref="N132:N141" si="165">IF(F132=0,0,J132/F132)</f>
        <v>0</v>
      </c>
      <c r="O132" s="73"/>
      <c r="P132" s="424">
        <f>+'7. Polg.Hiv.'!P93</f>
        <v>0</v>
      </c>
      <c r="Q132" s="73">
        <f>+'7. Polg.Hiv.'!Q93</f>
        <v>0</v>
      </c>
      <c r="R132" s="73">
        <f>+'7. Polg.Hiv.'!R93</f>
        <v>0</v>
      </c>
      <c r="S132" s="73">
        <f>+'7. Polg.Hiv.'!S93</f>
        <v>0</v>
      </c>
      <c r="T132" s="547">
        <f t="shared" si="151"/>
        <v>0</v>
      </c>
    </row>
    <row r="133" spans="1:20" x14ac:dyDescent="0.25">
      <c r="A133" s="400" t="str">
        <f t="shared" si="162"/>
        <v>B2</v>
      </c>
      <c r="B133" s="56" t="str">
        <f t="shared" si="162"/>
        <v>Felhalmozási célú tám-ok államházt-on belülről</v>
      </c>
      <c r="C133" s="424"/>
      <c r="D133" s="73"/>
      <c r="E133" s="73"/>
      <c r="F133" s="435"/>
      <c r="G133" s="73"/>
      <c r="H133" s="424"/>
      <c r="I133" s="73"/>
      <c r="J133" s="459"/>
      <c r="K133" s="73"/>
      <c r="L133" s="531">
        <f t="shared" si="163"/>
        <v>0</v>
      </c>
      <c r="M133" s="531">
        <f t="shared" si="164"/>
        <v>0</v>
      </c>
      <c r="N133" s="532">
        <f t="shared" si="165"/>
        <v>0</v>
      </c>
      <c r="O133" s="73"/>
      <c r="P133" s="424"/>
      <c r="Q133" s="73"/>
      <c r="R133" s="73"/>
      <c r="S133" s="73"/>
      <c r="T133" s="547">
        <f t="shared" si="151"/>
        <v>0</v>
      </c>
    </row>
    <row r="134" spans="1:20" x14ac:dyDescent="0.25">
      <c r="A134" s="400" t="str">
        <f t="shared" si="162"/>
        <v>B3</v>
      </c>
      <c r="B134" s="56" t="str">
        <f t="shared" si="162"/>
        <v>Közhatalmi bevételek</v>
      </c>
      <c r="C134" s="424"/>
      <c r="D134" s="73"/>
      <c r="E134" s="73"/>
      <c r="F134" s="435"/>
      <c r="G134" s="73"/>
      <c r="H134" s="424"/>
      <c r="I134" s="73"/>
      <c r="J134" s="459"/>
      <c r="K134" s="73"/>
      <c r="L134" s="531">
        <f t="shared" si="163"/>
        <v>0</v>
      </c>
      <c r="M134" s="531">
        <f t="shared" si="164"/>
        <v>0</v>
      </c>
      <c r="N134" s="532">
        <f t="shared" si="165"/>
        <v>0</v>
      </c>
      <c r="O134" s="73"/>
      <c r="P134" s="424"/>
      <c r="Q134" s="73"/>
      <c r="R134" s="73"/>
      <c r="S134" s="73"/>
      <c r="T134" s="547">
        <f t="shared" si="151"/>
        <v>0</v>
      </c>
    </row>
    <row r="135" spans="1:20" x14ac:dyDescent="0.25">
      <c r="A135" s="400" t="str">
        <f t="shared" si="162"/>
        <v>B4</v>
      </c>
      <c r="B135" s="56" t="str">
        <f t="shared" si="162"/>
        <v>Működési bevételek</v>
      </c>
      <c r="C135" s="424">
        <f>+'7. Polg.Hiv.'!C95</f>
        <v>10000</v>
      </c>
      <c r="D135" s="73">
        <f>+'7. Polg.Hiv.'!D95</f>
        <v>10000</v>
      </c>
      <c r="E135" s="73">
        <f>+'7. Polg.Hiv.'!E95</f>
        <v>10000</v>
      </c>
      <c r="F135" s="435">
        <f>+'7. Polg.Hiv.'!F95</f>
        <v>10000</v>
      </c>
      <c r="G135" s="73"/>
      <c r="H135" s="424">
        <f>+'7. Polg.Hiv.'!H95</f>
        <v>1038</v>
      </c>
      <c r="I135" s="73">
        <f>+'7. Polg.Hiv.'!I95</f>
        <v>953352</v>
      </c>
      <c r="J135" s="459">
        <f>+'7. Polg.Hiv.'!J95</f>
        <v>2927</v>
      </c>
      <c r="K135" s="73"/>
      <c r="L135" s="531">
        <f t="shared" si="163"/>
        <v>0.1038</v>
      </c>
      <c r="M135" s="531">
        <f t="shared" si="164"/>
        <v>95.3352</v>
      </c>
      <c r="N135" s="532">
        <f t="shared" si="165"/>
        <v>0.29270000000000002</v>
      </c>
      <c r="O135" s="73"/>
      <c r="P135" s="424">
        <f>+'7. Polg.Hiv.'!P95</f>
        <v>0</v>
      </c>
      <c r="Q135" s="73">
        <f>+'7. Polg.Hiv.'!Q95</f>
        <v>0</v>
      </c>
      <c r="R135" s="73">
        <f>+'7. Polg.Hiv.'!R95</f>
        <v>0</v>
      </c>
      <c r="S135" s="73">
        <f>+'7. Polg.Hiv.'!S95</f>
        <v>0</v>
      </c>
      <c r="T135" s="547">
        <f t="shared" si="151"/>
        <v>0</v>
      </c>
    </row>
    <row r="136" spans="1:20" x14ac:dyDescent="0.25">
      <c r="A136" s="400" t="str">
        <f t="shared" si="162"/>
        <v>B5</v>
      </c>
      <c r="B136" s="56" t="str">
        <f t="shared" si="162"/>
        <v>Felhalmozási bevételek</v>
      </c>
      <c r="C136" s="424"/>
      <c r="D136" s="73"/>
      <c r="E136" s="73"/>
      <c r="F136" s="435"/>
      <c r="G136" s="73"/>
      <c r="H136" s="424"/>
      <c r="I136" s="73"/>
      <c r="J136" s="459"/>
      <c r="K136" s="73"/>
      <c r="L136" s="531">
        <f t="shared" si="163"/>
        <v>0</v>
      </c>
      <c r="M136" s="531">
        <f t="shared" si="164"/>
        <v>0</v>
      </c>
      <c r="N136" s="532">
        <f t="shared" si="165"/>
        <v>0</v>
      </c>
      <c r="O136" s="73"/>
      <c r="P136" s="424"/>
      <c r="Q136" s="73"/>
      <c r="R136" s="73"/>
      <c r="S136" s="73"/>
      <c r="T136" s="547">
        <f t="shared" si="151"/>
        <v>0</v>
      </c>
    </row>
    <row r="137" spans="1:20" x14ac:dyDescent="0.25">
      <c r="A137" s="400" t="str">
        <f t="shared" si="162"/>
        <v>B6</v>
      </c>
      <c r="B137" s="56" t="str">
        <f t="shared" si="162"/>
        <v>Működési célú átvett pénzeszközök</v>
      </c>
      <c r="C137" s="424"/>
      <c r="D137" s="73"/>
      <c r="E137" s="73"/>
      <c r="F137" s="435"/>
      <c r="G137" s="73"/>
      <c r="H137" s="424"/>
      <c r="I137" s="73"/>
      <c r="J137" s="459"/>
      <c r="K137" s="73"/>
      <c r="L137" s="531">
        <f t="shared" si="163"/>
        <v>0</v>
      </c>
      <c r="M137" s="531">
        <f t="shared" si="164"/>
        <v>0</v>
      </c>
      <c r="N137" s="532">
        <f t="shared" si="165"/>
        <v>0</v>
      </c>
      <c r="O137" s="73"/>
      <c r="P137" s="424"/>
      <c r="Q137" s="73"/>
      <c r="R137" s="73"/>
      <c r="S137" s="73"/>
      <c r="T137" s="547">
        <f t="shared" si="151"/>
        <v>0</v>
      </c>
    </row>
    <row r="138" spans="1:20" x14ac:dyDescent="0.25">
      <c r="A138" s="400" t="str">
        <f t="shared" si="162"/>
        <v>B7</v>
      </c>
      <c r="B138" s="56" t="str">
        <f t="shared" si="162"/>
        <v>Felhalmozási célú átvett pénzeszközök</v>
      </c>
      <c r="C138" s="424"/>
      <c r="D138" s="73"/>
      <c r="E138" s="73"/>
      <c r="F138" s="435"/>
      <c r="G138" s="73"/>
      <c r="H138" s="424"/>
      <c r="I138" s="73"/>
      <c r="J138" s="459"/>
      <c r="K138" s="73"/>
      <c r="L138" s="531">
        <f t="shared" si="163"/>
        <v>0</v>
      </c>
      <c r="M138" s="531">
        <f t="shared" si="164"/>
        <v>0</v>
      </c>
      <c r="N138" s="532">
        <f t="shared" si="165"/>
        <v>0</v>
      </c>
      <c r="O138" s="73"/>
      <c r="P138" s="424"/>
      <c r="Q138" s="73"/>
      <c r="R138" s="73"/>
      <c r="S138" s="73"/>
      <c r="T138" s="547">
        <f t="shared" si="151"/>
        <v>0</v>
      </c>
    </row>
    <row r="139" spans="1:20" x14ac:dyDescent="0.25">
      <c r="A139" s="400" t="str">
        <f>+A112</f>
        <v>B8-ból maradványértéken túli finanszírozási bevételek</v>
      </c>
      <c r="B139" s="56"/>
      <c r="C139" s="424">
        <f>+'7. Polg.Hiv.'!C101-C140</f>
        <v>154823000</v>
      </c>
      <c r="D139" s="73">
        <f>+'7. Polg.Hiv.'!D101-D140</f>
        <v>154823000</v>
      </c>
      <c r="E139" s="73">
        <f>+'7. Polg.Hiv.'!E101-E140</f>
        <v>154823000</v>
      </c>
      <c r="F139" s="435">
        <f>+'7. Polg.Hiv.'!F101-F140</f>
        <v>154823000</v>
      </c>
      <c r="G139" s="73"/>
      <c r="H139" s="424">
        <f>+'7. Polg.Hiv.'!H101-H140</f>
        <v>79130219</v>
      </c>
      <c r="I139" s="73">
        <f>+'7. Polg.Hiv.'!I101-I140</f>
        <v>115156375</v>
      </c>
      <c r="J139" s="459">
        <f>+'7. Polg.Hiv.'!J101-J140</f>
        <v>152412069</v>
      </c>
      <c r="K139" s="73"/>
      <c r="L139" s="531">
        <f t="shared" si="163"/>
        <v>0.51110118651621528</v>
      </c>
      <c r="M139" s="531">
        <f t="shared" si="164"/>
        <v>0.74379371927943527</v>
      </c>
      <c r="N139" s="532">
        <f t="shared" si="165"/>
        <v>0.98442782403131313</v>
      </c>
      <c r="O139" s="73"/>
      <c r="P139" s="424">
        <f>+'7. Polg.Hiv.'!P101-P140</f>
        <v>0</v>
      </c>
      <c r="Q139" s="73">
        <f>+'7. Polg.Hiv.'!Q101-Q140</f>
        <v>0</v>
      </c>
      <c r="R139" s="73">
        <f>+'7. Polg.Hiv.'!R101-R140</f>
        <v>0</v>
      </c>
      <c r="S139" s="73">
        <f>+'7. Polg.Hiv.'!S101-S140</f>
        <v>0</v>
      </c>
      <c r="T139" s="547">
        <f t="shared" si="151"/>
        <v>0</v>
      </c>
    </row>
    <row r="140" spans="1:20" x14ac:dyDescent="0.25">
      <c r="A140" s="400" t="str">
        <f>+A113</f>
        <v>B8-ból előző évi mardvány igénybevétele</v>
      </c>
      <c r="B140" s="56"/>
      <c r="C140" s="424">
        <f>+'7. Polg.Hiv.'!C103</f>
        <v>0</v>
      </c>
      <c r="D140" s="73">
        <f>+'7. Polg.Hiv.'!D103</f>
        <v>0</v>
      </c>
      <c r="E140" s="73">
        <f>+'7. Polg.Hiv.'!E103</f>
        <v>0</v>
      </c>
      <c r="F140" s="435">
        <f>+'7. Polg.Hiv.'!F103</f>
        <v>0</v>
      </c>
      <c r="G140" s="73"/>
      <c r="H140" s="424">
        <f>+'7. Polg.Hiv.'!H103</f>
        <v>0</v>
      </c>
      <c r="I140" s="73">
        <f>+'7. Polg.Hiv.'!I103</f>
        <v>0</v>
      </c>
      <c r="J140" s="459">
        <f>+'7. Polg.Hiv.'!J103</f>
        <v>0</v>
      </c>
      <c r="K140" s="73"/>
      <c r="L140" s="531">
        <f t="shared" si="163"/>
        <v>0</v>
      </c>
      <c r="M140" s="531">
        <f t="shared" si="164"/>
        <v>0</v>
      </c>
      <c r="N140" s="532">
        <f t="shared" si="165"/>
        <v>0</v>
      </c>
      <c r="O140" s="73"/>
      <c r="P140" s="424">
        <f>+'7. Polg.Hiv.'!P103</f>
        <v>0</v>
      </c>
      <c r="Q140" s="73">
        <f>+'7. Polg.Hiv.'!Q103</f>
        <v>0</v>
      </c>
      <c r="R140" s="73">
        <f>+'7. Polg.Hiv.'!R103</f>
        <v>0</v>
      </c>
      <c r="S140" s="73">
        <f>+'7. Polg.Hiv.'!S103</f>
        <v>0</v>
      </c>
      <c r="T140" s="547">
        <f t="shared" si="151"/>
        <v>0</v>
      </c>
    </row>
    <row r="141" spans="1:20" x14ac:dyDescent="0.25">
      <c r="A141" s="404"/>
      <c r="B141" s="386" t="s">
        <v>370</v>
      </c>
      <c r="C141" s="426">
        <f>SUM(C132:C140)</f>
        <v>154833000</v>
      </c>
      <c r="D141" s="387">
        <f t="shared" ref="D141" si="166">SUM(D132:D140)</f>
        <v>154833000</v>
      </c>
      <c r="E141" s="387">
        <f t="shared" ref="E141" si="167">SUM(E132:E140)</f>
        <v>154833000</v>
      </c>
      <c r="F141" s="443">
        <f t="shared" ref="F141" si="168">SUM(F132:F140)</f>
        <v>154833000</v>
      </c>
      <c r="G141" s="387"/>
      <c r="H141" s="426">
        <f t="shared" ref="H141" si="169">SUM(H132:H140)</f>
        <v>79131257</v>
      </c>
      <c r="I141" s="387">
        <f t="shared" ref="I141" si="170">SUM(I132:I140)</f>
        <v>116109727</v>
      </c>
      <c r="J141" s="388">
        <f t="shared" ref="J141" si="171">SUM(J132:J140)</f>
        <v>152414996</v>
      </c>
      <c r="K141" s="389"/>
      <c r="L141" s="535">
        <f t="shared" si="163"/>
        <v>0.51107488067789164</v>
      </c>
      <c r="M141" s="535">
        <f t="shared" si="164"/>
        <v>0.74990297288045826</v>
      </c>
      <c r="N141" s="536">
        <f t="shared" si="165"/>
        <v>0.98438314829526008</v>
      </c>
      <c r="O141" s="389"/>
      <c r="P141" s="426">
        <f t="shared" ref="P141" si="172">SUM(P132:P140)</f>
        <v>0</v>
      </c>
      <c r="Q141" s="387">
        <f t="shared" ref="Q141" si="173">SUM(Q132:Q140)</f>
        <v>0</v>
      </c>
      <c r="R141" s="387">
        <f t="shared" ref="R141" si="174">SUM(R132:R140)</f>
        <v>0</v>
      </c>
      <c r="S141" s="388">
        <f t="shared" ref="S141" si="175">SUM(S132:S140)</f>
        <v>0</v>
      </c>
      <c r="T141" s="548">
        <f t="shared" si="151"/>
        <v>0</v>
      </c>
    </row>
    <row r="142" spans="1:20" x14ac:dyDescent="0.25">
      <c r="A142" s="403"/>
      <c r="B142" s="73"/>
      <c r="C142" s="424"/>
      <c r="D142" s="73"/>
      <c r="E142" s="73"/>
      <c r="F142" s="435"/>
      <c r="G142" s="73"/>
      <c r="H142" s="424"/>
      <c r="I142" s="73"/>
      <c r="J142" s="459"/>
      <c r="K142" s="73"/>
      <c r="L142" s="531"/>
      <c r="M142" s="531"/>
      <c r="N142" s="532"/>
      <c r="O142" s="73"/>
      <c r="P142" s="424"/>
      <c r="Q142" s="73"/>
      <c r="R142" s="73"/>
      <c r="S142" s="73"/>
      <c r="T142" s="549"/>
    </row>
    <row r="143" spans="1:20" ht="13.8" thickBot="1" x14ac:dyDescent="0.3">
      <c r="A143" s="406"/>
      <c r="B143" s="407" t="s">
        <v>449</v>
      </c>
      <c r="C143" s="428">
        <f>+C141-C130</f>
        <v>0</v>
      </c>
      <c r="D143" s="408">
        <f>+D141-D130</f>
        <v>0</v>
      </c>
      <c r="E143" s="408">
        <f>+E141-E130</f>
        <v>0</v>
      </c>
      <c r="F143" s="445">
        <f>+F141-F130</f>
        <v>0</v>
      </c>
      <c r="G143" s="408"/>
      <c r="H143" s="428">
        <f>+H141-H130</f>
        <v>1865177</v>
      </c>
      <c r="I143" s="408">
        <f>+I141-I130</f>
        <v>2414314</v>
      </c>
      <c r="J143" s="410">
        <f>+J141-J130</f>
        <v>495424</v>
      </c>
      <c r="K143" s="409"/>
      <c r="L143" s="537">
        <f t="shared" ref="L143" si="176">IF(D143=0,0,H143/D143)</f>
        <v>0</v>
      </c>
      <c r="M143" s="537">
        <f t="shared" ref="M143" si="177">IF(E143=0,0,I143/E143)</f>
        <v>0</v>
      </c>
      <c r="N143" s="538">
        <f t="shared" ref="N143" si="178">IF(F143=0,0,J143/F143)</f>
        <v>0</v>
      </c>
      <c r="O143" s="409"/>
      <c r="P143" s="428">
        <f>+P141-P130</f>
        <v>0</v>
      </c>
      <c r="Q143" s="408">
        <f>+Q141-Q130</f>
        <v>0</v>
      </c>
      <c r="R143" s="408">
        <f>+R141-R130</f>
        <v>0</v>
      </c>
      <c r="S143" s="410">
        <f>+S141-S130</f>
        <v>0</v>
      </c>
      <c r="T143" s="550"/>
    </row>
    <row r="144" spans="1:20" x14ac:dyDescent="0.25">
      <c r="A144" s="56"/>
      <c r="B144" s="56"/>
      <c r="C144" s="424"/>
      <c r="D144" s="73"/>
      <c r="E144" s="73"/>
      <c r="F144" s="435"/>
      <c r="G144" s="73"/>
      <c r="H144" s="424"/>
      <c r="I144" s="73"/>
      <c r="J144" s="459"/>
      <c r="K144" s="73"/>
      <c r="L144" s="531"/>
      <c r="M144" s="531"/>
      <c r="N144" s="532"/>
      <c r="O144" s="73"/>
      <c r="P144" s="424"/>
      <c r="Q144" s="73"/>
      <c r="R144" s="73"/>
      <c r="S144" s="73"/>
      <c r="T144" s="549"/>
    </row>
    <row r="145" spans="1:20" ht="13.8" thickBot="1" x14ac:dyDescent="0.3">
      <c r="A145" s="56"/>
      <c r="B145" s="56"/>
      <c r="C145" s="424"/>
      <c r="D145" s="73"/>
      <c r="E145" s="73"/>
      <c r="F145" s="435"/>
      <c r="G145" s="73"/>
      <c r="H145" s="424"/>
      <c r="I145" s="73"/>
      <c r="J145" s="459"/>
      <c r="K145" s="73"/>
      <c r="L145" s="531"/>
      <c r="M145" s="531"/>
      <c r="N145" s="532"/>
      <c r="O145" s="73"/>
      <c r="P145" s="424"/>
      <c r="Q145" s="73"/>
      <c r="R145" s="73"/>
      <c r="S145" s="73"/>
      <c r="T145" s="549"/>
    </row>
    <row r="146" spans="1:20" ht="18" thickBot="1" x14ac:dyDescent="0.35">
      <c r="A146" s="413" t="s">
        <v>445</v>
      </c>
      <c r="B146" s="450"/>
      <c r="C146" s="424"/>
      <c r="D146" s="73"/>
      <c r="E146" s="73"/>
      <c r="F146" s="435"/>
      <c r="G146" s="73"/>
      <c r="H146" s="424"/>
      <c r="I146" s="73"/>
      <c r="J146" s="459"/>
      <c r="K146" s="73"/>
      <c r="L146" s="531"/>
      <c r="M146" s="531"/>
      <c r="N146" s="532"/>
      <c r="O146" s="73"/>
      <c r="P146" s="424"/>
      <c r="Q146" s="73"/>
      <c r="R146" s="73"/>
      <c r="S146" s="73"/>
      <c r="T146" s="549"/>
    </row>
    <row r="147" spans="1:20" x14ac:dyDescent="0.25">
      <c r="A147" s="451"/>
      <c r="B147" s="414"/>
      <c r="C147" s="425"/>
      <c r="D147" s="416"/>
      <c r="E147" s="416"/>
      <c r="F147" s="415"/>
      <c r="G147" s="416"/>
      <c r="H147" s="425"/>
      <c r="I147" s="416"/>
      <c r="J147" s="461"/>
      <c r="K147" s="416"/>
      <c r="L147" s="539"/>
      <c r="M147" s="539"/>
      <c r="N147" s="540"/>
      <c r="O147" s="416"/>
      <c r="P147" s="425"/>
      <c r="Q147" s="416"/>
      <c r="R147" s="416"/>
      <c r="S147" s="416"/>
      <c r="T147" s="551"/>
    </row>
    <row r="148" spans="1:20" x14ac:dyDescent="0.25">
      <c r="A148" s="452" t="s">
        <v>0</v>
      </c>
      <c r="B148" s="56" t="str">
        <f t="shared" ref="B148:B156" si="179">+B121</f>
        <v>Személyi juttatások</v>
      </c>
      <c r="C148" s="424">
        <f>+'8. WAMKK'!C13</f>
        <v>17395000</v>
      </c>
      <c r="D148" s="73">
        <f>+'8. WAMKK'!D13</f>
        <v>17395000</v>
      </c>
      <c r="E148" s="73">
        <f>+'8. WAMKK'!E13</f>
        <v>17463610</v>
      </c>
      <c r="F148" s="435">
        <f>+'8. WAMKK'!F13</f>
        <v>17463610</v>
      </c>
      <c r="G148" s="73"/>
      <c r="H148" s="424">
        <f>+'8. WAMKK'!H13</f>
        <v>8277795</v>
      </c>
      <c r="I148" s="73">
        <f>+'8. WAMKK'!I13</f>
        <v>12661664</v>
      </c>
      <c r="J148" s="459">
        <f>+'8. WAMKK'!J13</f>
        <v>16890474</v>
      </c>
      <c r="K148" s="73"/>
      <c r="L148" s="531">
        <f t="shared" ref="L148:L157" si="180">IF(D148=0,0,H148/D148)</f>
        <v>0.4758720896809428</v>
      </c>
      <c r="M148" s="531">
        <f t="shared" ref="M148:M157" si="181">IF(E148=0,0,I148/E148)</f>
        <v>0.72503130795980897</v>
      </c>
      <c r="N148" s="532">
        <f t="shared" ref="N148:N157" si="182">IF(F148=0,0,J148/F148)</f>
        <v>0.96718112692621971</v>
      </c>
      <c r="O148" s="73"/>
      <c r="P148" s="424">
        <f>+'8. WAMKK'!P13</f>
        <v>0</v>
      </c>
      <c r="Q148" s="73">
        <f>+'8. WAMKK'!Q13</f>
        <v>68610</v>
      </c>
      <c r="R148" s="73">
        <f>+'8. WAMKK'!R13</f>
        <v>0</v>
      </c>
      <c r="S148" s="73">
        <f>+'8. WAMKK'!S13</f>
        <v>68610</v>
      </c>
      <c r="T148" s="547">
        <f>IF(S148=0,0,S148/C148)</f>
        <v>3.9442368496694453E-3</v>
      </c>
    </row>
    <row r="149" spans="1:20" x14ac:dyDescent="0.25">
      <c r="A149" s="452" t="s">
        <v>24</v>
      </c>
      <c r="B149" s="56" t="str">
        <f t="shared" si="179"/>
        <v>Munkaadót terhelő járulékok és szociális hozzájárulás</v>
      </c>
      <c r="C149" s="424">
        <f>+'8. WAMKK'!C29</f>
        <v>2700000</v>
      </c>
      <c r="D149" s="73">
        <f>+'8. WAMKK'!D29</f>
        <v>2700000</v>
      </c>
      <c r="E149" s="73">
        <f>+'8. WAMKK'!E29</f>
        <v>2700000</v>
      </c>
      <c r="F149" s="435">
        <f>+'8. WAMKK'!F29</f>
        <v>2700000</v>
      </c>
      <c r="G149" s="73"/>
      <c r="H149" s="424">
        <f>+'8. WAMKK'!H29</f>
        <v>1337882</v>
      </c>
      <c r="I149" s="73">
        <f>+'8. WAMKK'!I29</f>
        <v>2009235</v>
      </c>
      <c r="J149" s="459">
        <f>+'8. WAMKK'!J29</f>
        <v>2619895</v>
      </c>
      <c r="K149" s="73"/>
      <c r="L149" s="531">
        <f t="shared" si="180"/>
        <v>0.49551185185185187</v>
      </c>
      <c r="M149" s="531">
        <f t="shared" si="181"/>
        <v>0.74416111111111116</v>
      </c>
      <c r="N149" s="532">
        <f t="shared" si="182"/>
        <v>0.97033148148148152</v>
      </c>
      <c r="O149" s="73"/>
      <c r="P149" s="424">
        <f>+'8. WAMKK'!P29</f>
        <v>0</v>
      </c>
      <c r="Q149" s="73">
        <f>+'8. WAMKK'!Q29</f>
        <v>0</v>
      </c>
      <c r="R149" s="73">
        <f>+'8. WAMKK'!R29</f>
        <v>0</v>
      </c>
      <c r="S149" s="73">
        <f>+'8. WAMKK'!S29</f>
        <v>0</v>
      </c>
      <c r="T149" s="547">
        <f t="shared" ref="T149:T168" si="183">IF(S149=0,0,S149/C149)</f>
        <v>0</v>
      </c>
    </row>
    <row r="150" spans="1:20" x14ac:dyDescent="0.25">
      <c r="A150" s="452" t="s">
        <v>27</v>
      </c>
      <c r="B150" s="56" t="str">
        <f t="shared" si="179"/>
        <v>Dologi kiadások</v>
      </c>
      <c r="C150" s="424">
        <f>+'8. WAMKK'!C32</f>
        <v>10128000</v>
      </c>
      <c r="D150" s="73">
        <f>+'8. WAMKK'!D32</f>
        <v>10128000</v>
      </c>
      <c r="E150" s="73">
        <f>+'8. WAMKK'!E32</f>
        <v>10830890</v>
      </c>
      <c r="F150" s="435">
        <f>+'8. WAMKK'!F32</f>
        <v>15093404</v>
      </c>
      <c r="G150" s="73"/>
      <c r="H150" s="424">
        <f>+'8. WAMKK'!H32</f>
        <v>2483295</v>
      </c>
      <c r="I150" s="73">
        <f>+'8. WAMKK'!I32</f>
        <v>7341303</v>
      </c>
      <c r="J150" s="459">
        <f>+'8. WAMKK'!J32</f>
        <v>13943046</v>
      </c>
      <c r="K150" s="73"/>
      <c r="L150" s="531">
        <f t="shared" si="180"/>
        <v>0.24519105450236967</v>
      </c>
      <c r="M150" s="531">
        <f t="shared" si="181"/>
        <v>0.67781161104950749</v>
      </c>
      <c r="N150" s="532">
        <f t="shared" si="182"/>
        <v>0.92378405825485088</v>
      </c>
      <c r="O150" s="73"/>
      <c r="P150" s="424">
        <f>+'8. WAMKK'!P32</f>
        <v>0</v>
      </c>
      <c r="Q150" s="73">
        <f>+'8. WAMKK'!Q32</f>
        <v>702890</v>
      </c>
      <c r="R150" s="73">
        <f>+'8. WAMKK'!R32</f>
        <v>0</v>
      </c>
      <c r="S150" s="73">
        <f>+'8. WAMKK'!S32</f>
        <v>702890</v>
      </c>
      <c r="T150" s="547">
        <f t="shared" si="183"/>
        <v>6.9400671406003159E-2</v>
      </c>
    </row>
    <row r="151" spans="1:20" x14ac:dyDescent="0.25">
      <c r="A151" s="452" t="s">
        <v>107</v>
      </c>
      <c r="B151" s="56" t="str">
        <f t="shared" si="179"/>
        <v>Elláttotak pénzbeli juttatásai</v>
      </c>
      <c r="C151" s="424"/>
      <c r="D151" s="73"/>
      <c r="E151" s="73"/>
      <c r="F151" s="435"/>
      <c r="G151" s="73"/>
      <c r="H151" s="424"/>
      <c r="I151" s="73"/>
      <c r="J151" s="459"/>
      <c r="K151" s="73"/>
      <c r="L151" s="531">
        <f t="shared" si="180"/>
        <v>0</v>
      </c>
      <c r="M151" s="531">
        <f t="shared" si="181"/>
        <v>0</v>
      </c>
      <c r="N151" s="532">
        <f t="shared" si="182"/>
        <v>0</v>
      </c>
      <c r="O151" s="73"/>
      <c r="P151" s="424"/>
      <c r="Q151" s="73"/>
      <c r="R151" s="73"/>
      <c r="S151" s="73"/>
      <c r="T151" s="547">
        <f t="shared" si="183"/>
        <v>0</v>
      </c>
    </row>
    <row r="152" spans="1:20" x14ac:dyDescent="0.25">
      <c r="A152" s="453" t="s">
        <v>369</v>
      </c>
      <c r="B152" s="56" t="str">
        <f t="shared" si="179"/>
        <v>Egyéb működési célú kiadások</v>
      </c>
      <c r="C152" s="424"/>
      <c r="D152" s="73"/>
      <c r="E152" s="73"/>
      <c r="F152" s="435"/>
      <c r="G152" s="73"/>
      <c r="H152" s="424"/>
      <c r="I152" s="73"/>
      <c r="J152" s="459"/>
      <c r="K152" s="73"/>
      <c r="L152" s="531">
        <f t="shared" si="180"/>
        <v>0</v>
      </c>
      <c r="M152" s="531">
        <f t="shared" si="181"/>
        <v>0</v>
      </c>
      <c r="N152" s="532">
        <f t="shared" si="182"/>
        <v>0</v>
      </c>
      <c r="O152" s="73"/>
      <c r="P152" s="424"/>
      <c r="Q152" s="73"/>
      <c r="R152" s="73"/>
      <c r="S152" s="73"/>
      <c r="T152" s="547">
        <f t="shared" si="183"/>
        <v>0</v>
      </c>
    </row>
    <row r="153" spans="1:20" x14ac:dyDescent="0.25">
      <c r="A153" s="452" t="s">
        <v>154</v>
      </c>
      <c r="B153" s="56" t="str">
        <f t="shared" si="179"/>
        <v>Beruházások</v>
      </c>
      <c r="C153" s="424">
        <f>+'8. WAMKK'!C83</f>
        <v>150000</v>
      </c>
      <c r="D153" s="73">
        <f>+'8. WAMKK'!D83</f>
        <v>150000</v>
      </c>
      <c r="E153" s="73">
        <f>+'8. WAMKK'!E83</f>
        <v>578500</v>
      </c>
      <c r="F153" s="435">
        <f>+'8. WAMKK'!F83</f>
        <v>592500</v>
      </c>
      <c r="G153" s="73"/>
      <c r="H153" s="424">
        <f>+'8. WAMKK'!H83</f>
        <v>25870</v>
      </c>
      <c r="I153" s="73">
        <f>+'8. WAMKK'!I83</f>
        <v>25870</v>
      </c>
      <c r="J153" s="459">
        <f>+'8. WAMKK'!J83</f>
        <v>582881</v>
      </c>
      <c r="K153" s="73"/>
      <c r="L153" s="531">
        <f t="shared" si="180"/>
        <v>0.17246666666666666</v>
      </c>
      <c r="M153" s="531">
        <f t="shared" si="181"/>
        <v>4.4719101123595506E-2</v>
      </c>
      <c r="N153" s="532">
        <f t="shared" si="182"/>
        <v>0.98376540084388187</v>
      </c>
      <c r="O153" s="73"/>
      <c r="P153" s="424">
        <f>+'8. WAMKK'!P83</f>
        <v>0</v>
      </c>
      <c r="Q153" s="73">
        <f>+'8. WAMKK'!Q83</f>
        <v>428500</v>
      </c>
      <c r="R153" s="73">
        <f>+'8. WAMKK'!R83</f>
        <v>0</v>
      </c>
      <c r="S153" s="73">
        <f>+'8. WAMKK'!S83</f>
        <v>428500</v>
      </c>
      <c r="T153" s="547">
        <f t="shared" si="183"/>
        <v>2.8566666666666665</v>
      </c>
    </row>
    <row r="154" spans="1:20" x14ac:dyDescent="0.25">
      <c r="A154" s="452" t="s">
        <v>169</v>
      </c>
      <c r="B154" s="56" t="str">
        <f t="shared" si="179"/>
        <v>Felújítások</v>
      </c>
      <c r="C154" s="424">
        <f>+'8. WAMKK'!C86</f>
        <v>0</v>
      </c>
      <c r="D154" s="73">
        <f>+'8. WAMKK'!D86</f>
        <v>0</v>
      </c>
      <c r="E154" s="73">
        <f>+'8. WAMKK'!E86</f>
        <v>0</v>
      </c>
      <c r="F154" s="435">
        <f>+'8. WAMKK'!F86</f>
        <v>0</v>
      </c>
      <c r="G154" s="73"/>
      <c r="H154" s="424">
        <f>+'8. WAMKK'!H86</f>
        <v>0</v>
      </c>
      <c r="I154" s="73">
        <f>+'8. WAMKK'!I86</f>
        <v>0</v>
      </c>
      <c r="J154" s="459">
        <f>+'8. WAMKK'!J86</f>
        <v>0</v>
      </c>
      <c r="K154" s="73"/>
      <c r="L154" s="531">
        <f t="shared" si="180"/>
        <v>0</v>
      </c>
      <c r="M154" s="531">
        <f t="shared" si="181"/>
        <v>0</v>
      </c>
      <c r="N154" s="532">
        <f t="shared" si="182"/>
        <v>0</v>
      </c>
      <c r="O154" s="73"/>
      <c r="P154" s="424">
        <f>+'8. WAMKK'!P86</f>
        <v>0</v>
      </c>
      <c r="Q154" s="73">
        <f>+'8. WAMKK'!Q86</f>
        <v>0</v>
      </c>
      <c r="R154" s="73">
        <f>+'8. WAMKK'!R86</f>
        <v>0</v>
      </c>
      <c r="S154" s="73">
        <f>+'8. WAMKK'!S86</f>
        <v>0</v>
      </c>
      <c r="T154" s="547">
        <f t="shared" si="183"/>
        <v>0</v>
      </c>
    </row>
    <row r="155" spans="1:20" x14ac:dyDescent="0.25">
      <c r="A155" s="452" t="s">
        <v>179</v>
      </c>
      <c r="B155" s="56" t="str">
        <f t="shared" si="179"/>
        <v>Szolgáltatások kiadásai</v>
      </c>
      <c r="C155" s="424"/>
      <c r="D155" s="73"/>
      <c r="E155" s="73"/>
      <c r="F155" s="435"/>
      <c r="G155" s="73"/>
      <c r="H155" s="424"/>
      <c r="I155" s="73"/>
      <c r="J155" s="459"/>
      <c r="K155" s="73"/>
      <c r="L155" s="531">
        <f t="shared" si="180"/>
        <v>0</v>
      </c>
      <c r="M155" s="531">
        <f t="shared" si="181"/>
        <v>0</v>
      </c>
      <c r="N155" s="532">
        <f t="shared" si="182"/>
        <v>0</v>
      </c>
      <c r="O155" s="73"/>
      <c r="P155" s="424"/>
      <c r="Q155" s="73"/>
      <c r="R155" s="73"/>
      <c r="S155" s="73"/>
      <c r="T155" s="547">
        <f t="shared" si="183"/>
        <v>0</v>
      </c>
    </row>
    <row r="156" spans="1:20" x14ac:dyDescent="0.25">
      <c r="A156" s="452" t="s">
        <v>197</v>
      </c>
      <c r="B156" s="56" t="str">
        <f t="shared" si="179"/>
        <v>Finanszírozási kiadások</v>
      </c>
      <c r="C156" s="424"/>
      <c r="D156" s="73"/>
      <c r="E156" s="73"/>
      <c r="F156" s="435"/>
      <c r="G156" s="73"/>
      <c r="H156" s="424"/>
      <c r="I156" s="73"/>
      <c r="J156" s="459"/>
      <c r="K156" s="73"/>
      <c r="L156" s="531">
        <f t="shared" si="180"/>
        <v>0</v>
      </c>
      <c r="M156" s="531">
        <f t="shared" si="181"/>
        <v>0</v>
      </c>
      <c r="N156" s="532">
        <f t="shared" si="182"/>
        <v>0</v>
      </c>
      <c r="O156" s="73"/>
      <c r="P156" s="424"/>
      <c r="Q156" s="73"/>
      <c r="R156" s="73"/>
      <c r="S156" s="73"/>
      <c r="T156" s="547">
        <f t="shared" si="183"/>
        <v>0</v>
      </c>
    </row>
    <row r="157" spans="1:20" x14ac:dyDescent="0.25">
      <c r="A157" s="454"/>
      <c r="B157" s="390" t="s">
        <v>371</v>
      </c>
      <c r="C157" s="429">
        <f>SUM(C148:C156)</f>
        <v>30373000</v>
      </c>
      <c r="D157" s="391">
        <f t="shared" ref="D157" si="184">SUM(D148:D156)</f>
        <v>30373000</v>
      </c>
      <c r="E157" s="391">
        <f t="shared" ref="E157" si="185">SUM(E148:E156)</f>
        <v>31573000</v>
      </c>
      <c r="F157" s="448">
        <f t="shared" ref="F157" si="186">SUM(F148:F156)</f>
        <v>35849514</v>
      </c>
      <c r="G157" s="391"/>
      <c r="H157" s="429">
        <f t="shared" ref="H157" si="187">SUM(H148:H156)</f>
        <v>12124842</v>
      </c>
      <c r="I157" s="391">
        <f t="shared" ref="I157" si="188">SUM(I148:I156)</f>
        <v>22038072</v>
      </c>
      <c r="J157" s="393">
        <f t="shared" ref="J157" si="189">SUM(J148:J156)</f>
        <v>34036296</v>
      </c>
      <c r="K157" s="394"/>
      <c r="L157" s="541">
        <f t="shared" si="180"/>
        <v>0.39919803773087942</v>
      </c>
      <c r="M157" s="541">
        <f t="shared" si="181"/>
        <v>0.69800373737053811</v>
      </c>
      <c r="N157" s="542">
        <f t="shared" si="182"/>
        <v>0.94942140638224548</v>
      </c>
      <c r="O157" s="394"/>
      <c r="P157" s="429">
        <f t="shared" ref="P157" si="190">SUM(P148:P156)</f>
        <v>0</v>
      </c>
      <c r="Q157" s="391">
        <f t="shared" ref="Q157" si="191">SUM(Q148:Q156)</f>
        <v>1200000</v>
      </c>
      <c r="R157" s="391">
        <f t="shared" ref="R157" si="192">SUM(R148:R156)</f>
        <v>0</v>
      </c>
      <c r="S157" s="393">
        <f t="shared" ref="S157" si="193">SUM(S148:S156)</f>
        <v>1200000</v>
      </c>
      <c r="T157" s="548">
        <f t="shared" si="183"/>
        <v>3.9508774240279196E-2</v>
      </c>
    </row>
    <row r="158" spans="1:20" x14ac:dyDescent="0.25">
      <c r="A158" s="403"/>
      <c r="C158" s="403"/>
      <c r="F158" s="446"/>
      <c r="H158" s="403"/>
      <c r="J158" s="457"/>
      <c r="L158" s="531"/>
      <c r="M158" s="531"/>
      <c r="N158" s="532"/>
      <c r="P158" s="403"/>
      <c r="T158" s="547"/>
    </row>
    <row r="159" spans="1:20" x14ac:dyDescent="0.25">
      <c r="A159" s="400" t="str">
        <f t="shared" ref="A159:B165" si="194">+A132</f>
        <v>B1</v>
      </c>
      <c r="B159" s="56" t="str">
        <f t="shared" si="194"/>
        <v>Működési célú tám-ok államháztartáson belülről</v>
      </c>
      <c r="C159" s="424">
        <f>+'8. WAMKK'!C93</f>
        <v>0</v>
      </c>
      <c r="D159" s="73">
        <f>+'8. WAMKK'!D93</f>
        <v>0</v>
      </c>
      <c r="E159" s="73">
        <f>+'8. WAMKK'!E93</f>
        <v>1200000</v>
      </c>
      <c r="F159" s="435">
        <f>+'8. WAMKK'!F93</f>
        <v>5476514</v>
      </c>
      <c r="G159" s="73"/>
      <c r="H159" s="424">
        <f>+'8. WAMKK'!H93</f>
        <v>0</v>
      </c>
      <c r="I159" s="73">
        <f>+'8. WAMKK'!I93</f>
        <v>15000000</v>
      </c>
      <c r="J159" s="459">
        <f>+'8. WAMKK'!J93</f>
        <v>5000000</v>
      </c>
      <c r="K159" s="73"/>
      <c r="L159" s="531">
        <f t="shared" ref="L159:L168" si="195">IF(D159=0,0,H159/D159)</f>
        <v>0</v>
      </c>
      <c r="M159" s="531">
        <f t="shared" ref="M159:M168" si="196">IF(E159=0,0,I159/E159)</f>
        <v>12.5</v>
      </c>
      <c r="N159" s="532">
        <f t="shared" ref="N159:N168" si="197">IF(F159=0,0,J159/F159)</f>
        <v>0.91298954042662905</v>
      </c>
      <c r="O159" s="73"/>
      <c r="P159" s="424">
        <f>+'8. WAMKK'!P93</f>
        <v>0</v>
      </c>
      <c r="Q159" s="73">
        <f>+'8. WAMKK'!Q93</f>
        <v>1200000</v>
      </c>
      <c r="R159" s="73">
        <f>+'8. WAMKK'!R93</f>
        <v>0</v>
      </c>
      <c r="S159" s="73">
        <f>+'8. WAMKK'!S93</f>
        <v>1200000</v>
      </c>
      <c r="T159" s="547" t="e">
        <f t="shared" si="183"/>
        <v>#DIV/0!</v>
      </c>
    </row>
    <row r="160" spans="1:20" x14ac:dyDescent="0.25">
      <c r="A160" s="400" t="str">
        <f t="shared" si="194"/>
        <v>B2</v>
      </c>
      <c r="B160" s="56" t="str">
        <f t="shared" si="194"/>
        <v>Felhalmozási célú tám-ok államházt-on belülről</v>
      </c>
      <c r="C160" s="424"/>
      <c r="D160" s="73"/>
      <c r="E160" s="73"/>
      <c r="F160" s="435"/>
      <c r="G160" s="73"/>
      <c r="H160" s="424"/>
      <c r="I160" s="73"/>
      <c r="J160" s="459"/>
      <c r="K160" s="73"/>
      <c r="L160" s="531">
        <f t="shared" si="195"/>
        <v>0</v>
      </c>
      <c r="M160" s="531">
        <f t="shared" si="196"/>
        <v>0</v>
      </c>
      <c r="N160" s="532">
        <f t="shared" si="197"/>
        <v>0</v>
      </c>
      <c r="O160" s="73"/>
      <c r="P160" s="424"/>
      <c r="Q160" s="73"/>
      <c r="R160" s="73"/>
      <c r="S160" s="73"/>
      <c r="T160" s="547">
        <f t="shared" si="183"/>
        <v>0</v>
      </c>
    </row>
    <row r="161" spans="1:20" x14ac:dyDescent="0.25">
      <c r="A161" s="400" t="str">
        <f t="shared" si="194"/>
        <v>B3</v>
      </c>
      <c r="B161" s="56" t="str">
        <f t="shared" si="194"/>
        <v>Közhatalmi bevételek</v>
      </c>
      <c r="C161" s="424"/>
      <c r="D161" s="73"/>
      <c r="E161" s="73"/>
      <c r="F161" s="435"/>
      <c r="G161" s="73"/>
      <c r="H161" s="424"/>
      <c r="I161" s="73"/>
      <c r="J161" s="459"/>
      <c r="K161" s="73"/>
      <c r="L161" s="531">
        <f t="shared" si="195"/>
        <v>0</v>
      </c>
      <c r="M161" s="531">
        <f t="shared" si="196"/>
        <v>0</v>
      </c>
      <c r="N161" s="532">
        <f t="shared" si="197"/>
        <v>0</v>
      </c>
      <c r="O161" s="73"/>
      <c r="P161" s="424"/>
      <c r="Q161" s="73"/>
      <c r="R161" s="73"/>
      <c r="S161" s="73"/>
      <c r="T161" s="547">
        <f t="shared" si="183"/>
        <v>0</v>
      </c>
    </row>
    <row r="162" spans="1:20" x14ac:dyDescent="0.25">
      <c r="A162" s="400" t="str">
        <f t="shared" si="194"/>
        <v>B4</v>
      </c>
      <c r="B162" s="56" t="str">
        <f t="shared" si="194"/>
        <v>Működési bevételek</v>
      </c>
      <c r="C162" s="424">
        <f>+'8. WAMKK'!C97</f>
        <v>1521000</v>
      </c>
      <c r="D162" s="73">
        <f>+'8. WAMKK'!D97</f>
        <v>1521000</v>
      </c>
      <c r="E162" s="73">
        <f>+'8. WAMKK'!E97</f>
        <v>1521000</v>
      </c>
      <c r="F162" s="435">
        <f>+'8. WAMKK'!F97</f>
        <v>1521000</v>
      </c>
      <c r="G162" s="73"/>
      <c r="H162" s="424">
        <f>+'8. WAMKK'!H97</f>
        <v>132139</v>
      </c>
      <c r="I162" s="73">
        <f>+'8. WAMKK'!I97</f>
        <v>421112</v>
      </c>
      <c r="J162" s="459">
        <f>+'8. WAMKK'!J97</f>
        <v>868446</v>
      </c>
      <c r="K162" s="73"/>
      <c r="L162" s="531">
        <f t="shared" si="195"/>
        <v>8.6876397107166339E-2</v>
      </c>
      <c r="M162" s="531">
        <f t="shared" si="196"/>
        <v>0.27686522024983562</v>
      </c>
      <c r="N162" s="532">
        <f t="shared" si="197"/>
        <v>0.57097041420118344</v>
      </c>
      <c r="O162" s="73"/>
      <c r="P162" s="424">
        <f>+'8. WAMKK'!P97</f>
        <v>0</v>
      </c>
      <c r="Q162" s="73">
        <f>+'8. WAMKK'!Q97</f>
        <v>0</v>
      </c>
      <c r="R162" s="73">
        <f>+'8. WAMKK'!R97</f>
        <v>0</v>
      </c>
      <c r="S162" s="73">
        <f>+'8. WAMKK'!S97</f>
        <v>0</v>
      </c>
      <c r="T162" s="547">
        <f t="shared" si="183"/>
        <v>0</v>
      </c>
    </row>
    <row r="163" spans="1:20" x14ac:dyDescent="0.25">
      <c r="A163" s="400" t="str">
        <f t="shared" si="194"/>
        <v>B5</v>
      </c>
      <c r="B163" s="56" t="str">
        <f t="shared" si="194"/>
        <v>Felhalmozási bevételek</v>
      </c>
      <c r="C163" s="424"/>
      <c r="D163" s="73"/>
      <c r="E163" s="73"/>
      <c r="F163" s="435"/>
      <c r="G163" s="73"/>
      <c r="H163" s="424"/>
      <c r="I163" s="73"/>
      <c r="J163" s="459"/>
      <c r="K163" s="73"/>
      <c r="L163" s="531">
        <f t="shared" si="195"/>
        <v>0</v>
      </c>
      <c r="M163" s="531">
        <f t="shared" si="196"/>
        <v>0</v>
      </c>
      <c r="N163" s="532">
        <f t="shared" si="197"/>
        <v>0</v>
      </c>
      <c r="O163" s="73"/>
      <c r="P163" s="424"/>
      <c r="Q163" s="73"/>
      <c r="R163" s="73"/>
      <c r="S163" s="73"/>
      <c r="T163" s="547">
        <f t="shared" si="183"/>
        <v>0</v>
      </c>
    </row>
    <row r="164" spans="1:20" x14ac:dyDescent="0.25">
      <c r="A164" s="400" t="str">
        <f t="shared" si="194"/>
        <v>B6</v>
      </c>
      <c r="B164" s="56" t="str">
        <f t="shared" si="194"/>
        <v>Működési célú átvett pénzeszközök</v>
      </c>
      <c r="C164" s="424"/>
      <c r="D164" s="73"/>
      <c r="E164" s="73"/>
      <c r="F164" s="435"/>
      <c r="G164" s="73"/>
      <c r="H164" s="424"/>
      <c r="I164" s="73"/>
      <c r="J164" s="459"/>
      <c r="K164" s="73"/>
      <c r="L164" s="531">
        <f t="shared" si="195"/>
        <v>0</v>
      </c>
      <c r="M164" s="531">
        <f t="shared" si="196"/>
        <v>0</v>
      </c>
      <c r="N164" s="532">
        <f t="shared" si="197"/>
        <v>0</v>
      </c>
      <c r="O164" s="73"/>
      <c r="P164" s="424"/>
      <c r="Q164" s="73"/>
      <c r="R164" s="73"/>
      <c r="S164" s="73"/>
      <c r="T164" s="547">
        <f t="shared" si="183"/>
        <v>0</v>
      </c>
    </row>
    <row r="165" spans="1:20" x14ac:dyDescent="0.25">
      <c r="A165" s="400" t="str">
        <f t="shared" si="194"/>
        <v>B7</v>
      </c>
      <c r="B165" s="56" t="str">
        <f t="shared" si="194"/>
        <v>Felhalmozási célú átvett pénzeszközök</v>
      </c>
      <c r="C165" s="424"/>
      <c r="D165" s="73"/>
      <c r="E165" s="73"/>
      <c r="F165" s="435"/>
      <c r="G165" s="73"/>
      <c r="H165" s="424"/>
      <c r="I165" s="73"/>
      <c r="J165" s="459"/>
      <c r="K165" s="73"/>
      <c r="L165" s="531">
        <f t="shared" si="195"/>
        <v>0</v>
      </c>
      <c r="M165" s="531">
        <f t="shared" si="196"/>
        <v>0</v>
      </c>
      <c r="N165" s="532">
        <f t="shared" si="197"/>
        <v>0</v>
      </c>
      <c r="O165" s="73"/>
      <c r="P165" s="424"/>
      <c r="Q165" s="73"/>
      <c r="R165" s="73"/>
      <c r="S165" s="73"/>
      <c r="T165" s="547">
        <f t="shared" si="183"/>
        <v>0</v>
      </c>
    </row>
    <row r="166" spans="1:20" x14ac:dyDescent="0.25">
      <c r="A166" s="400" t="str">
        <f>+A139</f>
        <v>B8-ból maradványértéken túli finanszírozási bevételek</v>
      </c>
      <c r="B166" s="56"/>
      <c r="C166" s="424">
        <f>+'8. WAMKK'!C103-C167</f>
        <v>28276417</v>
      </c>
      <c r="D166" s="73">
        <f>+'8. WAMKK'!D103-D167</f>
        <v>28276417</v>
      </c>
      <c r="E166" s="73">
        <f>+'8. WAMKK'!E103-E167</f>
        <v>28276417</v>
      </c>
      <c r="F166" s="435">
        <f>+'8. WAMKK'!F103-F167</f>
        <v>28276417</v>
      </c>
      <c r="G166" s="73"/>
      <c r="H166" s="424">
        <f>+'8. WAMKK'!H103-H167</f>
        <v>13176215</v>
      </c>
      <c r="I166" s="73">
        <f>+'8. WAMKK'!I103-I167</f>
        <v>19823072</v>
      </c>
      <c r="J166" s="459">
        <f>+'8. WAMKK'!J103-J167</f>
        <v>24686086</v>
      </c>
      <c r="K166" s="73"/>
      <c r="L166" s="531">
        <f t="shared" si="195"/>
        <v>0.46597894634245918</v>
      </c>
      <c r="M166" s="531">
        <f t="shared" si="196"/>
        <v>0.7010461049573572</v>
      </c>
      <c r="N166" s="532">
        <f t="shared" si="197"/>
        <v>0.87302737118355556</v>
      </c>
      <c r="O166" s="73"/>
      <c r="P166" s="424">
        <f>+'8. WAMKK'!P103-P167</f>
        <v>0</v>
      </c>
      <c r="Q166" s="73">
        <f>+'8. WAMKK'!Q103-Q167</f>
        <v>0</v>
      </c>
      <c r="R166" s="73">
        <f>+'8. WAMKK'!R103-R167</f>
        <v>0</v>
      </c>
      <c r="S166" s="73">
        <f>+'8. WAMKK'!S103-S167</f>
        <v>0</v>
      </c>
      <c r="T166" s="547">
        <f t="shared" si="183"/>
        <v>0</v>
      </c>
    </row>
    <row r="167" spans="1:20" x14ac:dyDescent="0.25">
      <c r="A167" s="400" t="str">
        <f>+A140</f>
        <v>B8-ból előző évi mardvány igénybevétele</v>
      </c>
      <c r="B167" s="56"/>
      <c r="C167" s="424">
        <f>+'8. WAMKK'!C105</f>
        <v>575583</v>
      </c>
      <c r="D167" s="73">
        <f>+'8. WAMKK'!D105</f>
        <v>575583</v>
      </c>
      <c r="E167" s="73">
        <f>+'8. WAMKK'!E105</f>
        <v>575583</v>
      </c>
      <c r="F167" s="435">
        <f>+'8. WAMKK'!F105</f>
        <v>575583</v>
      </c>
      <c r="G167" s="73"/>
      <c r="H167" s="424">
        <f>+'8. WAMKK'!H105</f>
        <v>575583</v>
      </c>
      <c r="I167" s="73">
        <f>+'8. WAMKK'!I105</f>
        <v>575583</v>
      </c>
      <c r="J167" s="459">
        <f>+'8. WAMKK'!J105</f>
        <v>575583</v>
      </c>
      <c r="K167" s="73"/>
      <c r="L167" s="531">
        <f t="shared" si="195"/>
        <v>1</v>
      </c>
      <c r="M167" s="531">
        <f t="shared" si="196"/>
        <v>1</v>
      </c>
      <c r="N167" s="532">
        <f t="shared" si="197"/>
        <v>1</v>
      </c>
      <c r="O167" s="73"/>
      <c r="P167" s="424">
        <f>+'8. WAMKK'!P105</f>
        <v>0</v>
      </c>
      <c r="Q167" s="73">
        <f>+'8. WAMKK'!Q105</f>
        <v>0</v>
      </c>
      <c r="R167" s="73">
        <f>+'8. WAMKK'!R105</f>
        <v>0</v>
      </c>
      <c r="S167" s="73">
        <f>+'8. WAMKK'!S105</f>
        <v>0</v>
      </c>
      <c r="T167" s="547">
        <f t="shared" si="183"/>
        <v>0</v>
      </c>
    </row>
    <row r="168" spans="1:20" x14ac:dyDescent="0.25">
      <c r="A168" s="455"/>
      <c r="B168" s="390" t="s">
        <v>370</v>
      </c>
      <c r="C168" s="429">
        <f>SUM(C159:C167)</f>
        <v>30373000</v>
      </c>
      <c r="D168" s="391">
        <f t="shared" ref="D168" si="198">SUM(D159:D167)</f>
        <v>30373000</v>
      </c>
      <c r="E168" s="391">
        <f t="shared" ref="E168" si="199">SUM(E159:E167)</f>
        <v>31573000</v>
      </c>
      <c r="F168" s="448">
        <f t="shared" ref="F168" si="200">SUM(F159:F167)</f>
        <v>35849514</v>
      </c>
      <c r="G168" s="391"/>
      <c r="H168" s="429">
        <f t="shared" ref="H168" si="201">SUM(H159:H167)</f>
        <v>13883937</v>
      </c>
      <c r="I168" s="391">
        <f t="shared" ref="I168" si="202">SUM(I159:I167)</f>
        <v>35819767</v>
      </c>
      <c r="J168" s="393">
        <f t="shared" ref="J168" si="203">SUM(J159:J167)</f>
        <v>31130115</v>
      </c>
      <c r="K168" s="392"/>
      <c r="L168" s="543">
        <f t="shared" si="195"/>
        <v>0.45711444374938265</v>
      </c>
      <c r="M168" s="543">
        <f t="shared" si="196"/>
        <v>1.1345062870173883</v>
      </c>
      <c r="N168" s="544">
        <f t="shared" si="197"/>
        <v>0.86835528649007632</v>
      </c>
      <c r="O168" s="392"/>
      <c r="P168" s="429">
        <f t="shared" ref="P168" si="204">SUM(P159:P167)</f>
        <v>0</v>
      </c>
      <c r="Q168" s="391">
        <f t="shared" ref="Q168" si="205">SUM(Q159:Q167)</f>
        <v>1200000</v>
      </c>
      <c r="R168" s="391">
        <f t="shared" ref="R168" si="206">SUM(R159:R167)</f>
        <v>0</v>
      </c>
      <c r="S168" s="393">
        <f t="shared" ref="S168" si="207">SUM(S159:S167)</f>
        <v>1200000</v>
      </c>
      <c r="T168" s="548">
        <f t="shared" si="183"/>
        <v>3.9508774240279196E-2</v>
      </c>
    </row>
    <row r="169" spans="1:20" x14ac:dyDescent="0.25">
      <c r="A169" s="403"/>
      <c r="B169" s="73"/>
      <c r="C169" s="424"/>
      <c r="D169" s="73"/>
      <c r="E169" s="73"/>
      <c r="F169" s="435"/>
      <c r="G169" s="73"/>
      <c r="H169" s="424"/>
      <c r="I169" s="73"/>
      <c r="J169" s="459"/>
      <c r="K169" s="73"/>
      <c r="L169" s="531"/>
      <c r="M169" s="531"/>
      <c r="N169" s="532"/>
      <c r="O169" s="73"/>
      <c r="P169" s="424"/>
      <c r="Q169" s="73"/>
      <c r="R169" s="73"/>
      <c r="S169" s="73"/>
      <c r="T169" s="549"/>
    </row>
    <row r="170" spans="1:20" ht="13.8" thickBot="1" x14ac:dyDescent="0.3">
      <c r="A170" s="406"/>
      <c r="B170" s="407" t="s">
        <v>449</v>
      </c>
      <c r="C170" s="428">
        <f>+C168-C157</f>
        <v>0</v>
      </c>
      <c r="D170" s="408">
        <f>+D168-D157</f>
        <v>0</v>
      </c>
      <c r="E170" s="408">
        <f>+E168-E157</f>
        <v>0</v>
      </c>
      <c r="F170" s="445">
        <f>+F168-F157</f>
        <v>0</v>
      </c>
      <c r="G170" s="408"/>
      <c r="H170" s="428">
        <f>+H168-H157</f>
        <v>1759095</v>
      </c>
      <c r="I170" s="408">
        <f>+I168-I157</f>
        <v>13781695</v>
      </c>
      <c r="J170" s="410">
        <f>+J168-J157</f>
        <v>-2906181</v>
      </c>
      <c r="K170" s="409"/>
      <c r="L170" s="537">
        <f t="shared" ref="L170" si="208">IF(D170=0,0,H170/D170)</f>
        <v>0</v>
      </c>
      <c r="M170" s="537">
        <f t="shared" ref="M170" si="209">IF(E170=0,0,I170/E170)</f>
        <v>0</v>
      </c>
      <c r="N170" s="538">
        <f t="shared" ref="N170" si="210">IF(F170=0,0,J170/F170)</f>
        <v>0</v>
      </c>
      <c r="O170" s="409"/>
      <c r="P170" s="428">
        <f>+P168-P157</f>
        <v>0</v>
      </c>
      <c r="Q170" s="408">
        <f>+Q168-Q157</f>
        <v>0</v>
      </c>
      <c r="R170" s="408">
        <f>+R168-R157</f>
        <v>0</v>
      </c>
      <c r="S170" s="410">
        <f>+S168-S157</f>
        <v>0</v>
      </c>
      <c r="T170" s="550"/>
    </row>
    <row r="171" spans="1:20" x14ac:dyDescent="0.25">
      <c r="B171" s="73"/>
      <c r="C171" s="424"/>
      <c r="D171" s="73"/>
      <c r="E171" s="73"/>
      <c r="F171" s="435"/>
      <c r="G171" s="73"/>
      <c r="H171" s="424"/>
      <c r="I171" s="73"/>
      <c r="J171" s="459"/>
      <c r="K171" s="73"/>
      <c r="L171" s="531"/>
      <c r="M171" s="531"/>
      <c r="N171" s="532"/>
      <c r="O171" s="73"/>
      <c r="P171" s="424"/>
      <c r="Q171" s="73"/>
      <c r="R171" s="73"/>
      <c r="S171" s="73"/>
      <c r="T171" s="549"/>
    </row>
    <row r="172" spans="1:20" ht="13.8" thickBot="1" x14ac:dyDescent="0.3">
      <c r="B172" s="73"/>
      <c r="C172" s="424"/>
      <c r="D172" s="73"/>
      <c r="E172" s="73"/>
      <c r="F172" s="435"/>
      <c r="G172" s="73"/>
      <c r="H172" s="424"/>
      <c r="I172" s="73"/>
      <c r="J172" s="459"/>
      <c r="K172" s="73"/>
      <c r="L172" s="531"/>
      <c r="M172" s="531"/>
      <c r="N172" s="532"/>
      <c r="O172" s="73"/>
      <c r="P172" s="424"/>
      <c r="Q172" s="73"/>
      <c r="R172" s="73"/>
      <c r="S172" s="73"/>
      <c r="T172" s="549"/>
    </row>
    <row r="173" spans="1:20" ht="18" thickBot="1" x14ac:dyDescent="0.35">
      <c r="A173" s="413" t="s">
        <v>419</v>
      </c>
      <c r="B173" s="415"/>
      <c r="C173" s="424"/>
      <c r="D173" s="73"/>
      <c r="E173" s="73"/>
      <c r="F173" s="435"/>
      <c r="G173" s="73"/>
      <c r="H173" s="424"/>
      <c r="I173" s="73"/>
      <c r="J173" s="459"/>
      <c r="K173" s="73"/>
      <c r="L173" s="531"/>
      <c r="M173" s="531"/>
      <c r="N173" s="532"/>
      <c r="O173" s="73"/>
      <c r="P173" s="424"/>
      <c r="Q173" s="73"/>
      <c r="R173" s="73"/>
      <c r="S173" s="73"/>
      <c r="T173" s="549"/>
    </row>
    <row r="174" spans="1:20" x14ac:dyDescent="0.25">
      <c r="A174" s="425"/>
      <c r="B174" s="416"/>
      <c r="C174" s="425"/>
      <c r="D174" s="416"/>
      <c r="E174" s="416"/>
      <c r="F174" s="415"/>
      <c r="G174" s="416"/>
      <c r="H174" s="425"/>
      <c r="I174" s="416"/>
      <c r="J174" s="461"/>
      <c r="K174" s="416"/>
      <c r="L174" s="539"/>
      <c r="M174" s="539"/>
      <c r="N174" s="540"/>
      <c r="O174" s="416"/>
      <c r="P174" s="425"/>
      <c r="Q174" s="416"/>
      <c r="R174" s="416"/>
      <c r="S174" s="416"/>
      <c r="T174" s="551"/>
    </row>
    <row r="175" spans="1:20" x14ac:dyDescent="0.25">
      <c r="A175" s="400" t="s">
        <v>0</v>
      </c>
      <c r="B175" s="56" t="str">
        <f t="shared" ref="B175:B183" si="211">+B148</f>
        <v>Személyi juttatások</v>
      </c>
      <c r="C175" s="424">
        <f>+'9. Közp. Konyha'!C13</f>
        <v>34785000</v>
      </c>
      <c r="D175" s="73">
        <f>+'9. Közp. Konyha'!D13</f>
        <v>34785000</v>
      </c>
      <c r="E175" s="73">
        <f>+'9. Közp. Konyha'!E13</f>
        <v>34785000</v>
      </c>
      <c r="F175" s="435">
        <f>+'9. Közp. Konyha'!F13</f>
        <v>34785000</v>
      </c>
      <c r="G175" s="73"/>
      <c r="H175" s="424">
        <f>+'9. Közp. Konyha'!H13</f>
        <v>16464344</v>
      </c>
      <c r="I175" s="73">
        <f>+'9. Közp. Konyha'!I13</f>
        <v>24365512</v>
      </c>
      <c r="J175" s="459">
        <f>+'9. Közp. Konyha'!J13</f>
        <v>33610905</v>
      </c>
      <c r="K175" s="73"/>
      <c r="L175" s="531">
        <f t="shared" ref="L175:L184" si="212">IF(D175=0,0,H175/D175)</f>
        <v>0.47331734943222653</v>
      </c>
      <c r="M175" s="531">
        <f t="shared" ref="M175:M184" si="213">IF(E175=0,0,I175/E175)</f>
        <v>0.70046031335345693</v>
      </c>
      <c r="N175" s="532">
        <f t="shared" ref="N175:N184" si="214">IF(F175=0,0,J175/F175)</f>
        <v>0.96624708926261316</v>
      </c>
      <c r="O175" s="73"/>
      <c r="P175" s="424">
        <f>+'9. Közp. Konyha'!P13</f>
        <v>0</v>
      </c>
      <c r="Q175" s="73">
        <f>+'9. Közp. Konyha'!Q13</f>
        <v>0</v>
      </c>
      <c r="R175" s="73">
        <f>+'9. Közp. Konyha'!R13</f>
        <v>0</v>
      </c>
      <c r="S175" s="73">
        <f>+'9. Közp. Konyha'!S13</f>
        <v>0</v>
      </c>
      <c r="T175" s="547">
        <f>IF(S175=0,0,S175/C175)</f>
        <v>0</v>
      </c>
    </row>
    <row r="176" spans="1:20" x14ac:dyDescent="0.25">
      <c r="A176" s="400" t="s">
        <v>24</v>
      </c>
      <c r="B176" s="56" t="str">
        <f t="shared" si="211"/>
        <v>Munkaadót terhelő járulékok és szociális hozzájárulás</v>
      </c>
      <c r="C176" s="424">
        <f>+'9. Közp. Konyha'!C29</f>
        <v>5400000</v>
      </c>
      <c r="D176" s="73">
        <f>+'9. Közp. Konyha'!D29</f>
        <v>5400000</v>
      </c>
      <c r="E176" s="73">
        <f>+'9. Közp. Konyha'!E29</f>
        <v>5400000</v>
      </c>
      <c r="F176" s="435">
        <f>+'9. Közp. Konyha'!F29</f>
        <v>5400000</v>
      </c>
      <c r="G176" s="73"/>
      <c r="H176" s="424">
        <f>+'9. Közp. Konyha'!H29</f>
        <v>1767179</v>
      </c>
      <c r="I176" s="73">
        <f>+'9. Közp. Konyha'!I29</f>
        <v>2950411</v>
      </c>
      <c r="J176" s="459">
        <f>+'9. Közp. Konyha'!J29</f>
        <v>4207727</v>
      </c>
      <c r="K176" s="73"/>
      <c r="L176" s="531">
        <f t="shared" si="212"/>
        <v>0.32725537037037039</v>
      </c>
      <c r="M176" s="531">
        <f t="shared" si="213"/>
        <v>0.54637240740740745</v>
      </c>
      <c r="N176" s="532">
        <f t="shared" si="214"/>
        <v>0.77920870370370365</v>
      </c>
      <c r="O176" s="73"/>
      <c r="P176" s="424">
        <f>+'9. Közp. Konyha'!P29</f>
        <v>0</v>
      </c>
      <c r="Q176" s="73">
        <f>+'9. Közp. Konyha'!Q29</f>
        <v>0</v>
      </c>
      <c r="R176" s="73">
        <f>+'9. Közp. Konyha'!R29</f>
        <v>0</v>
      </c>
      <c r="S176" s="73">
        <f>+'9. Közp. Konyha'!S29</f>
        <v>0</v>
      </c>
      <c r="T176" s="547">
        <f t="shared" ref="T176:T195" si="215">IF(S176=0,0,S176/C176)</f>
        <v>0</v>
      </c>
    </row>
    <row r="177" spans="1:20" x14ac:dyDescent="0.25">
      <c r="A177" s="400" t="s">
        <v>27</v>
      </c>
      <c r="B177" s="56" t="str">
        <f t="shared" si="211"/>
        <v>Dologi kiadások</v>
      </c>
      <c r="C177" s="424">
        <f>+'9. Közp. Konyha'!C32</f>
        <v>74036000</v>
      </c>
      <c r="D177" s="73">
        <f>+'9. Közp. Konyha'!D32</f>
        <v>74036000</v>
      </c>
      <c r="E177" s="73">
        <f>+'9. Közp. Konyha'!E32</f>
        <v>74036000</v>
      </c>
      <c r="F177" s="435">
        <f>+'9. Közp. Konyha'!F32</f>
        <v>74036000</v>
      </c>
      <c r="G177" s="73"/>
      <c r="H177" s="424">
        <f>+'9. Közp. Konyha'!H32</f>
        <v>31375000</v>
      </c>
      <c r="I177" s="73">
        <f>+'9. Közp. Konyha'!I32</f>
        <v>42629381</v>
      </c>
      <c r="J177" s="459">
        <f>+'9. Közp. Konyha'!J32</f>
        <v>62605446</v>
      </c>
      <c r="K177" s="73"/>
      <c r="L177" s="531">
        <f t="shared" si="212"/>
        <v>0.42378032308606622</v>
      </c>
      <c r="M177" s="531">
        <f t="shared" si="213"/>
        <v>0.57579260089686102</v>
      </c>
      <c r="N177" s="532">
        <f t="shared" si="214"/>
        <v>0.84560816359608837</v>
      </c>
      <c r="O177" s="73"/>
      <c r="P177" s="424">
        <f>+'9. Közp. Konyha'!P32</f>
        <v>0</v>
      </c>
      <c r="Q177" s="73">
        <f>+'9. Közp. Konyha'!Q32</f>
        <v>0</v>
      </c>
      <c r="R177" s="73">
        <f>+'9. Közp. Konyha'!R32</f>
        <v>0</v>
      </c>
      <c r="S177" s="73">
        <f>+'9. Közp. Konyha'!S32</f>
        <v>0</v>
      </c>
      <c r="T177" s="547">
        <f t="shared" si="215"/>
        <v>0</v>
      </c>
    </row>
    <row r="178" spans="1:20" x14ac:dyDescent="0.25">
      <c r="A178" s="400" t="s">
        <v>107</v>
      </c>
      <c r="B178" s="56" t="str">
        <f t="shared" si="211"/>
        <v>Elláttotak pénzbeli juttatásai</v>
      </c>
      <c r="C178" s="424"/>
      <c r="D178" s="73"/>
      <c r="E178" s="73"/>
      <c r="F178" s="435"/>
      <c r="G178" s="73"/>
      <c r="H178" s="424"/>
      <c r="I178" s="73"/>
      <c r="J178" s="459"/>
      <c r="K178" s="73"/>
      <c r="L178" s="531">
        <f t="shared" si="212"/>
        <v>0</v>
      </c>
      <c r="M178" s="531">
        <f t="shared" si="213"/>
        <v>0</v>
      </c>
      <c r="N178" s="532">
        <f t="shared" si="214"/>
        <v>0</v>
      </c>
      <c r="O178" s="73"/>
      <c r="P178" s="424"/>
      <c r="Q178" s="73"/>
      <c r="R178" s="73"/>
      <c r="S178" s="73"/>
      <c r="T178" s="547">
        <f t="shared" si="215"/>
        <v>0</v>
      </c>
    </row>
    <row r="179" spans="1:20" x14ac:dyDescent="0.25">
      <c r="A179" s="401" t="s">
        <v>369</v>
      </c>
      <c r="B179" s="56" t="str">
        <f t="shared" si="211"/>
        <v>Egyéb működési célú kiadások</v>
      </c>
      <c r="C179" s="424"/>
      <c r="D179" s="73"/>
      <c r="E179" s="73"/>
      <c r="F179" s="435"/>
      <c r="G179" s="73"/>
      <c r="H179" s="424"/>
      <c r="I179" s="73"/>
      <c r="J179" s="459"/>
      <c r="K179" s="73"/>
      <c r="L179" s="531">
        <f t="shared" si="212"/>
        <v>0</v>
      </c>
      <c r="M179" s="531">
        <f t="shared" si="213"/>
        <v>0</v>
      </c>
      <c r="N179" s="532">
        <f t="shared" si="214"/>
        <v>0</v>
      </c>
      <c r="O179" s="73"/>
      <c r="P179" s="424"/>
      <c r="Q179" s="73"/>
      <c r="R179" s="73"/>
      <c r="S179" s="73"/>
      <c r="T179" s="547">
        <f t="shared" si="215"/>
        <v>0</v>
      </c>
    </row>
    <row r="180" spans="1:20" x14ac:dyDescent="0.25">
      <c r="A180" s="400" t="s">
        <v>154</v>
      </c>
      <c r="B180" s="56" t="str">
        <f t="shared" si="211"/>
        <v>Beruházások</v>
      </c>
      <c r="C180" s="424">
        <f>+'9. Közp. Konyha'!C83</f>
        <v>200000</v>
      </c>
      <c r="D180" s="73">
        <f>+'9. Közp. Konyha'!D83</f>
        <v>200000</v>
      </c>
      <c r="E180" s="73">
        <f>+'9. Közp. Konyha'!E83</f>
        <v>200000</v>
      </c>
      <c r="F180" s="435">
        <f>+'9. Közp. Konyha'!F83</f>
        <v>200000</v>
      </c>
      <c r="G180" s="73"/>
      <c r="H180" s="424">
        <f>+'9. Közp. Konyha'!H83</f>
        <v>133390</v>
      </c>
      <c r="I180" s="73">
        <f>+'9. Közp. Konyha'!I83</f>
        <v>133390</v>
      </c>
      <c r="J180" s="459">
        <f>+'9. Közp. Konyha'!J83</f>
        <v>133390</v>
      </c>
      <c r="K180" s="73"/>
      <c r="L180" s="531">
        <f t="shared" si="212"/>
        <v>0.66695000000000004</v>
      </c>
      <c r="M180" s="531">
        <f t="shared" si="213"/>
        <v>0.66695000000000004</v>
      </c>
      <c r="N180" s="532">
        <f t="shared" si="214"/>
        <v>0.66695000000000004</v>
      </c>
      <c r="O180" s="73"/>
      <c r="P180" s="424">
        <f>+'9. Közp. Konyha'!P83</f>
        <v>0</v>
      </c>
      <c r="Q180" s="73">
        <f>+'9. Közp. Konyha'!Q83</f>
        <v>0</v>
      </c>
      <c r="R180" s="73">
        <f>+'9. Közp. Konyha'!R83</f>
        <v>0</v>
      </c>
      <c r="S180" s="73">
        <f>+'9. Közp. Konyha'!S83</f>
        <v>0</v>
      </c>
      <c r="T180" s="547">
        <f t="shared" si="215"/>
        <v>0</v>
      </c>
    </row>
    <row r="181" spans="1:20" x14ac:dyDescent="0.25">
      <c r="A181" s="400" t="s">
        <v>169</v>
      </c>
      <c r="B181" s="56" t="str">
        <f t="shared" si="211"/>
        <v>Felújítások</v>
      </c>
      <c r="C181" s="424">
        <f>+'9. Közp. Konyha'!C86</f>
        <v>0</v>
      </c>
      <c r="D181" s="73">
        <f>+'9. Közp. Konyha'!D86</f>
        <v>0</v>
      </c>
      <c r="E181" s="73">
        <f>+'9. Közp. Konyha'!E86</f>
        <v>0</v>
      </c>
      <c r="F181" s="435">
        <f>+'9. Közp. Konyha'!F86</f>
        <v>0</v>
      </c>
      <c r="G181" s="73"/>
      <c r="H181" s="424">
        <f>+'9. Közp. Konyha'!H86</f>
        <v>0</v>
      </c>
      <c r="I181" s="73">
        <f>+'9. Közp. Konyha'!I86</f>
        <v>0</v>
      </c>
      <c r="J181" s="459">
        <f>+'9. Közp. Konyha'!J86</f>
        <v>0</v>
      </c>
      <c r="K181" s="73"/>
      <c r="L181" s="531">
        <f t="shared" si="212"/>
        <v>0</v>
      </c>
      <c r="M181" s="531">
        <f t="shared" si="213"/>
        <v>0</v>
      </c>
      <c r="N181" s="532">
        <f t="shared" si="214"/>
        <v>0</v>
      </c>
      <c r="O181" s="73"/>
      <c r="P181" s="424">
        <f>+'9. Közp. Konyha'!P86</f>
        <v>0</v>
      </c>
      <c r="Q181" s="73">
        <f>+'9. Közp. Konyha'!Q86</f>
        <v>0</v>
      </c>
      <c r="R181" s="73">
        <f>+'9. Közp. Konyha'!R86</f>
        <v>0</v>
      </c>
      <c r="S181" s="73">
        <f>+'9. Közp. Konyha'!S86</f>
        <v>0</v>
      </c>
      <c r="T181" s="547">
        <f t="shared" si="215"/>
        <v>0</v>
      </c>
    </row>
    <row r="182" spans="1:20" x14ac:dyDescent="0.25">
      <c r="A182" s="400" t="s">
        <v>179</v>
      </c>
      <c r="B182" s="56" t="str">
        <f t="shared" si="211"/>
        <v>Szolgáltatások kiadásai</v>
      </c>
      <c r="C182" s="424"/>
      <c r="D182" s="73"/>
      <c r="E182" s="73"/>
      <c r="F182" s="435"/>
      <c r="G182" s="73"/>
      <c r="H182" s="424"/>
      <c r="I182" s="73"/>
      <c r="J182" s="459"/>
      <c r="K182" s="73"/>
      <c r="L182" s="531">
        <f t="shared" si="212"/>
        <v>0</v>
      </c>
      <c r="M182" s="531">
        <f t="shared" si="213"/>
        <v>0</v>
      </c>
      <c r="N182" s="532">
        <f t="shared" si="214"/>
        <v>0</v>
      </c>
      <c r="O182" s="73"/>
      <c r="P182" s="424"/>
      <c r="Q182" s="73"/>
      <c r="R182" s="73"/>
      <c r="S182" s="73"/>
      <c r="T182" s="547">
        <f t="shared" si="215"/>
        <v>0</v>
      </c>
    </row>
    <row r="183" spans="1:20" x14ac:dyDescent="0.25">
      <c r="A183" s="400" t="s">
        <v>197</v>
      </c>
      <c r="B183" s="56" t="str">
        <f t="shared" si="211"/>
        <v>Finanszírozási kiadások</v>
      </c>
      <c r="C183" s="424"/>
      <c r="D183" s="73"/>
      <c r="E183" s="73"/>
      <c r="F183" s="435"/>
      <c r="G183" s="73"/>
      <c r="H183" s="424"/>
      <c r="I183" s="73"/>
      <c r="J183" s="459"/>
      <c r="K183" s="73"/>
      <c r="L183" s="531">
        <f t="shared" si="212"/>
        <v>0</v>
      </c>
      <c r="M183" s="531">
        <f t="shared" si="213"/>
        <v>0</v>
      </c>
      <c r="N183" s="532">
        <f t="shared" si="214"/>
        <v>0</v>
      </c>
      <c r="O183" s="73"/>
      <c r="P183" s="424"/>
      <c r="Q183" s="73"/>
      <c r="R183" s="73"/>
      <c r="S183" s="73"/>
      <c r="T183" s="547">
        <f t="shared" si="215"/>
        <v>0</v>
      </c>
    </row>
    <row r="184" spans="1:20" x14ac:dyDescent="0.25">
      <c r="A184" s="402"/>
      <c r="B184" s="386" t="s">
        <v>371</v>
      </c>
      <c r="C184" s="426">
        <f>SUM(C175:C183)</f>
        <v>114421000</v>
      </c>
      <c r="D184" s="387">
        <f t="shared" ref="D184:F184" si="216">SUM(D175:D183)</f>
        <v>114421000</v>
      </c>
      <c r="E184" s="387">
        <f t="shared" si="216"/>
        <v>114421000</v>
      </c>
      <c r="F184" s="443">
        <f t="shared" si="216"/>
        <v>114421000</v>
      </c>
      <c r="G184" s="387"/>
      <c r="H184" s="426">
        <f t="shared" ref="H184:J184" si="217">SUM(H175:H183)</f>
        <v>49739913</v>
      </c>
      <c r="I184" s="387">
        <f t="shared" si="217"/>
        <v>70078694</v>
      </c>
      <c r="J184" s="388">
        <f t="shared" si="217"/>
        <v>100557468</v>
      </c>
      <c r="K184" s="204"/>
      <c r="L184" s="533">
        <f t="shared" si="212"/>
        <v>0.43470965120039151</v>
      </c>
      <c r="M184" s="533">
        <f t="shared" si="213"/>
        <v>0.61246356875049157</v>
      </c>
      <c r="N184" s="534">
        <f t="shared" si="214"/>
        <v>0.87883752108441637</v>
      </c>
      <c r="O184" s="204"/>
      <c r="P184" s="426">
        <f t="shared" ref="P184:S184" si="218">SUM(P175:P183)</f>
        <v>0</v>
      </c>
      <c r="Q184" s="387">
        <f t="shared" si="218"/>
        <v>0</v>
      </c>
      <c r="R184" s="387">
        <f t="shared" si="218"/>
        <v>0</v>
      </c>
      <c r="S184" s="388">
        <f t="shared" si="218"/>
        <v>0</v>
      </c>
      <c r="T184" s="548">
        <f t="shared" si="215"/>
        <v>0</v>
      </c>
    </row>
    <row r="185" spans="1:20" x14ac:dyDescent="0.25">
      <c r="A185" s="403"/>
      <c r="B185" s="73"/>
      <c r="C185" s="424"/>
      <c r="D185" s="73"/>
      <c r="E185" s="73"/>
      <c r="F185" s="435"/>
      <c r="G185" s="73"/>
      <c r="H185" s="424"/>
      <c r="I185" s="73"/>
      <c r="J185" s="459"/>
      <c r="K185" s="73"/>
      <c r="L185" s="531"/>
      <c r="M185" s="531"/>
      <c r="N185" s="532"/>
      <c r="O185" s="73"/>
      <c r="P185" s="424"/>
      <c r="Q185" s="73"/>
      <c r="R185" s="73"/>
      <c r="S185" s="73"/>
      <c r="T185" s="547"/>
    </row>
    <row r="186" spans="1:20" x14ac:dyDescent="0.25">
      <c r="A186" s="400" t="str">
        <f>+A159</f>
        <v>B1</v>
      </c>
      <c r="B186" s="56" t="str">
        <f>+B159</f>
        <v>Működési célú tám-ok államháztartáson belülről</v>
      </c>
      <c r="C186" s="424">
        <f>+'9. Közp. Konyha'!C93</f>
        <v>0</v>
      </c>
      <c r="D186" s="73">
        <f>+'9. Közp. Konyha'!D93</f>
        <v>0</v>
      </c>
      <c r="E186" s="73">
        <f>+'9. Közp. Konyha'!E93</f>
        <v>0</v>
      </c>
      <c r="F186" s="435">
        <f>+'9. Közp. Konyha'!F93</f>
        <v>0</v>
      </c>
      <c r="G186" s="73"/>
      <c r="H186" s="424">
        <f>+'9. Közp. Konyha'!H93</f>
        <v>0</v>
      </c>
      <c r="I186" s="73">
        <f>+'9. Közp. Konyha'!I93</f>
        <v>0</v>
      </c>
      <c r="J186" s="459">
        <f>+'9. Közp. Konyha'!J93</f>
        <v>0</v>
      </c>
      <c r="K186" s="73"/>
      <c r="L186" s="531">
        <f t="shared" ref="L186:L195" si="219">IF(D186=0,0,H186/D186)</f>
        <v>0</v>
      </c>
      <c r="M186" s="531">
        <f t="shared" ref="M186:M195" si="220">IF(E186=0,0,I186/E186)</f>
        <v>0</v>
      </c>
      <c r="N186" s="532">
        <f t="shared" ref="N186:N195" si="221">IF(F186=0,0,J186/F186)</f>
        <v>0</v>
      </c>
      <c r="O186" s="73"/>
      <c r="P186" s="424">
        <f>+'9. Közp. Konyha'!P93</f>
        <v>0</v>
      </c>
      <c r="Q186" s="73">
        <f>+'9. Közp. Konyha'!Q93</f>
        <v>0</v>
      </c>
      <c r="R186" s="73">
        <f>+'9. Közp. Konyha'!R93</f>
        <v>0</v>
      </c>
      <c r="S186" s="73">
        <f>+'9. Közp. Konyha'!S93</f>
        <v>0</v>
      </c>
      <c r="T186" s="547">
        <f t="shared" si="215"/>
        <v>0</v>
      </c>
    </row>
    <row r="187" spans="1:20" x14ac:dyDescent="0.25">
      <c r="A187" s="400" t="str">
        <f t="shared" ref="A187:B187" si="222">+A160</f>
        <v>B2</v>
      </c>
      <c r="B187" s="56" t="str">
        <f t="shared" si="222"/>
        <v>Felhalmozási célú tám-ok államházt-on belülről</v>
      </c>
      <c r="C187" s="424"/>
      <c r="D187" s="73"/>
      <c r="E187" s="73"/>
      <c r="F187" s="435"/>
      <c r="G187" s="73"/>
      <c r="H187" s="424"/>
      <c r="I187" s="73"/>
      <c r="J187" s="459"/>
      <c r="K187" s="73"/>
      <c r="L187" s="531">
        <f t="shared" si="219"/>
        <v>0</v>
      </c>
      <c r="M187" s="531">
        <f t="shared" si="220"/>
        <v>0</v>
      </c>
      <c r="N187" s="532">
        <f t="shared" si="221"/>
        <v>0</v>
      </c>
      <c r="O187" s="73"/>
      <c r="P187" s="424"/>
      <c r="Q187" s="73"/>
      <c r="R187" s="73"/>
      <c r="S187" s="73"/>
      <c r="T187" s="547">
        <f t="shared" si="215"/>
        <v>0</v>
      </c>
    </row>
    <row r="188" spans="1:20" x14ac:dyDescent="0.25">
      <c r="A188" s="400" t="str">
        <f t="shared" ref="A188:B188" si="223">+A161</f>
        <v>B3</v>
      </c>
      <c r="B188" s="56" t="str">
        <f t="shared" si="223"/>
        <v>Közhatalmi bevételek</v>
      </c>
      <c r="C188" s="424"/>
      <c r="D188" s="73"/>
      <c r="E188" s="73"/>
      <c r="F188" s="435"/>
      <c r="G188" s="73"/>
      <c r="H188" s="424"/>
      <c r="I188" s="73"/>
      <c r="J188" s="459"/>
      <c r="K188" s="73"/>
      <c r="L188" s="531">
        <f t="shared" si="219"/>
        <v>0</v>
      </c>
      <c r="M188" s="531">
        <f t="shared" si="220"/>
        <v>0</v>
      </c>
      <c r="N188" s="532">
        <f t="shared" si="221"/>
        <v>0</v>
      </c>
      <c r="O188" s="73"/>
      <c r="P188" s="424"/>
      <c r="Q188" s="73"/>
      <c r="R188" s="73"/>
      <c r="S188" s="73"/>
      <c r="T188" s="547">
        <f t="shared" si="215"/>
        <v>0</v>
      </c>
    </row>
    <row r="189" spans="1:20" x14ac:dyDescent="0.25">
      <c r="A189" s="400" t="str">
        <f t="shared" ref="A189:B189" si="224">+A162</f>
        <v>B4</v>
      </c>
      <c r="B189" s="56" t="str">
        <f t="shared" si="224"/>
        <v>Működési bevételek</v>
      </c>
      <c r="C189" s="424">
        <f>+'9. Közp. Konyha'!C95</f>
        <v>26680000</v>
      </c>
      <c r="D189" s="73">
        <f>+'9. Közp. Konyha'!D95</f>
        <v>26680000</v>
      </c>
      <c r="E189" s="73">
        <f>+'9. Közp. Konyha'!E95</f>
        <v>26680000</v>
      </c>
      <c r="F189" s="435">
        <f>+'9. Közp. Konyha'!F95</f>
        <v>26680000</v>
      </c>
      <c r="G189" s="73"/>
      <c r="H189" s="424">
        <f>+'9. Közp. Konyha'!H95</f>
        <v>16394285</v>
      </c>
      <c r="I189" s="73">
        <f>+'9. Közp. Konyha'!I95</f>
        <v>23234984</v>
      </c>
      <c r="J189" s="459">
        <f>+'9. Közp. Konyha'!J95</f>
        <v>33569216</v>
      </c>
      <c r="K189" s="73"/>
      <c r="L189" s="531">
        <f t="shared" si="219"/>
        <v>0.61447844827586207</v>
      </c>
      <c r="M189" s="531">
        <f t="shared" si="220"/>
        <v>0.87087646176911548</v>
      </c>
      <c r="N189" s="532">
        <f t="shared" si="221"/>
        <v>1.258216491754123</v>
      </c>
      <c r="O189" s="73"/>
      <c r="P189" s="424">
        <f>+'9. Közp. Konyha'!P95</f>
        <v>0</v>
      </c>
      <c r="Q189" s="73">
        <f>+'9. Közp. Konyha'!Q95</f>
        <v>0</v>
      </c>
      <c r="R189" s="73">
        <f>+'9. Közp. Konyha'!R95</f>
        <v>0</v>
      </c>
      <c r="S189" s="73">
        <f>+'9. Közp. Konyha'!S95</f>
        <v>0</v>
      </c>
      <c r="T189" s="547">
        <f t="shared" si="215"/>
        <v>0</v>
      </c>
    </row>
    <row r="190" spans="1:20" x14ac:dyDescent="0.25">
      <c r="A190" s="400" t="str">
        <f t="shared" ref="A190:B190" si="225">+A163</f>
        <v>B5</v>
      </c>
      <c r="B190" s="56" t="str">
        <f t="shared" si="225"/>
        <v>Felhalmozási bevételek</v>
      </c>
      <c r="C190" s="424"/>
      <c r="D190" s="73"/>
      <c r="E190" s="73"/>
      <c r="F190" s="435"/>
      <c r="G190" s="73"/>
      <c r="H190" s="424"/>
      <c r="I190" s="73"/>
      <c r="J190" s="459"/>
      <c r="K190" s="73"/>
      <c r="L190" s="531">
        <f t="shared" si="219"/>
        <v>0</v>
      </c>
      <c r="M190" s="531">
        <f t="shared" si="220"/>
        <v>0</v>
      </c>
      <c r="N190" s="532">
        <f t="shared" si="221"/>
        <v>0</v>
      </c>
      <c r="O190" s="73"/>
      <c r="P190" s="424"/>
      <c r="Q190" s="73"/>
      <c r="R190" s="73"/>
      <c r="S190" s="73"/>
      <c r="T190" s="547">
        <f t="shared" si="215"/>
        <v>0</v>
      </c>
    </row>
    <row r="191" spans="1:20" x14ac:dyDescent="0.25">
      <c r="A191" s="400" t="str">
        <f t="shared" ref="A191:B191" si="226">+A164</f>
        <v>B6</v>
      </c>
      <c r="B191" s="56" t="str">
        <f t="shared" si="226"/>
        <v>Működési célú átvett pénzeszközök</v>
      </c>
      <c r="C191" s="424"/>
      <c r="D191" s="73"/>
      <c r="E191" s="73"/>
      <c r="F191" s="435"/>
      <c r="G191" s="73"/>
      <c r="H191" s="424"/>
      <c r="I191" s="73"/>
      <c r="J191" s="459"/>
      <c r="K191" s="73"/>
      <c r="L191" s="531">
        <f t="shared" si="219"/>
        <v>0</v>
      </c>
      <c r="M191" s="531">
        <f t="shared" si="220"/>
        <v>0</v>
      </c>
      <c r="N191" s="532">
        <f t="shared" si="221"/>
        <v>0</v>
      </c>
      <c r="O191" s="73"/>
      <c r="P191" s="424"/>
      <c r="Q191" s="73"/>
      <c r="R191" s="73"/>
      <c r="S191" s="73"/>
      <c r="T191" s="547">
        <f t="shared" si="215"/>
        <v>0</v>
      </c>
    </row>
    <row r="192" spans="1:20" x14ac:dyDescent="0.25">
      <c r="A192" s="400" t="str">
        <f t="shared" ref="A192:B192" si="227">+A165</f>
        <v>B7</v>
      </c>
      <c r="B192" s="56" t="str">
        <f t="shared" si="227"/>
        <v>Felhalmozási célú átvett pénzeszközök</v>
      </c>
      <c r="C192" s="424"/>
      <c r="D192" s="73"/>
      <c r="E192" s="73"/>
      <c r="F192" s="435"/>
      <c r="G192" s="73"/>
      <c r="H192" s="424"/>
      <c r="I192" s="73"/>
      <c r="J192" s="459"/>
      <c r="K192" s="73"/>
      <c r="L192" s="531">
        <f t="shared" si="219"/>
        <v>0</v>
      </c>
      <c r="M192" s="531">
        <f t="shared" si="220"/>
        <v>0</v>
      </c>
      <c r="N192" s="532">
        <f t="shared" si="221"/>
        <v>0</v>
      </c>
      <c r="O192" s="73"/>
      <c r="P192" s="424"/>
      <c r="Q192" s="73"/>
      <c r="R192" s="73"/>
      <c r="S192" s="73"/>
      <c r="T192" s="547">
        <f t="shared" si="215"/>
        <v>0</v>
      </c>
    </row>
    <row r="193" spans="1:20" x14ac:dyDescent="0.25">
      <c r="A193" s="400" t="str">
        <f t="shared" ref="A193" si="228">+A166</f>
        <v>B8-ból maradványértéken túli finanszírozási bevételek</v>
      </c>
      <c r="B193" s="56"/>
      <c r="C193" s="424">
        <f>+'9. Közp. Konyha'!C99-C194</f>
        <v>86752046</v>
      </c>
      <c r="D193" s="73">
        <f>+'9. Közp. Konyha'!D99-D194</f>
        <v>86752046</v>
      </c>
      <c r="E193" s="73">
        <f>+'9. Közp. Konyha'!E99-E194</f>
        <v>86752046</v>
      </c>
      <c r="F193" s="435">
        <f>+'9. Közp. Konyha'!F99-F194</f>
        <v>86752046</v>
      </c>
      <c r="G193" s="73"/>
      <c r="H193" s="424">
        <f>+'9. Közp. Konyha'!H99-H194</f>
        <v>34348463</v>
      </c>
      <c r="I193" s="73">
        <f>+'9. Közp. Konyha'!I99-I194</f>
        <v>46968591</v>
      </c>
      <c r="J193" s="459">
        <f>+'9. Közp. Konyha'!J99-J194</f>
        <v>69312030</v>
      </c>
      <c r="K193" s="73"/>
      <c r="L193" s="531">
        <f t="shared" si="219"/>
        <v>0.39593836207620969</v>
      </c>
      <c r="M193" s="531">
        <f t="shared" si="220"/>
        <v>0.5414119109075537</v>
      </c>
      <c r="N193" s="532">
        <f t="shared" si="221"/>
        <v>0.7989670929490239</v>
      </c>
      <c r="O193" s="73"/>
      <c r="P193" s="424">
        <f>+'9. Közp. Konyha'!P99-P194</f>
        <v>0</v>
      </c>
      <c r="Q193" s="73">
        <f>+'9. Közp. Konyha'!Q99-Q194</f>
        <v>0</v>
      </c>
      <c r="R193" s="73">
        <f>+'9. Közp. Konyha'!R99-R194</f>
        <v>0</v>
      </c>
      <c r="S193" s="73">
        <f>+'9. Közp. Konyha'!S99-S194</f>
        <v>0</v>
      </c>
      <c r="T193" s="547">
        <f t="shared" si="215"/>
        <v>0</v>
      </c>
    </row>
    <row r="194" spans="1:20" x14ac:dyDescent="0.25">
      <c r="A194" s="400" t="str">
        <f t="shared" ref="A194" si="229">+A167</f>
        <v>B8-ból előző évi mardvány igénybevétele</v>
      </c>
      <c r="B194" s="56"/>
      <c r="C194" s="424">
        <f>+'9. Közp. Konyha'!C101</f>
        <v>988954</v>
      </c>
      <c r="D194" s="73">
        <f>+'9. Közp. Konyha'!D101</f>
        <v>988954</v>
      </c>
      <c r="E194" s="73">
        <f>+'9. Közp. Konyha'!E101</f>
        <v>988954</v>
      </c>
      <c r="F194" s="435">
        <f>+'9. Közp. Konyha'!F101</f>
        <v>988954</v>
      </c>
      <c r="G194" s="73"/>
      <c r="H194" s="424">
        <f>+'9. Közp. Konyha'!H101</f>
        <v>988954</v>
      </c>
      <c r="I194" s="73">
        <f>+'9. Közp. Konyha'!I101</f>
        <v>988954</v>
      </c>
      <c r="J194" s="459">
        <f>+'9. Közp. Konyha'!J101</f>
        <v>988954</v>
      </c>
      <c r="K194" s="73"/>
      <c r="L194" s="531">
        <f t="shared" si="219"/>
        <v>1</v>
      </c>
      <c r="M194" s="531">
        <f t="shared" si="220"/>
        <v>1</v>
      </c>
      <c r="N194" s="532">
        <f t="shared" si="221"/>
        <v>1</v>
      </c>
      <c r="O194" s="73"/>
      <c r="P194" s="424">
        <f>+'9. Közp. Konyha'!P101</f>
        <v>0</v>
      </c>
      <c r="Q194" s="73">
        <f>+'9. Közp. Konyha'!Q101</f>
        <v>0</v>
      </c>
      <c r="R194" s="73">
        <f>+'9. Közp. Konyha'!R101</f>
        <v>0</v>
      </c>
      <c r="S194" s="73">
        <f>+'9. Közp. Konyha'!S101</f>
        <v>0</v>
      </c>
      <c r="T194" s="547">
        <f t="shared" si="215"/>
        <v>0</v>
      </c>
    </row>
    <row r="195" spans="1:20" x14ac:dyDescent="0.25">
      <c r="A195" s="404"/>
      <c r="B195" s="386" t="s">
        <v>370</v>
      </c>
      <c r="C195" s="426">
        <f>SUM(C186:C194)</f>
        <v>114421000</v>
      </c>
      <c r="D195" s="387">
        <f t="shared" ref="D195" si="230">SUM(D186:D194)</f>
        <v>114421000</v>
      </c>
      <c r="E195" s="387">
        <f t="shared" ref="E195" si="231">SUM(E186:E194)</f>
        <v>114421000</v>
      </c>
      <c r="F195" s="443">
        <f t="shared" ref="F195" si="232">SUM(F186:F194)</f>
        <v>114421000</v>
      </c>
      <c r="G195" s="387"/>
      <c r="H195" s="426">
        <f t="shared" ref="H195" si="233">SUM(H186:H194)</f>
        <v>51731702</v>
      </c>
      <c r="I195" s="387">
        <f t="shared" ref="I195" si="234">SUM(I186:I194)</f>
        <v>71192529</v>
      </c>
      <c r="J195" s="388">
        <f t="shared" ref="J195" si="235">SUM(J186:J194)</f>
        <v>103870200</v>
      </c>
      <c r="K195" s="389"/>
      <c r="L195" s="535">
        <f t="shared" si="219"/>
        <v>0.45211719876596079</v>
      </c>
      <c r="M195" s="535">
        <f t="shared" si="220"/>
        <v>0.62219810174705692</v>
      </c>
      <c r="N195" s="536">
        <f t="shared" si="221"/>
        <v>0.907789653997081</v>
      </c>
      <c r="O195" s="389"/>
      <c r="P195" s="426">
        <f t="shared" ref="P195" si="236">SUM(P186:P194)</f>
        <v>0</v>
      </c>
      <c r="Q195" s="387">
        <f t="shared" ref="Q195" si="237">SUM(Q186:Q194)</f>
        <v>0</v>
      </c>
      <c r="R195" s="387">
        <f t="shared" ref="R195" si="238">SUM(R186:R194)</f>
        <v>0</v>
      </c>
      <c r="S195" s="388">
        <f t="shared" ref="S195" si="239">SUM(S186:S194)</f>
        <v>0</v>
      </c>
      <c r="T195" s="548">
        <f t="shared" si="215"/>
        <v>0</v>
      </c>
    </row>
    <row r="196" spans="1:20" x14ac:dyDescent="0.25">
      <c r="A196" s="403"/>
      <c r="C196" s="403"/>
      <c r="F196" s="446"/>
      <c r="H196" s="403"/>
      <c r="J196" s="457"/>
      <c r="L196" s="531"/>
      <c r="M196" s="531"/>
      <c r="N196" s="532"/>
      <c r="P196" s="403"/>
      <c r="T196" s="549"/>
    </row>
    <row r="197" spans="1:20" ht="13.8" thickBot="1" x14ac:dyDescent="0.3">
      <c r="A197" s="406"/>
      <c r="B197" s="407" t="s">
        <v>449</v>
      </c>
      <c r="C197" s="428">
        <f>+C195-C184</f>
        <v>0</v>
      </c>
      <c r="D197" s="408">
        <f>+D195-D184</f>
        <v>0</v>
      </c>
      <c r="E197" s="408">
        <f>+E195-E184</f>
        <v>0</v>
      </c>
      <c r="F197" s="445">
        <f>+F195-F184</f>
        <v>0</v>
      </c>
      <c r="G197" s="408"/>
      <c r="H197" s="428">
        <f>+H195-H184</f>
        <v>1991789</v>
      </c>
      <c r="I197" s="408">
        <f>+I195-I184</f>
        <v>1113835</v>
      </c>
      <c r="J197" s="410">
        <f>+J195-J184</f>
        <v>3312732</v>
      </c>
      <c r="K197" s="409"/>
      <c r="L197" s="537">
        <f t="shared" ref="L197" si="240">IF(D197=0,0,H197/D197)</f>
        <v>0</v>
      </c>
      <c r="M197" s="537">
        <f t="shared" ref="M197" si="241">IF(E197=0,0,I197/E197)</f>
        <v>0</v>
      </c>
      <c r="N197" s="538">
        <f t="shared" ref="N197" si="242">IF(F197=0,0,J197/F197)</f>
        <v>0</v>
      </c>
      <c r="O197" s="409"/>
      <c r="P197" s="428">
        <f>+P195-P184</f>
        <v>0</v>
      </c>
      <c r="Q197" s="408">
        <f>+Q195-Q184</f>
        <v>0</v>
      </c>
      <c r="R197" s="408">
        <f>+R195-R184</f>
        <v>0</v>
      </c>
      <c r="S197" s="410">
        <f>+S195-S184</f>
        <v>0</v>
      </c>
      <c r="T197" s="550"/>
    </row>
    <row r="198" spans="1:20" ht="13.8" thickBot="1" x14ac:dyDescent="0.3">
      <c r="C198" s="430"/>
      <c r="D198" s="436"/>
      <c r="E198" s="436"/>
      <c r="F198" s="449"/>
      <c r="H198" s="430"/>
      <c r="I198" s="436"/>
      <c r="J198" s="462"/>
      <c r="K198" s="436"/>
      <c r="L198" s="545"/>
      <c r="M198" s="545"/>
      <c r="N198" s="546"/>
      <c r="P198" s="430"/>
      <c r="Q198" s="431"/>
      <c r="R198" s="431"/>
      <c r="S198" s="431"/>
      <c r="T198" s="550"/>
    </row>
    <row r="199" spans="1:20" x14ac:dyDescent="0.25">
      <c r="L199" s="531"/>
      <c r="M199" s="531"/>
      <c r="N199" s="531"/>
      <c r="T199" s="552"/>
    </row>
    <row r="200" spans="1:20" x14ac:dyDescent="0.25">
      <c r="T200" s="552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15748031496062992" bottom="0" header="0.31496062992125984" footer="0.31496062992125984"/>
  <pageSetup paperSize="9" scale="54" fitToHeight="0" orientation="landscape" r:id="rId1"/>
  <headerFooter>
    <oddHeader xml:space="preserve">&amp;R&amp;"Arial,Félkövér dőlt"&amp;A&amp;"Arial,Normál"
&amp;"Arial,Dőlt"&amp;8&amp;F  </oddHeader>
  </headerFooter>
  <rowBreaks count="3" manualBreakCount="3">
    <brk id="64" max="16383" man="1"/>
    <brk id="118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5"/>
  <sheetViews>
    <sheetView topLeftCell="E1" zoomScale="115" zoomScaleNormal="115" workbookViewId="0">
      <selection activeCell="J1" sqref="J1"/>
    </sheetView>
  </sheetViews>
  <sheetFormatPr defaultRowHeight="13.2" x14ac:dyDescent="0.25"/>
  <cols>
    <col min="1" max="1" width="6.33203125" style="13" bestFit="1" customWidth="1"/>
    <col min="2" max="2" width="47.6640625" style="13" bestFit="1" customWidth="1"/>
    <col min="3" max="4" width="18.5546875" style="17" customWidth="1"/>
    <col min="5" max="5" width="18.5546875" style="13" customWidth="1"/>
    <col min="6" max="6" width="21.5546875" style="13" bestFit="1" customWidth="1"/>
    <col min="7" max="7" width="1.5546875" style="13" customWidth="1"/>
    <col min="8" max="9" width="16.33203125" style="13" customWidth="1"/>
    <col min="10" max="10" width="14.44140625" style="13" customWidth="1"/>
    <col min="11" max="11" width="1.5546875" style="13" customWidth="1"/>
    <col min="12" max="12" width="14.5546875" style="13" customWidth="1"/>
    <col min="13" max="13" width="15.88671875" style="13" customWidth="1"/>
    <col min="14" max="14" width="16.21875" style="13" bestFit="1" customWidth="1"/>
    <col min="15" max="15" width="1.5546875" style="13" customWidth="1"/>
    <col min="16" max="16" width="18.5546875" style="13" customWidth="1"/>
    <col min="17" max="17" width="18.77734375" style="13" customWidth="1"/>
    <col min="18" max="18" width="19.33203125" style="13" customWidth="1"/>
    <col min="19" max="19" width="18.5546875" style="13" customWidth="1"/>
    <col min="20" max="20" width="10.5546875" customWidth="1"/>
    <col min="21" max="21" width="1.5546875" style="13" customWidth="1"/>
    <col min="22" max="22" width="2.44140625" customWidth="1"/>
  </cols>
  <sheetData>
    <row r="1" spans="1:22" ht="24.6" x14ac:dyDescent="0.4">
      <c r="A1" s="756" t="s">
        <v>471</v>
      </c>
      <c r="B1" s="757"/>
      <c r="C1" s="757"/>
      <c r="D1" s="757"/>
      <c r="E1" s="757"/>
      <c r="F1" s="757"/>
      <c r="G1" s="63"/>
      <c r="H1" s="63"/>
      <c r="I1" s="229"/>
      <c r="J1" s="728" t="s">
        <v>518</v>
      </c>
      <c r="K1" s="716"/>
      <c r="L1" s="716"/>
      <c r="M1" s="716"/>
      <c r="N1" s="716"/>
      <c r="O1" s="63"/>
      <c r="Q1" s="63"/>
      <c r="R1" s="63"/>
      <c r="S1" s="63"/>
      <c r="U1" s="63"/>
    </row>
    <row r="2" spans="1:22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U2" s="63"/>
    </row>
    <row r="3" spans="1:22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U3" s="63"/>
    </row>
    <row r="4" spans="1:22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U4" s="63"/>
    </row>
    <row r="5" spans="1:22" x14ac:dyDescent="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U5" s="63"/>
    </row>
    <row r="6" spans="1:22" ht="16.350000000000001" customHeight="1" x14ac:dyDescent="0.25">
      <c r="A6" s="776" t="s">
        <v>367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8"/>
      <c r="O6" s="778"/>
      <c r="P6" s="778"/>
      <c r="Q6" s="778"/>
      <c r="R6" s="778"/>
      <c r="S6" s="778"/>
      <c r="T6" s="778"/>
      <c r="U6" s="778"/>
      <c r="V6" s="779"/>
    </row>
    <row r="7" spans="1:22" ht="16.350000000000001" customHeight="1" x14ac:dyDescent="0.3">
      <c r="A7" s="168"/>
      <c r="B7" s="169"/>
      <c r="C7" s="770" t="s">
        <v>401</v>
      </c>
      <c r="D7" s="771"/>
      <c r="E7" s="771"/>
      <c r="F7" s="772"/>
      <c r="G7" s="170"/>
      <c r="H7" s="770" t="s">
        <v>411</v>
      </c>
      <c r="I7" s="780"/>
      <c r="J7" s="780"/>
      <c r="K7" s="780"/>
      <c r="L7" s="780"/>
      <c r="M7" s="780"/>
      <c r="N7" s="781"/>
      <c r="O7" s="170"/>
      <c r="P7" s="770" t="s">
        <v>397</v>
      </c>
      <c r="Q7" s="771"/>
      <c r="R7" s="771"/>
      <c r="S7" s="771"/>
      <c r="T7" s="772"/>
      <c r="U7" s="171"/>
      <c r="V7" s="751" t="s">
        <v>403</v>
      </c>
    </row>
    <row r="8" spans="1:22" ht="16.350000000000001" customHeight="1" x14ac:dyDescent="0.25">
      <c r="A8" s="172"/>
      <c r="B8" s="130"/>
      <c r="C8" s="151"/>
      <c r="D8" s="151"/>
      <c r="E8" s="156"/>
      <c r="F8" s="156"/>
      <c r="G8" s="156"/>
      <c r="H8" s="773" t="s">
        <v>413</v>
      </c>
      <c r="I8" s="774"/>
      <c r="J8" s="775"/>
      <c r="K8" s="173"/>
      <c r="L8" s="773" t="s">
        <v>412</v>
      </c>
      <c r="M8" s="774"/>
      <c r="N8" s="775"/>
      <c r="O8" s="156"/>
      <c r="P8" s="369">
        <v>1</v>
      </c>
      <c r="Q8" s="370">
        <v>1</v>
      </c>
      <c r="R8" s="370">
        <v>0</v>
      </c>
      <c r="S8" s="174"/>
      <c r="T8" s="174"/>
      <c r="U8" s="162"/>
      <c r="V8" s="754"/>
    </row>
    <row r="9" spans="1:22" ht="42" x14ac:dyDescent="0.25">
      <c r="A9" s="182" t="s">
        <v>414</v>
      </c>
      <c r="B9" s="188" t="s">
        <v>364</v>
      </c>
      <c r="C9" s="183" t="s">
        <v>485</v>
      </c>
      <c r="D9" s="184" t="s">
        <v>486</v>
      </c>
      <c r="E9" s="184" t="s">
        <v>487</v>
      </c>
      <c r="F9" s="184" t="s">
        <v>488</v>
      </c>
      <c r="G9" s="184"/>
      <c r="H9" s="185" t="s">
        <v>489</v>
      </c>
      <c r="I9" s="185" t="s">
        <v>490</v>
      </c>
      <c r="J9" s="185" t="s">
        <v>491</v>
      </c>
      <c r="K9" s="184"/>
      <c r="L9" s="186" t="s">
        <v>492</v>
      </c>
      <c r="M9" s="186" t="s">
        <v>494</v>
      </c>
      <c r="N9" s="186" t="s">
        <v>493</v>
      </c>
      <c r="O9" s="185"/>
      <c r="P9" s="185" t="s">
        <v>495</v>
      </c>
      <c r="Q9" s="185" t="s">
        <v>496</v>
      </c>
      <c r="R9" s="185" t="s">
        <v>497</v>
      </c>
      <c r="S9" s="185" t="s">
        <v>398</v>
      </c>
      <c r="T9" s="186" t="s">
        <v>399</v>
      </c>
      <c r="U9" s="187" t="s">
        <v>403</v>
      </c>
      <c r="V9" s="755"/>
    </row>
    <row r="10" spans="1:22" x14ac:dyDescent="0.25">
      <c r="A10" s="34" t="s">
        <v>237</v>
      </c>
      <c r="B10" s="18" t="s">
        <v>238</v>
      </c>
      <c r="C10" s="160">
        <f>+'bevételi segédtábla'!C13</f>
        <v>741516395</v>
      </c>
      <c r="D10" s="160">
        <f>+'bevételi segédtábla'!D13</f>
        <v>741516395</v>
      </c>
      <c r="E10" s="160">
        <f>+'bevételi segédtábla'!E13</f>
        <v>741045093</v>
      </c>
      <c r="F10" s="160">
        <f>+'bevételi segédtábla'!F13</f>
        <v>733919609</v>
      </c>
      <c r="G10" s="160"/>
      <c r="H10" s="160">
        <f>+'bevételi segédtábla'!H13</f>
        <v>379556150</v>
      </c>
      <c r="I10" s="138">
        <f>+'bevételi segédtábla'!I13</f>
        <v>562676544</v>
      </c>
      <c r="J10" s="160">
        <f>+'bevételi segédtábla'!J13</f>
        <v>737188599</v>
      </c>
      <c r="K10" s="160"/>
      <c r="L10" s="672">
        <f>H10/D10</f>
        <v>0.5118648118360215</v>
      </c>
      <c r="M10" s="672">
        <f>I10/E10</f>
        <v>0.75930135603772231</v>
      </c>
      <c r="N10" s="672">
        <f>J10/F10</f>
        <v>1.0044541526890856</v>
      </c>
      <c r="O10" s="673"/>
      <c r="P10" s="160">
        <f>+'bevételi segédtábla'!P13</f>
        <v>0</v>
      </c>
      <c r="Q10" s="160">
        <f>+'bevételi segédtábla'!Q13</f>
        <v>-471302</v>
      </c>
      <c r="R10" s="160">
        <f>+'bevételi segédtábla'!R13</f>
        <v>0</v>
      </c>
      <c r="S10" s="160">
        <f>+'bevételi segédtábla'!S13</f>
        <v>-471302</v>
      </c>
      <c r="T10" s="176">
        <f>IF(C10=0,0,+S10/C10)</f>
        <v>-6.3559215032595474E-4</v>
      </c>
      <c r="U10" s="160"/>
      <c r="V10" s="179">
        <f>+S10-E10+C10</f>
        <v>0</v>
      </c>
    </row>
    <row r="11" spans="1:22" x14ac:dyDescent="0.25">
      <c r="A11" s="34" t="s">
        <v>257</v>
      </c>
      <c r="B11" s="18" t="s">
        <v>258</v>
      </c>
      <c r="C11" s="160">
        <f>+'bevételi segédtábla'!C14</f>
        <v>240330297</v>
      </c>
      <c r="D11" s="160">
        <f>+'bevételi segédtábla'!D14</f>
        <v>263496440</v>
      </c>
      <c r="E11" s="160">
        <f>+'bevételi segédtábla'!E14</f>
        <v>285167742</v>
      </c>
      <c r="F11" s="160">
        <f>+'bevételi segédtábla'!F14</f>
        <v>203746174</v>
      </c>
      <c r="G11" s="160"/>
      <c r="H11" s="160">
        <f>+'bevételi segédtábla'!H14</f>
        <v>46110402</v>
      </c>
      <c r="I11" s="138">
        <f>+'bevételi segédtábla'!I14</f>
        <v>121917895</v>
      </c>
      <c r="J11" s="160">
        <f>+'bevételi segédtábla'!J14</f>
        <v>213746174</v>
      </c>
      <c r="K11" s="160"/>
      <c r="L11" s="672">
        <f t="shared" ref="L11:N17" si="0">H11/D11</f>
        <v>0.17499440220141116</v>
      </c>
      <c r="M11" s="672">
        <f t="shared" si="0"/>
        <v>0.42753045679339147</v>
      </c>
      <c r="N11" s="672">
        <f t="shared" si="0"/>
        <v>1.0490806762339497</v>
      </c>
      <c r="O11" s="673"/>
      <c r="P11" s="160">
        <f>+'bevételi segédtábla'!P14</f>
        <v>23166143</v>
      </c>
      <c r="Q11" s="160">
        <f>+'bevételi segédtábla'!Q14</f>
        <v>21671302</v>
      </c>
      <c r="R11" s="160">
        <f>+'bevételi segédtábla'!R14</f>
        <v>0</v>
      </c>
      <c r="S11" s="160">
        <f>+'bevételi segédtábla'!S14</f>
        <v>44837445</v>
      </c>
      <c r="T11" s="176">
        <f t="shared" ref="T11:T19" si="1">IF(C11=0,0,+S11/C11)</f>
        <v>0.18656592847301312</v>
      </c>
      <c r="U11" s="160"/>
      <c r="V11" s="179">
        <f t="shared" ref="V11:V19" si="2">+S11-E11+C11</f>
        <v>0</v>
      </c>
    </row>
    <row r="12" spans="1:22" x14ac:dyDescent="0.25">
      <c r="A12" s="34" t="s">
        <v>265</v>
      </c>
      <c r="B12" s="18" t="s">
        <v>266</v>
      </c>
      <c r="C12" s="160">
        <f>+'bevételi segédtábla'!C15</f>
        <v>132000000</v>
      </c>
      <c r="D12" s="160">
        <f>+'bevételi segédtábla'!D15</f>
        <v>132000000</v>
      </c>
      <c r="E12" s="160">
        <f>+'bevételi segédtábla'!E15</f>
        <v>132000000</v>
      </c>
      <c r="F12" s="160">
        <f>+'bevételi segédtábla'!F15</f>
        <v>200000000</v>
      </c>
      <c r="G12" s="160"/>
      <c r="H12" s="160">
        <f>+'bevételi segédtábla'!H15</f>
        <v>72544113</v>
      </c>
      <c r="I12" s="138">
        <f>+'bevételi segédtábla'!I15</f>
        <v>185601504</v>
      </c>
      <c r="J12" s="160">
        <f>+'bevételi segédtábla'!J15</f>
        <v>249032958</v>
      </c>
      <c r="K12" s="160"/>
      <c r="L12" s="672">
        <f t="shared" si="0"/>
        <v>0.54957661363636368</v>
      </c>
      <c r="M12" s="672">
        <f t="shared" si="0"/>
        <v>1.406072</v>
      </c>
      <c r="N12" s="672">
        <f t="shared" si="0"/>
        <v>1.24516479</v>
      </c>
      <c r="O12" s="673"/>
      <c r="P12" s="160">
        <f>+'bevételi segédtábla'!P15</f>
        <v>0</v>
      </c>
      <c r="Q12" s="160">
        <f>+'bevételi segédtábla'!Q15</f>
        <v>0</v>
      </c>
      <c r="R12" s="160">
        <f>+'bevételi segédtábla'!R15</f>
        <v>0</v>
      </c>
      <c r="S12" s="160">
        <f>+'bevételi segédtábla'!S15</f>
        <v>0</v>
      </c>
      <c r="T12" s="176">
        <f t="shared" si="1"/>
        <v>0</v>
      </c>
      <c r="U12" s="160"/>
      <c r="V12" s="179">
        <f t="shared" si="2"/>
        <v>0</v>
      </c>
    </row>
    <row r="13" spans="1:22" x14ac:dyDescent="0.25">
      <c r="A13" s="34" t="s">
        <v>278</v>
      </c>
      <c r="B13" s="18" t="s">
        <v>279</v>
      </c>
      <c r="C13" s="160">
        <f>+'bevételi segédtábla'!C16</f>
        <v>91151000</v>
      </c>
      <c r="D13" s="160">
        <f>+'bevételi segédtábla'!D16</f>
        <v>88651000</v>
      </c>
      <c r="E13" s="160">
        <f>+'bevételi segédtábla'!E16</f>
        <v>88651000</v>
      </c>
      <c r="F13" s="160">
        <f>+'bevételi segédtábla'!F16</f>
        <v>96889577</v>
      </c>
      <c r="G13" s="160"/>
      <c r="H13" s="138">
        <f>+'bevételi segédtábla'!H16</f>
        <v>50808323</v>
      </c>
      <c r="I13" s="138">
        <f>+'bevételi segédtábla'!I16</f>
        <v>78863706</v>
      </c>
      <c r="J13" s="160">
        <f>+'bevételi segédtábla'!J16</f>
        <v>109047412</v>
      </c>
      <c r="K13" s="160"/>
      <c r="L13" s="672">
        <f t="shared" si="0"/>
        <v>0.57312746613123366</v>
      </c>
      <c r="M13" s="672">
        <f t="shared" si="0"/>
        <v>0.889597477749828</v>
      </c>
      <c r="N13" s="672">
        <f t="shared" si="0"/>
        <v>1.1254813507958652</v>
      </c>
      <c r="O13" s="673"/>
      <c r="P13" s="160">
        <f>+'bevételi segédtábla'!P16</f>
        <v>-2500000</v>
      </c>
      <c r="Q13" s="160">
        <f>+'bevételi segédtábla'!Q16</f>
        <v>0</v>
      </c>
      <c r="R13" s="160">
        <f>+'bevételi segédtábla'!R16</f>
        <v>0</v>
      </c>
      <c r="S13" s="160">
        <f>+'bevételi segédtábla'!S16</f>
        <v>-2500000</v>
      </c>
      <c r="T13" s="176">
        <f t="shared" si="1"/>
        <v>-2.742701670853858E-2</v>
      </c>
      <c r="U13" s="160"/>
      <c r="V13" s="179">
        <f t="shared" si="2"/>
        <v>0</v>
      </c>
    </row>
    <row r="14" spans="1:22" x14ac:dyDescent="0.25">
      <c r="A14" s="34" t="s">
        <v>304</v>
      </c>
      <c r="B14" s="18" t="s">
        <v>305</v>
      </c>
      <c r="C14" s="160">
        <f>+'bevételi segédtábla'!C17</f>
        <v>90845000</v>
      </c>
      <c r="D14" s="160">
        <f>+'bevételi segédtábla'!D17</f>
        <v>90845000</v>
      </c>
      <c r="E14" s="160">
        <f>+'bevételi segédtábla'!E17</f>
        <v>90845000</v>
      </c>
      <c r="F14" s="160">
        <f>+'bevételi segédtábla'!F17</f>
        <v>64227622</v>
      </c>
      <c r="G14" s="160"/>
      <c r="H14" s="138">
        <f>+'bevételi segédtábla'!H17</f>
        <v>1169292</v>
      </c>
      <c r="I14" s="138">
        <f>+'bevételi segédtábla'!I17</f>
        <v>1753938</v>
      </c>
      <c r="J14" s="160">
        <f>+'bevételi segédtábla'!J17</f>
        <v>54425789</v>
      </c>
      <c r="K14" s="160"/>
      <c r="L14" s="672">
        <f t="shared" si="0"/>
        <v>1.2871286256811052E-2</v>
      </c>
      <c r="M14" s="672">
        <f t="shared" si="0"/>
        <v>1.9306929385216578E-2</v>
      </c>
      <c r="N14" s="672">
        <f t="shared" si="0"/>
        <v>0.8473891342263925</v>
      </c>
      <c r="O14" s="673"/>
      <c r="P14" s="160">
        <f>+'bevételi segédtábla'!P17</f>
        <v>0</v>
      </c>
      <c r="Q14" s="160">
        <f>+'bevételi segédtábla'!Q17</f>
        <v>0</v>
      </c>
      <c r="R14" s="160">
        <f>+'bevételi segédtábla'!R17</f>
        <v>0</v>
      </c>
      <c r="S14" s="160">
        <f>+'bevételi segédtábla'!S17</f>
        <v>0</v>
      </c>
      <c r="T14" s="176">
        <f t="shared" si="1"/>
        <v>0</v>
      </c>
      <c r="U14" s="160"/>
      <c r="V14" s="179">
        <f t="shared" si="2"/>
        <v>0</v>
      </c>
    </row>
    <row r="15" spans="1:22" x14ac:dyDescent="0.25">
      <c r="A15" s="34" t="s">
        <v>314</v>
      </c>
      <c r="B15" s="18" t="s">
        <v>315</v>
      </c>
      <c r="C15" s="160">
        <f>+'bevételi segédtábla'!C18</f>
        <v>4181435</v>
      </c>
      <c r="D15" s="160">
        <f>+'bevételi segédtábla'!D18</f>
        <v>4181435</v>
      </c>
      <c r="E15" s="160">
        <f>+'bevételi segédtábla'!E18</f>
        <v>4181435</v>
      </c>
      <c r="F15" s="160">
        <f>+'bevételi segédtábla'!F18</f>
        <v>4181435</v>
      </c>
      <c r="G15" s="160"/>
      <c r="H15" s="160">
        <f>+'bevételi segédtábla'!H18</f>
        <v>420000</v>
      </c>
      <c r="I15" s="138">
        <f>+'bevételi segédtábla'!I18</f>
        <v>630000</v>
      </c>
      <c r="J15" s="160">
        <f>+'bevételi segédtábla'!J18</f>
        <v>1791310</v>
      </c>
      <c r="K15" s="160"/>
      <c r="L15" s="672">
        <f t="shared" si="0"/>
        <v>0.10044398633483481</v>
      </c>
      <c r="M15" s="672">
        <f t="shared" si="0"/>
        <v>0.15066597950225222</v>
      </c>
      <c r="N15" s="672">
        <f t="shared" si="0"/>
        <v>0.42839599324155464</v>
      </c>
      <c r="O15" s="673"/>
      <c r="P15" s="160">
        <f>+'bevételi segédtábla'!P18</f>
        <v>0</v>
      </c>
      <c r="Q15" s="160">
        <f>+'bevételi segédtábla'!Q18</f>
        <v>0</v>
      </c>
      <c r="R15" s="160">
        <f>+'bevételi segédtábla'!R18</f>
        <v>0</v>
      </c>
      <c r="S15" s="160">
        <f>+'bevételi segédtábla'!S18</f>
        <v>0</v>
      </c>
      <c r="T15" s="176">
        <f t="shared" si="1"/>
        <v>0</v>
      </c>
      <c r="U15" s="160"/>
      <c r="V15" s="179">
        <f t="shared" si="2"/>
        <v>0</v>
      </c>
    </row>
    <row r="16" spans="1:22" x14ac:dyDescent="0.25">
      <c r="A16" s="34" t="s">
        <v>320</v>
      </c>
      <c r="B16" s="18" t="s">
        <v>321</v>
      </c>
      <c r="C16" s="160">
        <f>+'bevételi segédtábla'!C19</f>
        <v>5900000</v>
      </c>
      <c r="D16" s="160">
        <f>+'bevételi segédtábla'!D19</f>
        <v>5900000</v>
      </c>
      <c r="E16" s="160">
        <f>+'bevételi segédtábla'!E19</f>
        <v>5900000</v>
      </c>
      <c r="F16" s="160">
        <f>+'bevételi segédtábla'!F19</f>
        <v>7946980</v>
      </c>
      <c r="G16" s="160"/>
      <c r="H16" s="160">
        <f>+'bevételi segédtábla'!H19</f>
        <v>1041500</v>
      </c>
      <c r="I16" s="138">
        <f>+'bevételi segédtábla'!I19</f>
        <v>1925820</v>
      </c>
      <c r="J16" s="160">
        <f>+'bevételi segédtábla'!J19</f>
        <v>7946980</v>
      </c>
      <c r="K16" s="160"/>
      <c r="L16" s="672">
        <f t="shared" si="0"/>
        <v>0.17652542372881355</v>
      </c>
      <c r="M16" s="672">
        <f t="shared" si="0"/>
        <v>0.3264101694915254</v>
      </c>
      <c r="N16" s="672">
        <f t="shared" si="0"/>
        <v>1</v>
      </c>
      <c r="O16" s="673"/>
      <c r="P16" s="160">
        <f>+'bevételi segédtábla'!P19</f>
        <v>0</v>
      </c>
      <c r="Q16" s="160">
        <f>+'bevételi segédtábla'!Q19</f>
        <v>0</v>
      </c>
      <c r="R16" s="160">
        <f>+'bevételi segédtábla'!R19</f>
        <v>0</v>
      </c>
      <c r="S16" s="160">
        <f>+'bevételi segédtábla'!S19</f>
        <v>0</v>
      </c>
      <c r="T16" s="176">
        <f t="shared" si="1"/>
        <v>0</v>
      </c>
      <c r="U16" s="160"/>
      <c r="V16" s="179">
        <f t="shared" si="2"/>
        <v>0</v>
      </c>
    </row>
    <row r="17" spans="1:22" x14ac:dyDescent="0.25">
      <c r="A17" s="34" t="s">
        <v>327</v>
      </c>
      <c r="B17" s="18" t="s">
        <v>328</v>
      </c>
      <c r="C17" s="160">
        <f>+'bevételi segédtábla'!C20</f>
        <v>804865436</v>
      </c>
      <c r="D17" s="160">
        <f>+'bevételi segédtábla'!D20</f>
        <v>805354680</v>
      </c>
      <c r="E17" s="160">
        <f>+'bevételi segédtábla'!E20</f>
        <v>805354680</v>
      </c>
      <c r="F17" s="160">
        <f>+'bevételi segédtábla'!F20</f>
        <v>805354680</v>
      </c>
      <c r="G17" s="160"/>
      <c r="H17" s="160">
        <f>+'bevételi segédtábla'!H20</f>
        <v>509451386</v>
      </c>
      <c r="I17" s="138">
        <f>+'bevételi segédtábla'!I20</f>
        <v>633262754</v>
      </c>
      <c r="J17" s="160">
        <f>+'bevételi segédtábla'!J20</f>
        <v>800667198</v>
      </c>
      <c r="K17" s="160"/>
      <c r="L17" s="672">
        <f t="shared" si="0"/>
        <v>0.63258015213868257</v>
      </c>
      <c r="M17" s="672">
        <f t="shared" si="0"/>
        <v>0.78631535859455115</v>
      </c>
      <c r="N17" s="672">
        <f t="shared" si="0"/>
        <v>0.99417960543794193</v>
      </c>
      <c r="O17" s="673"/>
      <c r="P17" s="160">
        <f>+'bevételi segédtábla'!P20</f>
        <v>978488</v>
      </c>
      <c r="Q17" s="160">
        <f>+'bevételi segédtábla'!Q20</f>
        <v>0</v>
      </c>
      <c r="R17" s="160">
        <f>+'bevételi segédtábla'!R20</f>
        <v>0</v>
      </c>
      <c r="S17" s="160">
        <f>+'bevételi segédtábla'!S20</f>
        <v>978488</v>
      </c>
      <c r="T17" s="176">
        <f t="shared" si="1"/>
        <v>1.2157162629108102E-3</v>
      </c>
      <c r="U17" s="160"/>
      <c r="V17" s="179">
        <f t="shared" si="2"/>
        <v>489244</v>
      </c>
    </row>
    <row r="18" spans="1:22" x14ac:dyDescent="0.25">
      <c r="A18" s="34"/>
      <c r="B18" s="368" t="s">
        <v>435</v>
      </c>
      <c r="C18" s="160">
        <f>+'bevételi segédtábla'!C21</f>
        <v>-588485599</v>
      </c>
      <c r="D18" s="160">
        <f>+'bevételi segédtábla'!D21</f>
        <v>-588485599</v>
      </c>
      <c r="E18" s="160">
        <f>+'bevételi segédtábla'!E21</f>
        <v>-588485599</v>
      </c>
      <c r="F18" s="160">
        <f>+'bevételi segédtábla'!F21</f>
        <v>-588485599</v>
      </c>
      <c r="G18" s="160"/>
      <c r="H18" s="160">
        <f>+'bevételi segédtábla'!H21</f>
        <v>-292582305</v>
      </c>
      <c r="I18" s="138">
        <f>+'bevételi segédtábla'!I21</f>
        <v>-416393673</v>
      </c>
      <c r="J18" s="160">
        <f>+'bevételi segédtábla'!J21</f>
        <v>-559220758</v>
      </c>
      <c r="K18" s="160"/>
      <c r="L18" s="672">
        <f t="shared" ref="L18" si="3">H18/D18</f>
        <v>0.49717836000945198</v>
      </c>
      <c r="M18" s="672">
        <f t="shared" ref="M18" si="4">I18/E18</f>
        <v>0.70756816089904007</v>
      </c>
      <c r="N18" s="672">
        <f t="shared" ref="N18" si="5">J18/F18</f>
        <v>0.95027093092893167</v>
      </c>
      <c r="O18" s="673"/>
      <c r="P18" s="160">
        <f>+'bevételi segédtábla'!P21</f>
        <v>0</v>
      </c>
      <c r="Q18" s="160">
        <f>+'bevételi segédtábla'!Q21</f>
        <v>0</v>
      </c>
      <c r="R18" s="160">
        <f>+'bevételi segédtábla'!R21</f>
        <v>0</v>
      </c>
      <c r="S18" s="160">
        <f>+'bevételi segédtábla'!S21</f>
        <v>0</v>
      </c>
      <c r="T18" s="176"/>
      <c r="U18" s="160"/>
      <c r="V18" s="179">
        <f t="shared" si="2"/>
        <v>0</v>
      </c>
    </row>
    <row r="19" spans="1:22" x14ac:dyDescent="0.25">
      <c r="A19" s="699"/>
      <c r="B19" s="48" t="s">
        <v>370</v>
      </c>
      <c r="C19" s="700">
        <f>SUM(C10:C18)</f>
        <v>1522303964</v>
      </c>
      <c r="D19" s="700">
        <f t="shared" ref="D19:E19" si="6">SUM(D10:D18)</f>
        <v>1543459351</v>
      </c>
      <c r="E19" s="700">
        <f t="shared" si="6"/>
        <v>1564659351</v>
      </c>
      <c r="F19" s="700">
        <f>SUM(F10:F18)</f>
        <v>1527780478</v>
      </c>
      <c r="G19" s="700"/>
      <c r="H19" s="700">
        <f>SUM(H10:H18)</f>
        <v>768518861</v>
      </c>
      <c r="I19" s="700">
        <f t="shared" ref="I19:J19" si="7">SUM(I10:I18)</f>
        <v>1170238488</v>
      </c>
      <c r="J19" s="700">
        <f t="shared" si="7"/>
        <v>1614625662</v>
      </c>
      <c r="K19" s="700"/>
      <c r="L19" s="617">
        <f>H19/D19</f>
        <v>0.49791972849954247</v>
      </c>
      <c r="M19" s="617">
        <f>I19/E19</f>
        <v>0.7479190197227793</v>
      </c>
      <c r="N19" s="617">
        <f>J19/F19</f>
        <v>1.0568440199692093</v>
      </c>
      <c r="O19" s="701"/>
      <c r="P19" s="700">
        <f>SUM(P10:P18)</f>
        <v>21644631</v>
      </c>
      <c r="Q19" s="700">
        <f t="shared" ref="Q19:S19" si="8">SUM(Q10:Q18)</f>
        <v>21200000</v>
      </c>
      <c r="R19" s="700">
        <f t="shared" si="8"/>
        <v>0</v>
      </c>
      <c r="S19" s="700">
        <f t="shared" si="8"/>
        <v>42844631</v>
      </c>
      <c r="T19" s="660">
        <f t="shared" si="1"/>
        <v>2.8144596620126781E-2</v>
      </c>
      <c r="U19" s="161"/>
      <c r="V19" s="179">
        <f t="shared" si="2"/>
        <v>489244</v>
      </c>
    </row>
    <row r="20" spans="1:22" x14ac:dyDescent="0.25">
      <c r="A20" s="181"/>
      <c r="B20" s="181"/>
      <c r="C20" s="181"/>
      <c r="D20" s="181"/>
      <c r="E20" s="181"/>
      <c r="F20" s="181"/>
      <c r="G20" s="181"/>
      <c r="H20" s="379"/>
      <c r="I20" s="379"/>
      <c r="J20" s="380"/>
      <c r="K20" s="181"/>
      <c r="L20" s="577"/>
      <c r="M20" s="577"/>
      <c r="N20" s="577"/>
      <c r="O20" s="577"/>
      <c r="P20" s="181"/>
      <c r="Q20" s="181"/>
      <c r="R20" s="181"/>
      <c r="S20" s="181"/>
      <c r="T20" s="181"/>
      <c r="U20" s="181"/>
      <c r="V20" s="181"/>
    </row>
    <row r="21" spans="1:22" x14ac:dyDescent="0.25">
      <c r="A21"/>
      <c r="B21"/>
      <c r="C21"/>
      <c r="D21" s="730"/>
      <c r="E21" s="575"/>
      <c r="F21"/>
      <c r="G21"/>
      <c r="H21"/>
      <c r="I21"/>
      <c r="J21"/>
      <c r="K21"/>
      <c r="L21" s="634"/>
      <c r="M21" s="634"/>
      <c r="N21" s="634"/>
      <c r="O21" s="634"/>
      <c r="P21"/>
      <c r="Q21"/>
      <c r="R21"/>
      <c r="S21"/>
      <c r="U21"/>
    </row>
    <row r="22" spans="1:22" x14ac:dyDescent="0.25">
      <c r="A22"/>
      <c r="B22"/>
      <c r="C22"/>
      <c r="D22"/>
      <c r="E22"/>
      <c r="F22"/>
      <c r="G22"/>
      <c r="H22"/>
      <c r="I22"/>
      <c r="J22"/>
      <c r="K22"/>
      <c r="L22" s="634"/>
      <c r="M22" s="634"/>
      <c r="N22" s="634"/>
      <c r="O22" s="634"/>
      <c r="P22"/>
      <c r="Q22"/>
      <c r="R22"/>
      <c r="S22"/>
      <c r="U22"/>
    </row>
    <row r="23" spans="1:22" ht="16.350000000000001" customHeight="1" x14ac:dyDescent="0.25">
      <c r="A23" s="776" t="s">
        <v>368</v>
      </c>
      <c r="B23" s="777"/>
      <c r="C23" s="777"/>
      <c r="D23" s="777"/>
      <c r="E23" s="777"/>
      <c r="F23" s="777"/>
      <c r="G23" s="777"/>
      <c r="H23" s="777"/>
      <c r="I23" s="777"/>
      <c r="J23" s="777"/>
      <c r="K23" s="777"/>
      <c r="L23" s="777"/>
      <c r="M23" s="777"/>
      <c r="N23" s="778"/>
      <c r="O23" s="778"/>
      <c r="P23" s="778"/>
      <c r="Q23" s="778"/>
      <c r="R23" s="778"/>
      <c r="S23" s="778"/>
      <c r="T23" s="778"/>
      <c r="U23" s="778"/>
      <c r="V23" s="779"/>
    </row>
    <row r="24" spans="1:22" ht="16.350000000000001" customHeight="1" x14ac:dyDescent="0.25">
      <c r="A24" s="158"/>
      <c r="B24" s="159"/>
      <c r="C24" s="764" t="s">
        <v>401</v>
      </c>
      <c r="D24" s="765"/>
      <c r="E24" s="765"/>
      <c r="F24" s="766"/>
      <c r="G24" s="68"/>
      <c r="H24" s="758" t="s">
        <v>400</v>
      </c>
      <c r="I24" s="759"/>
      <c r="J24" s="759"/>
      <c r="K24" s="759"/>
      <c r="L24" s="759"/>
      <c r="M24" s="759"/>
      <c r="N24" s="760"/>
      <c r="O24" s="165"/>
      <c r="P24" s="764" t="s">
        <v>397</v>
      </c>
      <c r="Q24" s="765"/>
      <c r="R24" s="765"/>
      <c r="S24" s="765"/>
      <c r="T24" s="766"/>
      <c r="U24" s="163"/>
      <c r="V24" s="751" t="s">
        <v>403</v>
      </c>
    </row>
    <row r="25" spans="1:22" ht="13.35" customHeight="1" x14ac:dyDescent="0.25">
      <c r="A25" s="64"/>
      <c r="B25" s="65"/>
      <c r="C25" s="767"/>
      <c r="D25" s="768"/>
      <c r="E25" s="768"/>
      <c r="F25" s="769"/>
      <c r="G25" s="156"/>
      <c r="H25" s="761" t="s">
        <v>413</v>
      </c>
      <c r="I25" s="762"/>
      <c r="J25" s="763"/>
      <c r="K25" s="157"/>
      <c r="L25" s="761" t="s">
        <v>412</v>
      </c>
      <c r="M25" s="762"/>
      <c r="N25" s="763"/>
      <c r="O25" s="156"/>
      <c r="P25" s="767"/>
      <c r="Q25" s="768"/>
      <c r="R25" s="768"/>
      <c r="S25" s="768"/>
      <c r="T25" s="769"/>
      <c r="U25" s="162"/>
      <c r="V25" s="752"/>
    </row>
    <row r="26" spans="1:22" ht="42" x14ac:dyDescent="0.25">
      <c r="A26" s="182" t="s">
        <v>414</v>
      </c>
      <c r="B26" s="188" t="s">
        <v>364</v>
      </c>
      <c r="C26" s="183" t="s">
        <v>485</v>
      </c>
      <c r="D26" s="184" t="s">
        <v>486</v>
      </c>
      <c r="E26" s="184" t="s">
        <v>487</v>
      </c>
      <c r="F26" s="184" t="s">
        <v>488</v>
      </c>
      <c r="G26" s="184"/>
      <c r="H26" s="185" t="s">
        <v>489</v>
      </c>
      <c r="I26" s="185" t="s">
        <v>490</v>
      </c>
      <c r="J26" s="185" t="s">
        <v>491</v>
      </c>
      <c r="K26" s="184"/>
      <c r="L26" s="186" t="s">
        <v>492</v>
      </c>
      <c r="M26" s="186" t="s">
        <v>494</v>
      </c>
      <c r="N26" s="186" t="s">
        <v>493</v>
      </c>
      <c r="O26" s="185"/>
      <c r="P26" s="185" t="s">
        <v>495</v>
      </c>
      <c r="Q26" s="185" t="s">
        <v>496</v>
      </c>
      <c r="R26" s="185" t="s">
        <v>497</v>
      </c>
      <c r="S26" s="185" t="s">
        <v>398</v>
      </c>
      <c r="T26" s="186" t="s">
        <v>399</v>
      </c>
      <c r="U26" s="189"/>
      <c r="V26" s="753"/>
    </row>
    <row r="27" spans="1:22" x14ac:dyDescent="0.25">
      <c r="A27" s="14" t="s">
        <v>0</v>
      </c>
      <c r="B27" s="18" t="s">
        <v>3</v>
      </c>
      <c r="C27" s="138">
        <f>+'kiadási segédtábla'!C13</f>
        <v>509884000</v>
      </c>
      <c r="D27" s="138">
        <f>+'kiadási segédtábla'!D13</f>
        <v>510446635</v>
      </c>
      <c r="E27" s="160">
        <f>+'kiadási segédtábla'!E13</f>
        <v>510815245</v>
      </c>
      <c r="F27" s="138">
        <f>+'kiadási segédtábla'!F13</f>
        <v>508730334</v>
      </c>
      <c r="G27" s="138"/>
      <c r="H27" s="138">
        <f>+'kiadási segédtábla'!H13</f>
        <v>248517433</v>
      </c>
      <c r="I27" s="138">
        <f>+'kiadási segédtábla'!I13</f>
        <v>373972503</v>
      </c>
      <c r="J27" s="138">
        <f>+'kiadási segédtábla'!J13</f>
        <v>503830010</v>
      </c>
      <c r="K27" s="139"/>
      <c r="L27" s="608">
        <f t="shared" ref="L27:N33" si="9">H27/D27</f>
        <v>0.48686271190719083</v>
      </c>
      <c r="M27" s="608">
        <f t="shared" si="9"/>
        <v>0.73210912685270391</v>
      </c>
      <c r="N27" s="608">
        <f t="shared" si="9"/>
        <v>0.99036754116572889</v>
      </c>
      <c r="O27" s="675"/>
      <c r="P27" s="143">
        <f t="shared" ref="P27:P35" si="10">+(D27-C27)*P$8</f>
        <v>562635</v>
      </c>
      <c r="Q27" s="143">
        <f t="shared" ref="Q27:Q35" si="11">+(E27-D27)*Q$8</f>
        <v>368610</v>
      </c>
      <c r="R27" s="143">
        <f t="shared" ref="R27:R35" si="12">+(F27-E27)*R$8</f>
        <v>0</v>
      </c>
      <c r="S27" s="143">
        <f t="shared" ref="S27:S35" si="13">SUM(P27:R27)</f>
        <v>931245</v>
      </c>
      <c r="T27" s="698">
        <f t="shared" ref="T27:T41" si="14">IF(C27=0,0,+S27/C27)</f>
        <v>1.8263860015219147E-3</v>
      </c>
      <c r="U27" s="160"/>
      <c r="V27" s="166">
        <f t="shared" ref="V27:V41" si="15">+S27-E27+C27</f>
        <v>0</v>
      </c>
    </row>
    <row r="28" spans="1:22" ht="15" customHeight="1" x14ac:dyDescent="0.25">
      <c r="A28" s="14" t="s">
        <v>24</v>
      </c>
      <c r="B28" s="18" t="s">
        <v>25</v>
      </c>
      <c r="C28" s="138">
        <f>+'kiadási segédtábla'!C14</f>
        <v>77500000</v>
      </c>
      <c r="D28" s="138">
        <f>+'kiadási segédtábla'!D14</f>
        <v>78500000</v>
      </c>
      <c r="E28" s="160">
        <f>+'kiadási segédtábla'!E14</f>
        <v>78500000</v>
      </c>
      <c r="F28" s="138">
        <f>+'kiadási segédtábla'!F14</f>
        <v>79798569</v>
      </c>
      <c r="G28" s="138"/>
      <c r="H28" s="138">
        <f>+'kiadási segédtábla'!H14</f>
        <v>39836924</v>
      </c>
      <c r="I28" s="138">
        <f>+'kiadási segédtábla'!I14</f>
        <v>59199109</v>
      </c>
      <c r="J28" s="138">
        <f>+'kiadási segédtábla'!J14</f>
        <v>78526191</v>
      </c>
      <c r="K28" s="139"/>
      <c r="L28" s="608">
        <f t="shared" si="9"/>
        <v>0.5074767388535032</v>
      </c>
      <c r="M28" s="608">
        <f t="shared" si="9"/>
        <v>0.75412877707006365</v>
      </c>
      <c r="N28" s="608">
        <f t="shared" si="9"/>
        <v>0.98405512760510783</v>
      </c>
      <c r="O28" s="675"/>
      <c r="P28" s="143">
        <f t="shared" si="10"/>
        <v>1000000</v>
      </c>
      <c r="Q28" s="143">
        <f t="shared" si="11"/>
        <v>0</v>
      </c>
      <c r="R28" s="143">
        <f t="shared" si="12"/>
        <v>0</v>
      </c>
      <c r="S28" s="143">
        <f t="shared" si="13"/>
        <v>1000000</v>
      </c>
      <c r="T28" s="698">
        <f t="shared" si="14"/>
        <v>1.2903225806451613E-2</v>
      </c>
      <c r="U28" s="160"/>
      <c r="V28" s="166">
        <f t="shared" si="15"/>
        <v>0</v>
      </c>
    </row>
    <row r="29" spans="1:22" x14ac:dyDescent="0.25">
      <c r="A29" s="14" t="s">
        <v>27</v>
      </c>
      <c r="B29" s="18" t="s">
        <v>28</v>
      </c>
      <c r="C29" s="138">
        <f>+'kiadási segédtábla'!C15</f>
        <v>473564654</v>
      </c>
      <c r="D29" s="371">
        <f>+'kiadási segédtábla'!D15</f>
        <v>456601770</v>
      </c>
      <c r="E29" s="371">
        <f>+'kiadási segédtábla'!E15</f>
        <v>471954018</v>
      </c>
      <c r="F29" s="371">
        <f>+'kiadási segédtábla'!F15</f>
        <v>421851240</v>
      </c>
      <c r="G29" s="138"/>
      <c r="H29" s="138">
        <f>+'kiadási segédtábla'!H15</f>
        <v>227689334</v>
      </c>
      <c r="I29" s="138">
        <f>+'kiadási segédtábla'!I15</f>
        <v>282252705</v>
      </c>
      <c r="J29" s="138">
        <f>+'kiadási segédtábla'!J15</f>
        <v>392187994</v>
      </c>
      <c r="K29" s="139"/>
      <c r="L29" s="676">
        <f t="shared" si="9"/>
        <v>0.49866064689149148</v>
      </c>
      <c r="M29" s="676">
        <f t="shared" si="9"/>
        <v>0.59805128091948989</v>
      </c>
      <c r="N29" s="676">
        <f t="shared" si="9"/>
        <v>0.92968316034818343</v>
      </c>
      <c r="O29" s="675"/>
      <c r="P29" s="143">
        <f t="shared" si="10"/>
        <v>-16962884</v>
      </c>
      <c r="Q29" s="143">
        <f t="shared" si="11"/>
        <v>15352248</v>
      </c>
      <c r="R29" s="143">
        <f t="shared" si="12"/>
        <v>0</v>
      </c>
      <c r="S29" s="143">
        <f t="shared" si="13"/>
        <v>-1610636</v>
      </c>
      <c r="T29" s="698">
        <f t="shared" si="14"/>
        <v>-3.401089980841349E-3</v>
      </c>
      <c r="U29" s="160"/>
      <c r="V29" s="166">
        <f t="shared" si="15"/>
        <v>0</v>
      </c>
    </row>
    <row r="30" spans="1:22" x14ac:dyDescent="0.25">
      <c r="A30" s="14" t="s">
        <v>107</v>
      </c>
      <c r="B30" s="18" t="s">
        <v>470</v>
      </c>
      <c r="C30" s="138">
        <f>+'kiadási segédtábla'!C16</f>
        <v>15000000</v>
      </c>
      <c r="D30" s="138">
        <f>+'kiadási segédtábla'!D16</f>
        <v>15012540</v>
      </c>
      <c r="E30" s="160">
        <f>+'kiadási segédtábla'!E16</f>
        <v>15012540</v>
      </c>
      <c r="F30" s="138">
        <f>+'kiadási segédtábla'!F16</f>
        <v>15000000</v>
      </c>
      <c r="G30" s="138"/>
      <c r="H30" s="138">
        <f>+'kiadási segédtábla'!H16</f>
        <v>5890794</v>
      </c>
      <c r="I30" s="138">
        <f>+'kiadási segédtábla'!I16</f>
        <v>8972294</v>
      </c>
      <c r="J30" s="138">
        <f>+'kiadási segédtábla'!J16</f>
        <v>11964794</v>
      </c>
      <c r="K30" s="138"/>
      <c r="L30" s="608">
        <f t="shared" si="9"/>
        <v>0.39239156065529218</v>
      </c>
      <c r="M30" s="608">
        <f t="shared" si="9"/>
        <v>0.59765329517856403</v>
      </c>
      <c r="N30" s="608">
        <f t="shared" si="9"/>
        <v>0.79765293333333331</v>
      </c>
      <c r="O30" s="677"/>
      <c r="P30" s="143">
        <f t="shared" si="10"/>
        <v>12540</v>
      </c>
      <c r="Q30" s="143">
        <f t="shared" si="11"/>
        <v>0</v>
      </c>
      <c r="R30" s="143">
        <f t="shared" si="12"/>
        <v>0</v>
      </c>
      <c r="S30" s="143">
        <f t="shared" si="13"/>
        <v>12540</v>
      </c>
      <c r="T30" s="698">
        <f t="shared" si="14"/>
        <v>8.3600000000000005E-4</v>
      </c>
      <c r="U30" s="160"/>
      <c r="V30" s="166">
        <f t="shared" si="15"/>
        <v>0</v>
      </c>
    </row>
    <row r="31" spans="1:22" x14ac:dyDescent="0.25">
      <c r="A31" s="14" t="s">
        <v>369</v>
      </c>
      <c r="B31" s="18" t="s">
        <v>137</v>
      </c>
      <c r="C31" s="138">
        <f>+'kiadási segédtábla'!C17</f>
        <v>152600000</v>
      </c>
      <c r="D31" s="138">
        <f>+'kiadási segédtábla'!D17</f>
        <v>164026133</v>
      </c>
      <c r="E31" s="160">
        <f>+'kiadási segédtábla'!E17</f>
        <v>167046133</v>
      </c>
      <c r="F31" s="138">
        <f>+'kiadási segédtábla'!F17</f>
        <v>164848644</v>
      </c>
      <c r="G31" s="138"/>
      <c r="H31" s="138">
        <f>+'kiadási segédtábla'!H17</f>
        <v>89465409</v>
      </c>
      <c r="I31" s="138">
        <f>+'kiadási segédtábla'!I17</f>
        <v>122182084</v>
      </c>
      <c r="J31" s="138">
        <f>+'kiadási segédtábla'!J17</f>
        <v>144767924</v>
      </c>
      <c r="K31" s="138"/>
      <c r="L31" s="608">
        <f t="shared" si="9"/>
        <v>0.54543387302802537</v>
      </c>
      <c r="M31" s="608">
        <f t="shared" si="9"/>
        <v>0.73142719203203588</v>
      </c>
      <c r="N31" s="608">
        <f t="shared" si="9"/>
        <v>0.87818692642688645</v>
      </c>
      <c r="O31" s="677"/>
      <c r="P31" s="143">
        <f t="shared" si="10"/>
        <v>11426133</v>
      </c>
      <c r="Q31" s="143">
        <f t="shared" si="11"/>
        <v>3020000</v>
      </c>
      <c r="R31" s="143">
        <f t="shared" si="12"/>
        <v>0</v>
      </c>
      <c r="S31" s="143">
        <f t="shared" si="13"/>
        <v>14446133</v>
      </c>
      <c r="T31" s="698">
        <f t="shared" si="14"/>
        <v>9.4666664482306678E-2</v>
      </c>
      <c r="U31" s="160"/>
      <c r="V31" s="166">
        <f t="shared" si="15"/>
        <v>0</v>
      </c>
    </row>
    <row r="32" spans="1:22" x14ac:dyDescent="0.25">
      <c r="A32" s="14" t="s">
        <v>154</v>
      </c>
      <c r="B32" s="18" t="s">
        <v>155</v>
      </c>
      <c r="C32" s="138">
        <f>+'kiadási segédtábla'!C18</f>
        <v>248540354</v>
      </c>
      <c r="D32" s="138">
        <f>+'kiadási segédtábla'!D18</f>
        <v>200462098</v>
      </c>
      <c r="E32" s="160">
        <f>+'kiadási segédtábla'!E18</f>
        <v>182921240</v>
      </c>
      <c r="F32" s="138">
        <f>+'kiadási segédtábla'!F18</f>
        <v>169528400</v>
      </c>
      <c r="G32" s="371"/>
      <c r="H32" s="138">
        <f>+'kiadási segédtábla'!H18</f>
        <v>27913804</v>
      </c>
      <c r="I32" s="138">
        <f>+'kiadási segédtábla'!I18</f>
        <v>32250686</v>
      </c>
      <c r="J32" s="138">
        <f>+'kiadási segédtábla'!J18</f>
        <v>161969781</v>
      </c>
      <c r="K32" s="138"/>
      <c r="L32" s="608">
        <f t="shared" si="9"/>
        <v>0.13924729052770862</v>
      </c>
      <c r="M32" s="608">
        <f t="shared" si="9"/>
        <v>0.17630913720025077</v>
      </c>
      <c r="N32" s="608">
        <f t="shared" si="9"/>
        <v>0.95541384806321539</v>
      </c>
      <c r="O32" s="677"/>
      <c r="P32" s="143">
        <f t="shared" si="10"/>
        <v>-48078256</v>
      </c>
      <c r="Q32" s="143">
        <f t="shared" si="11"/>
        <v>-17540858</v>
      </c>
      <c r="R32" s="143">
        <f t="shared" si="12"/>
        <v>0</v>
      </c>
      <c r="S32" s="143">
        <f t="shared" si="13"/>
        <v>-65619114</v>
      </c>
      <c r="T32" s="698">
        <f t="shared" si="14"/>
        <v>-0.26401794696083841</v>
      </c>
      <c r="U32" s="160"/>
      <c r="V32" s="166">
        <f t="shared" si="15"/>
        <v>0</v>
      </c>
    </row>
    <row r="33" spans="1:22" x14ac:dyDescent="0.25">
      <c r="A33" s="14" t="s">
        <v>169</v>
      </c>
      <c r="B33" s="18" t="s">
        <v>170</v>
      </c>
      <c r="C33" s="138">
        <f>+'kiadási segédtábla'!C19</f>
        <v>20637500</v>
      </c>
      <c r="D33" s="138">
        <f>+'kiadási segédtábla'!D19</f>
        <v>93343475</v>
      </c>
      <c r="E33" s="160">
        <f>+'kiadási segédtábla'!E19</f>
        <v>113343475</v>
      </c>
      <c r="F33" s="138">
        <f>+'kiadási segédtábla'!F19</f>
        <v>142956591</v>
      </c>
      <c r="G33" s="138"/>
      <c r="H33" s="138">
        <f>+'kiadási segédtábla'!H19</f>
        <v>34861301</v>
      </c>
      <c r="I33" s="138">
        <f>+'kiadási segédtábla'!I19</f>
        <v>78545085</v>
      </c>
      <c r="J33" s="138">
        <f>+'kiadási segédtábla'!J19</f>
        <v>139263466</v>
      </c>
      <c r="K33" s="138"/>
      <c r="L33" s="608">
        <f t="shared" si="9"/>
        <v>0.37347335740393212</v>
      </c>
      <c r="M33" s="608">
        <f t="shared" si="9"/>
        <v>0.69298285587238262</v>
      </c>
      <c r="N33" s="608">
        <f t="shared" si="9"/>
        <v>0.97416610892742961</v>
      </c>
      <c r="O33" s="677"/>
      <c r="P33" s="143">
        <f t="shared" si="10"/>
        <v>72705975</v>
      </c>
      <c r="Q33" s="143">
        <f t="shared" si="11"/>
        <v>20000000</v>
      </c>
      <c r="R33" s="143">
        <f t="shared" si="12"/>
        <v>0</v>
      </c>
      <c r="S33" s="143">
        <f t="shared" si="13"/>
        <v>92705975</v>
      </c>
      <c r="T33" s="698">
        <f t="shared" si="14"/>
        <v>4.4921126589945484</v>
      </c>
      <c r="U33" s="160"/>
      <c r="V33" s="166">
        <f t="shared" si="15"/>
        <v>0</v>
      </c>
    </row>
    <row r="34" spans="1:22" x14ac:dyDescent="0.25">
      <c r="A34" s="14" t="s">
        <v>179</v>
      </c>
      <c r="B34" s="18" t="s">
        <v>180</v>
      </c>
      <c r="C34" s="138">
        <f>+'kiadási segédtábla'!C20</f>
        <v>0</v>
      </c>
      <c r="D34" s="138">
        <f>+'kiadási segédtábla'!D20</f>
        <v>0</v>
      </c>
      <c r="E34" s="138">
        <f>+'kiadási segédtábla'!E20</f>
        <v>0</v>
      </c>
      <c r="F34" s="138">
        <f>+'kiadási segédtábla'!F20</f>
        <v>0</v>
      </c>
      <c r="G34" s="138"/>
      <c r="H34" s="138">
        <f>+'kiadási segédtábla'!H20</f>
        <v>0</v>
      </c>
      <c r="I34" s="138">
        <f>+'kiadási segédtábla'!I20</f>
        <v>0</v>
      </c>
      <c r="J34" s="138">
        <f>+'kiadási segédtábla'!J20</f>
        <v>0</v>
      </c>
      <c r="K34" s="138"/>
      <c r="L34" s="608">
        <v>0</v>
      </c>
      <c r="M34" s="608">
        <v>0</v>
      </c>
      <c r="N34" s="608">
        <v>0</v>
      </c>
      <c r="O34" s="677"/>
      <c r="P34" s="143">
        <f t="shared" si="10"/>
        <v>0</v>
      </c>
      <c r="Q34" s="143">
        <f t="shared" si="11"/>
        <v>0</v>
      </c>
      <c r="R34" s="143">
        <f t="shared" si="12"/>
        <v>0</v>
      </c>
      <c r="S34" s="143">
        <f t="shared" si="13"/>
        <v>0</v>
      </c>
      <c r="T34" s="698">
        <f t="shared" si="14"/>
        <v>0</v>
      </c>
      <c r="U34" s="160"/>
      <c r="V34" s="166">
        <f t="shared" si="15"/>
        <v>0</v>
      </c>
    </row>
    <row r="35" spans="1:22" x14ac:dyDescent="0.25">
      <c r="A35" s="14" t="s">
        <v>197</v>
      </c>
      <c r="B35" s="18" t="s">
        <v>198</v>
      </c>
      <c r="C35" s="138">
        <f>+'kiadási segédtábla'!C21</f>
        <v>613063055</v>
      </c>
      <c r="D35" s="138">
        <f>+'kiadási segédtábla'!D21</f>
        <v>613552299</v>
      </c>
      <c r="E35" s="138">
        <f>+'kiadási segédtábla'!E21</f>
        <v>613552299</v>
      </c>
      <c r="F35" s="138">
        <f>+'kiadási segédtábla'!F21</f>
        <v>613552299</v>
      </c>
      <c r="G35" s="138"/>
      <c r="H35" s="138">
        <f>+'kiadási segédtábla'!H21</f>
        <v>317649005</v>
      </c>
      <c r="I35" s="138">
        <f>+'kiadási segédtábla'!I21</f>
        <v>441460373</v>
      </c>
      <c r="J35" s="138">
        <f>+'kiadási segédtábla'!J21</f>
        <v>584287458</v>
      </c>
      <c r="K35" s="138"/>
      <c r="L35" s="608">
        <f t="shared" ref="L35:N37" si="16">+H35/D35</f>
        <v>0.51772115517735184</v>
      </c>
      <c r="M35" s="608">
        <f t="shared" si="16"/>
        <v>0.71951547361083235</v>
      </c>
      <c r="N35" s="608">
        <f t="shared" si="16"/>
        <v>0.95230261373366643</v>
      </c>
      <c r="O35" s="677"/>
      <c r="P35" s="143">
        <f t="shared" si="10"/>
        <v>489244</v>
      </c>
      <c r="Q35" s="143">
        <f t="shared" si="11"/>
        <v>0</v>
      </c>
      <c r="R35" s="143">
        <f t="shared" si="12"/>
        <v>0</v>
      </c>
      <c r="S35" s="143">
        <f t="shared" si="13"/>
        <v>489244</v>
      </c>
      <c r="T35" s="698">
        <f t="shared" si="14"/>
        <v>7.9803210454428702E-4</v>
      </c>
      <c r="U35" s="160"/>
      <c r="V35" s="166">
        <f t="shared" si="15"/>
        <v>0</v>
      </c>
    </row>
    <row r="36" spans="1:22" x14ac:dyDescent="0.25">
      <c r="A36" s="14"/>
      <c r="B36" s="368" t="s">
        <v>435</v>
      </c>
      <c r="C36" s="138">
        <f>+'kiadási segédtábla'!C22</f>
        <v>-588485599</v>
      </c>
      <c r="D36" s="138">
        <f>+'kiadási segédtábla'!D22</f>
        <v>-588485599</v>
      </c>
      <c r="E36" s="138">
        <f>+'kiadási segédtábla'!E22</f>
        <v>-588485599</v>
      </c>
      <c r="F36" s="138">
        <f>-'kiadási segédtábla'!F145</f>
        <v>-588485599</v>
      </c>
      <c r="G36" s="138"/>
      <c r="H36" s="138">
        <f>-'kiadási segédtábla'!H145</f>
        <v>-292582305</v>
      </c>
      <c r="I36" s="138">
        <f>-'kiadási segédtábla'!I145</f>
        <v>-416393673</v>
      </c>
      <c r="J36" s="138">
        <f>-'kiadási segédtábla'!J145</f>
        <v>-559220758</v>
      </c>
      <c r="K36" s="138"/>
      <c r="L36" s="608">
        <f t="shared" si="16"/>
        <v>0.49717836000945198</v>
      </c>
      <c r="M36" s="608">
        <f t="shared" si="16"/>
        <v>0.70756816089904007</v>
      </c>
      <c r="N36" s="608">
        <f t="shared" si="16"/>
        <v>0.95027093092893167</v>
      </c>
      <c r="O36" s="677"/>
      <c r="P36" s="143">
        <f t="shared" ref="P36" si="17">+(D36-C36)*P$8</f>
        <v>0</v>
      </c>
      <c r="Q36" s="143">
        <f t="shared" ref="Q36" si="18">+(E36-D36)*Q$8</f>
        <v>0</v>
      </c>
      <c r="R36" s="143">
        <f t="shared" ref="R36" si="19">+(F36-E36)*R$8</f>
        <v>0</v>
      </c>
      <c r="S36" s="143">
        <f t="shared" ref="S36" si="20">SUM(P36:R36)</f>
        <v>0</v>
      </c>
      <c r="T36" s="698"/>
      <c r="U36" s="160"/>
      <c r="V36" s="166"/>
    </row>
    <row r="37" spans="1:22" x14ac:dyDescent="0.25">
      <c r="A37" s="7"/>
      <c r="B37" s="3" t="s">
        <v>371</v>
      </c>
      <c r="C37" s="80">
        <f>SUM(C27:C36)</f>
        <v>1522303964</v>
      </c>
      <c r="D37" s="80">
        <f t="shared" ref="D37:F37" si="21">SUM(D27:D36)</f>
        <v>1543459351</v>
      </c>
      <c r="E37" s="80">
        <f t="shared" si="21"/>
        <v>1564659351</v>
      </c>
      <c r="F37" s="80">
        <f t="shared" si="21"/>
        <v>1527780478</v>
      </c>
      <c r="G37" s="80"/>
      <c r="H37" s="80">
        <f t="shared" ref="H37" si="22">SUM(H27:H36)</f>
        <v>699241699</v>
      </c>
      <c r="I37" s="80">
        <f t="shared" ref="I37" si="23">SUM(I27:I36)</f>
        <v>982441166</v>
      </c>
      <c r="J37" s="80">
        <f t="shared" ref="J37" si="24">SUM(J27:J36)</f>
        <v>1457576860</v>
      </c>
      <c r="K37" s="80"/>
      <c r="L37" s="641">
        <f t="shared" si="16"/>
        <v>0.45303538350197858</v>
      </c>
      <c r="M37" s="641">
        <f t="shared" si="16"/>
        <v>0.62789460553960541</v>
      </c>
      <c r="N37" s="641">
        <f t="shared" si="16"/>
        <v>0.95404862216075526</v>
      </c>
      <c r="O37" s="678"/>
      <c r="P37" s="80">
        <f>SUM(P27:P36)</f>
        <v>21155387</v>
      </c>
      <c r="Q37" s="80">
        <f t="shared" ref="Q37:S37" si="25">SUM(Q27:Q36)</f>
        <v>21200000</v>
      </c>
      <c r="R37" s="80">
        <f t="shared" si="25"/>
        <v>0</v>
      </c>
      <c r="S37" s="80">
        <f t="shared" si="25"/>
        <v>42355387</v>
      </c>
      <c r="T37" s="631">
        <f t="shared" si="14"/>
        <v>2.782321271023111E-2</v>
      </c>
      <c r="U37" s="164"/>
      <c r="V37" s="167">
        <f t="shared" si="15"/>
        <v>0</v>
      </c>
    </row>
    <row r="38" spans="1:22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U38"/>
    </row>
    <row r="39" spans="1:22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U39"/>
    </row>
    <row r="40" spans="1:22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U40"/>
    </row>
    <row r="41" spans="1:22" x14ac:dyDescent="0.25">
      <c r="A41" s="34"/>
      <c r="B41" s="177" t="s">
        <v>403</v>
      </c>
      <c r="C41" s="155">
        <f>+C19-C37</f>
        <v>0</v>
      </c>
      <c r="D41" s="155">
        <f>+D19-D37</f>
        <v>0</v>
      </c>
      <c r="E41" s="155">
        <f>+E19-E37</f>
        <v>0</v>
      </c>
      <c r="F41" s="155">
        <f>+F19-F37</f>
        <v>0</v>
      </c>
      <c r="G41" s="155"/>
      <c r="H41" s="155">
        <f>+H19-H37</f>
        <v>69277162</v>
      </c>
      <c r="I41" s="155">
        <f>+I19-I37</f>
        <v>187797322</v>
      </c>
      <c r="J41" s="155">
        <f>+J19-J37</f>
        <v>157048802</v>
      </c>
      <c r="K41" s="155"/>
      <c r="L41" s="679">
        <f>+L19-L37</f>
        <v>4.4884344997563885E-2</v>
      </c>
      <c r="M41" s="679">
        <f>+M19-M37</f>
        <v>0.12002441418317389</v>
      </c>
      <c r="N41" s="679">
        <f>+N19-N37</f>
        <v>0.10279539780845404</v>
      </c>
      <c r="O41" s="679"/>
      <c r="P41" s="155">
        <f>+P19-P37</f>
        <v>489244</v>
      </c>
      <c r="Q41" s="155">
        <f>+Q19-Q37</f>
        <v>0</v>
      </c>
      <c r="R41" s="155">
        <f>+R19-R37</f>
        <v>0</v>
      </c>
      <c r="S41" s="155">
        <f>+S19-S37</f>
        <v>489244</v>
      </c>
      <c r="T41" s="176">
        <f t="shared" si="14"/>
        <v>0</v>
      </c>
      <c r="U41" s="178"/>
      <c r="V41" s="180">
        <f t="shared" si="15"/>
        <v>489244</v>
      </c>
    </row>
    <row r="42" spans="1:22" x14ac:dyDescent="0.25">
      <c r="C42" s="13"/>
      <c r="D42" s="13"/>
    </row>
    <row r="43" spans="1:22" x14ac:dyDescent="0.25">
      <c r="C43" s="13"/>
      <c r="D43" s="13"/>
    </row>
    <row r="44" spans="1:22" x14ac:dyDescent="0.25">
      <c r="C44" s="13"/>
      <c r="D44" s="13"/>
    </row>
    <row r="45" spans="1:22" x14ac:dyDescent="0.25">
      <c r="C45" s="13"/>
      <c r="D45" s="13"/>
      <c r="K45" s="19"/>
      <c r="O45" s="19"/>
      <c r="P45" s="19"/>
      <c r="Q45" s="19"/>
      <c r="R45" s="19"/>
      <c r="S45" s="19"/>
      <c r="U45" s="19"/>
    </row>
    <row r="46" spans="1:22" x14ac:dyDescent="0.25">
      <c r="C46" s="13"/>
      <c r="D46" s="13"/>
      <c r="J46" s="19"/>
      <c r="K46" s="19"/>
      <c r="O46" s="19"/>
      <c r="P46" s="19"/>
      <c r="Q46" s="19"/>
      <c r="R46" s="19"/>
      <c r="S46" s="19"/>
      <c r="U46" s="19"/>
    </row>
    <row r="47" spans="1:22" x14ac:dyDescent="0.25">
      <c r="C47" s="13"/>
      <c r="D47" s="13"/>
    </row>
    <row r="48" spans="1:22" x14ac:dyDescent="0.25">
      <c r="C48" s="13"/>
      <c r="D48" s="13"/>
    </row>
    <row r="49" spans="2:21" x14ac:dyDescent="0.25">
      <c r="C49" s="13"/>
      <c r="D49" s="13"/>
      <c r="J49" s="19"/>
    </row>
    <row r="50" spans="2:21" x14ac:dyDescent="0.25">
      <c r="C50" s="13"/>
      <c r="D50" s="13"/>
    </row>
    <row r="51" spans="2:21" x14ac:dyDescent="0.25">
      <c r="C51" s="13"/>
      <c r="D51" s="13"/>
      <c r="J51" s="19"/>
    </row>
    <row r="52" spans="2:21" x14ac:dyDescent="0.25">
      <c r="E52" s="17"/>
      <c r="F52" s="17"/>
      <c r="G52" s="17"/>
      <c r="H52" s="17"/>
      <c r="I52" s="17"/>
      <c r="J52" s="19"/>
    </row>
    <row r="53" spans="2:21" x14ac:dyDescent="0.25">
      <c r="E53" s="19"/>
      <c r="F53" s="19"/>
      <c r="G53" s="19"/>
      <c r="H53" s="19"/>
      <c r="I53" s="19"/>
      <c r="J53" s="19"/>
      <c r="K53" s="19"/>
      <c r="O53" s="19"/>
      <c r="P53" s="19"/>
      <c r="Q53" s="19"/>
      <c r="R53" s="19"/>
      <c r="S53" s="19"/>
      <c r="U53" s="19"/>
    </row>
    <row r="54" spans="2:21" x14ac:dyDescent="0.25">
      <c r="B54" s="19"/>
      <c r="E54" s="19"/>
      <c r="F54" s="19"/>
      <c r="G54" s="19"/>
      <c r="H54" s="19"/>
      <c r="I54" s="19"/>
      <c r="J54" s="19"/>
      <c r="K54" s="19"/>
      <c r="O54" s="19"/>
      <c r="P54" s="19"/>
      <c r="Q54" s="19"/>
      <c r="R54" s="19"/>
      <c r="S54" s="19"/>
      <c r="U54" s="19"/>
    </row>
    <row r="55" spans="2:21" x14ac:dyDescent="0.25">
      <c r="B55" s="19"/>
      <c r="H55" s="19"/>
      <c r="I55" s="19"/>
      <c r="J55" s="19"/>
    </row>
  </sheetData>
  <mergeCells count="15">
    <mergeCell ref="V24:V26"/>
    <mergeCell ref="V7:V9"/>
    <mergeCell ref="A1:F1"/>
    <mergeCell ref="H24:N24"/>
    <mergeCell ref="H25:J25"/>
    <mergeCell ref="L25:N25"/>
    <mergeCell ref="C24:F25"/>
    <mergeCell ref="P24:T25"/>
    <mergeCell ref="P7:T7"/>
    <mergeCell ref="H8:J8"/>
    <mergeCell ref="L8:N8"/>
    <mergeCell ref="A6:V6"/>
    <mergeCell ref="A23:V23"/>
    <mergeCell ref="C7:F7"/>
    <mergeCell ref="H7:N7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scale="46" fitToHeight="0" orientation="landscape" r:id="rId1"/>
  <headerFooter alignWithMargins="0">
    <oddHeader>&amp;R&amp;"Arial,Félkövér dőlt"&amp;A  /
&amp;"Arial,Dőlt"&amp;8&amp;F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7"/>
  <sheetViews>
    <sheetView zoomScale="70" zoomScaleNormal="70" zoomScaleSheetLayoutView="50" workbookViewId="0">
      <pane ySplit="11" topLeftCell="A12" activePane="bottomLeft" state="frozen"/>
      <selection pane="bottomLeft" activeCell="J30" sqref="J30"/>
    </sheetView>
  </sheetViews>
  <sheetFormatPr defaultRowHeight="13.2" x14ac:dyDescent="0.25"/>
  <cols>
    <col min="1" max="1" width="8.44140625" style="13" customWidth="1"/>
    <col min="2" max="2" width="36.44140625" style="13" customWidth="1"/>
    <col min="3" max="3" width="19.44140625" style="13" customWidth="1"/>
    <col min="4" max="4" width="15.5546875" style="17" customWidth="1"/>
    <col min="5" max="5" width="15.5546875" customWidth="1"/>
    <col min="6" max="6" width="15.77734375" customWidth="1"/>
    <col min="7" max="7" width="1.6640625" customWidth="1"/>
    <col min="8" max="9" width="15.5546875" style="17" customWidth="1"/>
    <col min="10" max="10" width="18.33203125" customWidth="1"/>
    <col min="11" max="11" width="0.6640625" customWidth="1"/>
    <col min="12" max="12" width="13.33203125" customWidth="1"/>
    <col min="13" max="13" width="14.5546875" customWidth="1"/>
    <col min="14" max="14" width="14.77734375" bestFit="1" customWidth="1"/>
    <col min="15" max="15" width="0.6640625" customWidth="1"/>
    <col min="16" max="17" width="15.5546875" style="17" customWidth="1"/>
    <col min="18" max="18" width="19.6640625" style="17" customWidth="1"/>
    <col min="19" max="19" width="15.5546875" style="17" customWidth="1"/>
    <col min="21" max="21" width="0.6640625" customWidth="1"/>
    <col min="22" max="22" width="4.6640625" customWidth="1"/>
  </cols>
  <sheetData>
    <row r="1" spans="1:27" ht="24.6" x14ac:dyDescent="0.4">
      <c r="A1" s="228" t="s">
        <v>463</v>
      </c>
      <c r="B1" s="227"/>
      <c r="C1" s="227"/>
      <c r="D1" s="227"/>
      <c r="E1" s="227"/>
      <c r="F1" s="227"/>
      <c r="G1" s="226"/>
      <c r="H1" s="224"/>
      <c r="I1" s="224"/>
      <c r="J1" s="224" t="str">
        <f>+'1. Sülysáp összesen'!J1</f>
        <v>2021. ÉVI KÖLTSÉGVETÉS MÓDOSÍTÁSA</v>
      </c>
      <c r="K1" s="229" t="s">
        <v>415</v>
      </c>
      <c r="L1" s="229" t="s">
        <v>415</v>
      </c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x14ac:dyDescent="0.25">
      <c r="A2" s="63"/>
      <c r="B2" s="63"/>
      <c r="C2" s="63"/>
      <c r="D2" s="63"/>
      <c r="H2" s="63"/>
      <c r="I2" s="63"/>
      <c r="L2" s="63"/>
      <c r="M2" s="63"/>
      <c r="N2" s="63"/>
      <c r="P2" s="63"/>
      <c r="Q2" s="63"/>
      <c r="R2" s="63"/>
      <c r="S2" s="63"/>
    </row>
    <row r="3" spans="1:27" x14ac:dyDescent="0.25">
      <c r="A3" s="63"/>
      <c r="B3" s="63"/>
      <c r="C3" s="558"/>
      <c r="D3" s="63"/>
      <c r="H3" s="63"/>
      <c r="I3" s="63"/>
      <c r="L3" s="63"/>
      <c r="M3" s="63"/>
      <c r="N3" s="63"/>
      <c r="P3" s="63"/>
      <c r="Q3" s="63"/>
      <c r="R3" s="63"/>
      <c r="S3" s="63"/>
    </row>
    <row r="4" spans="1:27" hidden="1" x14ac:dyDescent="0.25">
      <c r="A4" s="63"/>
      <c r="B4" s="63"/>
      <c r="C4" s="63"/>
      <c r="D4" s="63"/>
      <c r="H4" s="63"/>
      <c r="I4" s="63"/>
      <c r="L4" s="63"/>
      <c r="M4" s="63"/>
      <c r="N4" s="63"/>
      <c r="P4" s="63"/>
      <c r="Q4" s="63"/>
      <c r="R4" s="63"/>
      <c r="S4" s="63"/>
    </row>
    <row r="5" spans="1:27" hidden="1" x14ac:dyDescent="0.25">
      <c r="A5" s="63"/>
      <c r="B5" s="63"/>
      <c r="C5" s="63"/>
      <c r="D5" s="63"/>
      <c r="H5" s="63"/>
      <c r="I5" s="63"/>
      <c r="L5" s="63"/>
      <c r="M5" s="63"/>
      <c r="N5" s="63"/>
      <c r="P5" s="63"/>
      <c r="Q5" s="63"/>
      <c r="R5" s="63"/>
      <c r="S5" s="63"/>
    </row>
    <row r="6" spans="1:27" x14ac:dyDescent="0.25">
      <c r="A6" s="65"/>
      <c r="B6" s="65"/>
      <c r="C6" s="65"/>
      <c r="D6" s="65"/>
      <c r="E6" s="46"/>
      <c r="F6" s="46"/>
      <c r="G6" s="46"/>
      <c r="H6" s="65"/>
      <c r="I6" s="65"/>
      <c r="J6" s="46"/>
      <c r="K6" s="46"/>
      <c r="L6" s="65"/>
      <c r="M6" s="65"/>
      <c r="N6" s="65"/>
      <c r="O6" s="46"/>
      <c r="P6" s="63"/>
      <c r="Q6" s="63"/>
      <c r="R6" s="63"/>
      <c r="S6" s="63"/>
      <c r="T6" s="46"/>
      <c r="U6" s="46"/>
      <c r="V6" s="46"/>
    </row>
    <row r="7" spans="1:27" ht="15.6" x14ac:dyDescent="0.3">
      <c r="A7" s="222"/>
      <c r="B7" s="223"/>
      <c r="C7" s="785" t="s">
        <v>401</v>
      </c>
      <c r="D7" s="788"/>
      <c r="E7" s="788"/>
      <c r="F7" s="789"/>
      <c r="G7" s="68"/>
      <c r="H7" s="785" t="s">
        <v>411</v>
      </c>
      <c r="I7" s="786"/>
      <c r="J7" s="786"/>
      <c r="K7" s="786"/>
      <c r="L7" s="786"/>
      <c r="M7" s="786"/>
      <c r="N7" s="787"/>
      <c r="O7" s="68"/>
      <c r="P7" s="785" t="s">
        <v>397</v>
      </c>
      <c r="Q7" s="788"/>
      <c r="R7" s="788"/>
      <c r="S7" s="788"/>
      <c r="T7" s="789"/>
      <c r="U7" s="46"/>
      <c r="V7" s="46"/>
    </row>
    <row r="8" spans="1:27" x14ac:dyDescent="0.25">
      <c r="A8" s="34"/>
      <c r="B8" s="78"/>
      <c r="C8" s="151"/>
      <c r="D8" s="151"/>
      <c r="E8" s="151"/>
      <c r="F8" s="151"/>
      <c r="G8" s="151"/>
      <c r="H8" s="782" t="s">
        <v>413</v>
      </c>
      <c r="I8" s="783"/>
      <c r="J8" s="784"/>
      <c r="K8" s="134"/>
      <c r="L8" s="782" t="s">
        <v>412</v>
      </c>
      <c r="M8" s="783"/>
      <c r="N8" s="784"/>
      <c r="O8" s="151"/>
      <c r="P8" s="128">
        <f>+'1. Sülysáp összesen'!P8</f>
        <v>1</v>
      </c>
      <c r="Q8" s="128">
        <f>+'1. Sülysáp összesen'!Q8</f>
        <v>1</v>
      </c>
      <c r="R8" s="128">
        <v>0</v>
      </c>
      <c r="S8" s="81"/>
      <c r="T8" s="81"/>
      <c r="U8" s="46"/>
      <c r="V8" s="46"/>
    </row>
    <row r="9" spans="1:27" ht="20.100000000000001" customHeight="1" x14ac:dyDescent="0.25">
      <c r="A9" s="230"/>
      <c r="B9" s="244" t="s">
        <v>365</v>
      </c>
      <c r="C9" s="581">
        <f>+C96</f>
        <v>1479554563</v>
      </c>
      <c r="D9" s="581">
        <f>+D96</f>
        <v>1500709950</v>
      </c>
      <c r="E9" s="581">
        <f>+E96</f>
        <v>1520709950</v>
      </c>
      <c r="F9" s="581">
        <f>+F96</f>
        <v>1479554563</v>
      </c>
      <c r="G9" s="581"/>
      <c r="H9" s="581">
        <f>+H96</f>
        <v>742200081</v>
      </c>
      <c r="I9" s="581">
        <f>+I96</f>
        <v>1118302269</v>
      </c>
      <c r="J9" s="582">
        <f>+J96</f>
        <v>1547596576</v>
      </c>
      <c r="K9" s="581"/>
      <c r="L9" s="662">
        <f>H9/C9</f>
        <v>0.50163751953499269</v>
      </c>
      <c r="M9" s="662">
        <f>I9/D9</f>
        <v>0.74518215128779552</v>
      </c>
      <c r="N9" s="662">
        <f>J9/E9</f>
        <v>1.0176803117517579</v>
      </c>
      <c r="O9" s="664"/>
      <c r="P9" s="581">
        <f>+P96</f>
        <v>21644631</v>
      </c>
      <c r="Q9" s="581">
        <f>+Q96</f>
        <v>20000000</v>
      </c>
      <c r="R9" s="581">
        <f>+R96</f>
        <v>0</v>
      </c>
      <c r="S9" s="581">
        <f>+S96</f>
        <v>41644631</v>
      </c>
      <c r="T9" s="247">
        <f>IF(C9=0,0,+S9/C9)</f>
        <v>2.8146735538809597E-2</v>
      </c>
      <c r="U9" s="232" t="e">
        <f>+R9-D9+B9</f>
        <v>#VALUE!</v>
      </c>
      <c r="V9" s="232">
        <f>+S9-E9+C9</f>
        <v>489244</v>
      </c>
    </row>
    <row r="10" spans="1:27" x14ac:dyDescent="0.25">
      <c r="A10" s="34"/>
      <c r="B10" s="78"/>
      <c r="C10" s="702"/>
      <c r="D10" s="702"/>
      <c r="E10" s="702"/>
      <c r="F10" s="702"/>
      <c r="G10" s="702"/>
      <c r="H10" s="704"/>
      <c r="I10" s="705"/>
      <c r="J10" s="706"/>
      <c r="K10" s="703"/>
      <c r="L10" s="578"/>
      <c r="M10" s="579"/>
      <c r="N10" s="580"/>
      <c r="O10" s="665"/>
      <c r="P10" s="242"/>
      <c r="Q10" s="242"/>
      <c r="R10" s="242"/>
      <c r="S10" s="174"/>
      <c r="T10" s="174"/>
      <c r="U10" s="243"/>
      <c r="V10" s="243"/>
      <c r="W10" s="8"/>
    </row>
    <row r="11" spans="1:27" ht="71.099999999999994" customHeight="1" x14ac:dyDescent="0.25">
      <c r="A11" s="27" t="s">
        <v>366</v>
      </c>
      <c r="B11" s="27" t="s">
        <v>364</v>
      </c>
      <c r="C11" s="520" t="s">
        <v>485</v>
      </c>
      <c r="D11" s="358" t="s">
        <v>486</v>
      </c>
      <c r="E11" s="358" t="s">
        <v>487</v>
      </c>
      <c r="F11" s="521" t="s">
        <v>488</v>
      </c>
      <c r="G11" s="358"/>
      <c r="H11" s="494" t="s">
        <v>498</v>
      </c>
      <c r="I11" s="359" t="s">
        <v>499</v>
      </c>
      <c r="J11" s="359" t="s">
        <v>500</v>
      </c>
      <c r="K11" s="358"/>
      <c r="L11" s="360" t="s">
        <v>501</v>
      </c>
      <c r="M11" s="360" t="s">
        <v>502</v>
      </c>
      <c r="N11" s="495" t="s">
        <v>503</v>
      </c>
      <c r="O11" s="358"/>
      <c r="P11" s="494" t="s">
        <v>495</v>
      </c>
      <c r="Q11" s="359" t="s">
        <v>496</v>
      </c>
      <c r="R11" s="359" t="s">
        <v>497</v>
      </c>
      <c r="S11" s="359" t="s">
        <v>398</v>
      </c>
      <c r="T11" s="495" t="s">
        <v>399</v>
      </c>
      <c r="U11" s="28"/>
      <c r="V11" s="132" t="s">
        <v>403</v>
      </c>
    </row>
    <row r="12" spans="1:27" x14ac:dyDescent="0.25">
      <c r="A12" s="149"/>
      <c r="B12" s="146"/>
      <c r="C12" s="71"/>
      <c r="D12" s="71"/>
      <c r="E12" s="68"/>
      <c r="F12" s="68"/>
      <c r="G12" s="68"/>
      <c r="H12" s="68"/>
      <c r="I12" s="68"/>
      <c r="J12" s="68"/>
      <c r="K12" s="68"/>
      <c r="L12" s="593"/>
      <c r="M12" s="593"/>
      <c r="N12" s="593"/>
      <c r="O12" s="93"/>
      <c r="P12" s="81"/>
      <c r="Q12" s="81"/>
      <c r="R12" s="81"/>
      <c r="S12" s="81"/>
      <c r="T12" s="152"/>
      <c r="U12" s="68"/>
      <c r="V12" s="195"/>
    </row>
    <row r="13" spans="1:27" ht="26.4" x14ac:dyDescent="0.25">
      <c r="A13" s="4" t="s">
        <v>237</v>
      </c>
      <c r="B13" s="3" t="s">
        <v>238</v>
      </c>
      <c r="C13" s="66">
        <f>+C14+C21+C22+C23+C24+C25</f>
        <v>741516395</v>
      </c>
      <c r="D13" s="66">
        <f>+D14+D21+D22+D23+D24+D25</f>
        <v>741516395</v>
      </c>
      <c r="E13" s="66">
        <f>+E14+E21+E22+E23+E24+E25</f>
        <v>739845093</v>
      </c>
      <c r="F13" s="66">
        <f>+F14+F21+F22+F23+F24+F25</f>
        <v>728443095</v>
      </c>
      <c r="G13" s="66"/>
      <c r="H13" s="66">
        <f>+H14+H21+H22+H23+H24+H25</f>
        <v>379556150</v>
      </c>
      <c r="I13" s="66">
        <f>+I14+I21+I22+I23+I24+I25</f>
        <v>547676544</v>
      </c>
      <c r="J13" s="66">
        <f>+J14+J21+J22+J23+J24+J25</f>
        <v>731614402</v>
      </c>
      <c r="K13" s="66"/>
      <c r="L13" s="631">
        <f t="shared" ref="L13:N28" si="0">IF(H13&gt;0,H13/C13,0)</f>
        <v>0.5118648118360215</v>
      </c>
      <c r="M13" s="631">
        <f t="shared" si="0"/>
        <v>0.73858993232374859</v>
      </c>
      <c r="N13" s="631">
        <f t="shared" si="0"/>
        <v>0.98887511578048681</v>
      </c>
      <c r="O13" s="707"/>
      <c r="P13" s="66">
        <f t="shared" ref="P13" si="1">+(D13-C13)*P$8</f>
        <v>0</v>
      </c>
      <c r="Q13" s="66">
        <f t="shared" ref="Q13" si="2">+(E13-D13)*Q$8</f>
        <v>-1671302</v>
      </c>
      <c r="R13" s="66">
        <f t="shared" ref="R13" si="3">+(F13-E13)*R$8</f>
        <v>0</v>
      </c>
      <c r="S13" s="66">
        <f t="shared" ref="S13:S76" si="4">+P13*P$8+Q13*Q$8+Q13*G$8</f>
        <v>-1671302</v>
      </c>
      <c r="T13" s="85">
        <f t="shared" ref="T13" si="5">IF(C13=0,0,+S13/C13)</f>
        <v>-2.2538975689134965E-3</v>
      </c>
      <c r="U13" s="151"/>
      <c r="V13" s="195">
        <f t="shared" ref="V13" si="6">+S13-E13+C13</f>
        <v>0</v>
      </c>
    </row>
    <row r="14" spans="1:27" x14ac:dyDescent="0.25">
      <c r="A14" s="38" t="s">
        <v>239</v>
      </c>
      <c r="B14" s="39" t="s">
        <v>240</v>
      </c>
      <c r="C14" s="140">
        <f>SUM(C15:C20)</f>
        <v>690436395</v>
      </c>
      <c r="D14" s="140">
        <f t="shared" ref="D14:F14" si="7">SUM(D15:D20)</f>
        <v>690436395</v>
      </c>
      <c r="E14" s="140">
        <f t="shared" si="7"/>
        <v>690436395</v>
      </c>
      <c r="F14" s="140">
        <f t="shared" si="7"/>
        <v>679034397</v>
      </c>
      <c r="G14" s="95"/>
      <c r="H14" s="140">
        <f t="shared" ref="H14" si="8">SUM(H15:H20)</f>
        <v>353434093</v>
      </c>
      <c r="I14" s="140">
        <f t="shared" ref="I14" si="9">SUM(I15:I20)</f>
        <v>508000114</v>
      </c>
      <c r="J14" s="140">
        <f t="shared" ref="J14" si="10">SUM(J15:J20)</f>
        <v>679034397</v>
      </c>
      <c r="K14" s="95"/>
      <c r="L14" s="593">
        <f t="shared" si="0"/>
        <v>0.51189956896753686</v>
      </c>
      <c r="M14" s="593">
        <f t="shared" si="0"/>
        <v>0.73576670882188933</v>
      </c>
      <c r="N14" s="593">
        <f t="shared" si="0"/>
        <v>0.9834858097247321</v>
      </c>
      <c r="O14" s="666"/>
      <c r="P14" s="95">
        <f t="shared" ref="P14:P24" si="11">+(D14-C14)*P$8</f>
        <v>0</v>
      </c>
      <c r="Q14" s="95">
        <f t="shared" ref="Q14:Q24" si="12">+(E14-D14)*Q$8</f>
        <v>0</v>
      </c>
      <c r="R14" s="95">
        <f t="shared" ref="R14:R24" si="13">+(F14-E14)*R$8</f>
        <v>0</v>
      </c>
      <c r="S14" s="95">
        <f>+P14*P$8+Q14*Q$8+Q14*G$8</f>
        <v>0</v>
      </c>
      <c r="T14" s="85">
        <f t="shared" ref="T14:T50" si="14">IF(C14=0,0,+S14/C14)</f>
        <v>0</v>
      </c>
      <c r="U14" s="95"/>
      <c r="V14" s="195">
        <f t="shared" ref="V14:V50" si="15">+S14-E14+C14</f>
        <v>0</v>
      </c>
    </row>
    <row r="15" spans="1:27" ht="26.4" x14ac:dyDescent="0.25">
      <c r="A15" s="149" t="s">
        <v>241</v>
      </c>
      <c r="B15" s="147" t="s">
        <v>374</v>
      </c>
      <c r="C15" s="68">
        <v>202531018</v>
      </c>
      <c r="D15" s="68">
        <v>202531018</v>
      </c>
      <c r="E15" s="68">
        <v>202531018</v>
      </c>
      <c r="F15" s="68">
        <v>203288778</v>
      </c>
      <c r="G15" s="68"/>
      <c r="H15" s="68">
        <v>105710163</v>
      </c>
      <c r="I15" s="68">
        <v>154499469</v>
      </c>
      <c r="J15" s="68">
        <v>203288778</v>
      </c>
      <c r="K15" s="68"/>
      <c r="L15" s="593">
        <f t="shared" si="0"/>
        <v>0.52194554712602093</v>
      </c>
      <c r="M15" s="593">
        <f t="shared" si="0"/>
        <v>0.76284349195341528</v>
      </c>
      <c r="N15" s="593">
        <f t="shared" si="0"/>
        <v>1.0037414515933554</v>
      </c>
      <c r="O15" s="93"/>
      <c r="P15" s="81">
        <f t="shared" si="11"/>
        <v>0</v>
      </c>
      <c r="Q15" s="81">
        <f t="shared" si="12"/>
        <v>0</v>
      </c>
      <c r="R15" s="81">
        <f t="shared" si="13"/>
        <v>0</v>
      </c>
      <c r="S15" s="81">
        <f t="shared" si="4"/>
        <v>0</v>
      </c>
      <c r="T15" s="85">
        <f t="shared" si="14"/>
        <v>0</v>
      </c>
      <c r="U15" s="68"/>
      <c r="V15" s="195">
        <f t="shared" si="15"/>
        <v>0</v>
      </c>
    </row>
    <row r="16" spans="1:27" ht="26.4" x14ac:dyDescent="0.25">
      <c r="A16" s="149" t="s">
        <v>242</v>
      </c>
      <c r="B16" s="146" t="s">
        <v>404</v>
      </c>
      <c r="C16" s="68">
        <v>222738550</v>
      </c>
      <c r="D16" s="68">
        <v>222738550</v>
      </c>
      <c r="E16" s="71">
        <v>222738550</v>
      </c>
      <c r="F16" s="68">
        <v>226139870</v>
      </c>
      <c r="G16" s="68"/>
      <c r="H16" s="68">
        <v>119766166</v>
      </c>
      <c r="I16" s="68">
        <v>177146344</v>
      </c>
      <c r="J16" s="68">
        <v>226139870</v>
      </c>
      <c r="K16" s="68"/>
      <c r="L16" s="593">
        <f t="shared" si="0"/>
        <v>0.53769841816784747</v>
      </c>
      <c r="M16" s="593">
        <f t="shared" si="0"/>
        <v>0.79531066355599422</v>
      </c>
      <c r="N16" s="593">
        <f t="shared" si="0"/>
        <v>1.0152704594691848</v>
      </c>
      <c r="O16" s="93"/>
      <c r="P16" s="81">
        <f t="shared" si="11"/>
        <v>0</v>
      </c>
      <c r="Q16" s="81">
        <f t="shared" si="12"/>
        <v>0</v>
      </c>
      <c r="R16" s="81">
        <f t="shared" si="13"/>
        <v>0</v>
      </c>
      <c r="S16" s="81">
        <f t="shared" si="4"/>
        <v>0</v>
      </c>
      <c r="T16" s="85">
        <f t="shared" si="14"/>
        <v>0</v>
      </c>
      <c r="U16" s="68"/>
      <c r="V16" s="195">
        <f t="shared" si="15"/>
        <v>0</v>
      </c>
    </row>
    <row r="17" spans="1:22" ht="26.4" x14ac:dyDescent="0.25">
      <c r="A17" s="149" t="s">
        <v>243</v>
      </c>
      <c r="B17" s="146" t="s">
        <v>405</v>
      </c>
      <c r="C17" s="68">
        <f>102016424+68672853</f>
        <v>170689277</v>
      </c>
      <c r="D17" s="68">
        <v>170689277</v>
      </c>
      <c r="E17" s="68">
        <f>102016424+68672853</f>
        <v>170689277</v>
      </c>
      <c r="F17" s="68">
        <f>110224417+69885155</f>
        <v>180109572</v>
      </c>
      <c r="G17" s="68"/>
      <c r="H17" s="68">
        <f>56760756+36073238</f>
        <v>92833994</v>
      </c>
      <c r="I17" s="68">
        <v>136722350</v>
      </c>
      <c r="J17" s="68">
        <f>110224417+69885155</f>
        <v>180109572</v>
      </c>
      <c r="K17" s="68"/>
      <c r="L17" s="593">
        <f t="shared" si="0"/>
        <v>0.54387712943444011</v>
      </c>
      <c r="M17" s="593">
        <f t="shared" si="0"/>
        <v>0.80100140092573013</v>
      </c>
      <c r="N17" s="593">
        <f t="shared" si="0"/>
        <v>1.0551897293466186</v>
      </c>
      <c r="O17" s="93"/>
      <c r="P17" s="81">
        <f t="shared" si="11"/>
        <v>0</v>
      </c>
      <c r="Q17" s="81">
        <f t="shared" si="12"/>
        <v>0</v>
      </c>
      <c r="R17" s="81">
        <f t="shared" si="13"/>
        <v>0</v>
      </c>
      <c r="S17" s="81">
        <f t="shared" si="4"/>
        <v>0</v>
      </c>
      <c r="T17" s="85">
        <f t="shared" si="14"/>
        <v>0</v>
      </c>
      <c r="U17" s="68"/>
      <c r="V17" s="195">
        <f t="shared" si="15"/>
        <v>0</v>
      </c>
    </row>
    <row r="18" spans="1:22" ht="26.4" x14ac:dyDescent="0.25">
      <c r="A18" s="149" t="s">
        <v>244</v>
      </c>
      <c r="B18" s="146" t="s">
        <v>406</v>
      </c>
      <c r="C18" s="68">
        <v>18477550</v>
      </c>
      <c r="D18" s="68">
        <v>18477550</v>
      </c>
      <c r="E18" s="71">
        <v>18477550</v>
      </c>
      <c r="F18" s="141">
        <v>18784090</v>
      </c>
      <c r="G18" s="141"/>
      <c r="H18" s="68">
        <v>9767726</v>
      </c>
      <c r="I18" s="141">
        <v>14275907</v>
      </c>
      <c r="J18" s="141">
        <v>18784090</v>
      </c>
      <c r="K18" s="141"/>
      <c r="L18" s="593">
        <f t="shared" si="0"/>
        <v>0.52862668481481578</v>
      </c>
      <c r="M18" s="593">
        <f t="shared" si="0"/>
        <v>0.77260821916325484</v>
      </c>
      <c r="N18" s="593">
        <f t="shared" si="0"/>
        <v>1.0165898617511522</v>
      </c>
      <c r="O18" s="667"/>
      <c r="P18" s="81">
        <f t="shared" si="11"/>
        <v>0</v>
      </c>
      <c r="Q18" s="81">
        <f t="shared" si="12"/>
        <v>0</v>
      </c>
      <c r="R18" s="81">
        <f t="shared" si="13"/>
        <v>0</v>
      </c>
      <c r="S18" s="81">
        <f t="shared" si="4"/>
        <v>0</v>
      </c>
      <c r="T18" s="85">
        <f t="shared" si="14"/>
        <v>0</v>
      </c>
      <c r="U18" s="141"/>
      <c r="V18" s="195">
        <f t="shared" si="15"/>
        <v>0</v>
      </c>
    </row>
    <row r="19" spans="1:22" x14ac:dyDescent="0.25">
      <c r="A19" s="149" t="s">
        <v>245</v>
      </c>
      <c r="B19" s="147" t="s">
        <v>246</v>
      </c>
      <c r="C19" s="68">
        <v>0</v>
      </c>
      <c r="D19" s="68">
        <v>76000000</v>
      </c>
      <c r="E19" s="143">
        <v>76000000</v>
      </c>
      <c r="F19" s="68">
        <v>50712087</v>
      </c>
      <c r="G19" s="68"/>
      <c r="H19" s="68">
        <v>25356044</v>
      </c>
      <c r="I19" s="68">
        <v>25356044</v>
      </c>
      <c r="J19" s="68">
        <v>50712087</v>
      </c>
      <c r="K19" s="68"/>
      <c r="L19" s="593" t="e">
        <f t="shared" si="0"/>
        <v>#DIV/0!</v>
      </c>
      <c r="M19" s="593">
        <f t="shared" si="0"/>
        <v>0.33363215789473682</v>
      </c>
      <c r="N19" s="593">
        <f t="shared" si="0"/>
        <v>0.66726430263157899</v>
      </c>
      <c r="O19" s="93"/>
      <c r="P19" s="81">
        <f t="shared" si="11"/>
        <v>76000000</v>
      </c>
      <c r="Q19" s="81">
        <f t="shared" si="12"/>
        <v>0</v>
      </c>
      <c r="R19" s="81">
        <f t="shared" si="13"/>
        <v>0</v>
      </c>
      <c r="S19" s="81">
        <f t="shared" si="4"/>
        <v>76000000</v>
      </c>
      <c r="T19" s="85">
        <f t="shared" si="14"/>
        <v>0</v>
      </c>
      <c r="U19" s="68"/>
      <c r="V19" s="195">
        <f t="shared" si="15"/>
        <v>0</v>
      </c>
    </row>
    <row r="20" spans="1:22" ht="26.7" customHeight="1" x14ac:dyDescent="0.25">
      <c r="A20" s="149" t="s">
        <v>247</v>
      </c>
      <c r="B20" s="146" t="s">
        <v>506</v>
      </c>
      <c r="C20" s="68">
        <v>76000000</v>
      </c>
      <c r="D20" s="68">
        <v>0</v>
      </c>
      <c r="E20" s="68">
        <v>0</v>
      </c>
      <c r="F20" s="68"/>
      <c r="G20" s="68"/>
      <c r="H20" s="68">
        <v>0</v>
      </c>
      <c r="I20" s="68"/>
      <c r="J20" s="68"/>
      <c r="K20" s="68"/>
      <c r="L20" s="593">
        <f t="shared" si="0"/>
        <v>0</v>
      </c>
      <c r="M20" s="594">
        <f t="shared" si="0"/>
        <v>0</v>
      </c>
      <c r="N20" s="594">
        <f t="shared" si="0"/>
        <v>0</v>
      </c>
      <c r="O20" s="93"/>
      <c r="P20" s="81">
        <f t="shared" si="11"/>
        <v>-76000000</v>
      </c>
      <c r="Q20" s="81">
        <f t="shared" si="12"/>
        <v>0</v>
      </c>
      <c r="R20" s="81">
        <f t="shared" si="13"/>
        <v>0</v>
      </c>
      <c r="S20" s="81">
        <f t="shared" si="4"/>
        <v>-76000000</v>
      </c>
      <c r="T20" s="85">
        <f t="shared" si="14"/>
        <v>-1</v>
      </c>
      <c r="U20" s="68"/>
      <c r="V20" s="195">
        <f t="shared" si="15"/>
        <v>0</v>
      </c>
    </row>
    <row r="21" spans="1:22" x14ac:dyDescent="0.25">
      <c r="A21" s="38" t="s">
        <v>248</v>
      </c>
      <c r="B21" s="39" t="s">
        <v>249</v>
      </c>
      <c r="C21" s="140"/>
      <c r="D21" s="95"/>
      <c r="E21" s="95"/>
      <c r="F21" s="95"/>
      <c r="G21" s="95"/>
      <c r="H21" s="95"/>
      <c r="I21" s="95"/>
      <c r="J21" s="95"/>
      <c r="K21" s="95"/>
      <c r="L21" s="594">
        <f t="shared" si="0"/>
        <v>0</v>
      </c>
      <c r="M21" s="594">
        <f t="shared" si="0"/>
        <v>0</v>
      </c>
      <c r="N21" s="594">
        <f t="shared" si="0"/>
        <v>0</v>
      </c>
      <c r="O21" s="666"/>
      <c r="P21" s="81">
        <f t="shared" si="11"/>
        <v>0</v>
      </c>
      <c r="Q21" s="81">
        <f t="shared" si="12"/>
        <v>0</v>
      </c>
      <c r="R21" s="81">
        <f t="shared" si="13"/>
        <v>0</v>
      </c>
      <c r="S21" s="81">
        <f t="shared" si="4"/>
        <v>0</v>
      </c>
      <c r="T21" s="85">
        <f t="shared" si="14"/>
        <v>0</v>
      </c>
      <c r="U21" s="95"/>
      <c r="V21" s="195">
        <f t="shared" si="15"/>
        <v>0</v>
      </c>
    </row>
    <row r="22" spans="1:22" ht="36" x14ac:dyDescent="0.25">
      <c r="A22" s="38" t="s">
        <v>250</v>
      </c>
      <c r="B22" s="584" t="s">
        <v>251</v>
      </c>
      <c r="C22" s="140"/>
      <c r="D22" s="95"/>
      <c r="E22" s="95"/>
      <c r="F22" s="95"/>
      <c r="G22" s="95"/>
      <c r="H22" s="95"/>
      <c r="I22" s="95"/>
      <c r="J22" s="95"/>
      <c r="K22" s="95"/>
      <c r="L22" s="594">
        <f t="shared" si="0"/>
        <v>0</v>
      </c>
      <c r="M22" s="594">
        <f t="shared" si="0"/>
        <v>0</v>
      </c>
      <c r="N22" s="594">
        <f t="shared" si="0"/>
        <v>0</v>
      </c>
      <c r="O22" s="666"/>
      <c r="P22" s="81">
        <f t="shared" si="11"/>
        <v>0</v>
      </c>
      <c r="Q22" s="81">
        <f t="shared" si="12"/>
        <v>0</v>
      </c>
      <c r="R22" s="81">
        <f t="shared" si="13"/>
        <v>0</v>
      </c>
      <c r="S22" s="81">
        <f t="shared" si="4"/>
        <v>0</v>
      </c>
      <c r="T22" s="85">
        <f t="shared" si="14"/>
        <v>0</v>
      </c>
      <c r="U22" s="95"/>
      <c r="V22" s="195">
        <f t="shared" si="15"/>
        <v>0</v>
      </c>
    </row>
    <row r="23" spans="1:22" ht="36" x14ac:dyDescent="0.25">
      <c r="A23" s="38" t="s">
        <v>252</v>
      </c>
      <c r="B23" s="584" t="s">
        <v>253</v>
      </c>
      <c r="C23" s="140"/>
      <c r="D23" s="95"/>
      <c r="E23" s="95"/>
      <c r="F23" s="95"/>
      <c r="G23" s="95"/>
      <c r="H23" s="95"/>
      <c r="I23" s="95"/>
      <c r="J23" s="95"/>
      <c r="K23" s="95"/>
      <c r="L23" s="594">
        <f t="shared" si="0"/>
        <v>0</v>
      </c>
      <c r="M23" s="594">
        <f t="shared" si="0"/>
        <v>0</v>
      </c>
      <c r="N23" s="594">
        <f t="shared" si="0"/>
        <v>0</v>
      </c>
      <c r="O23" s="666"/>
      <c r="P23" s="81">
        <f t="shared" si="11"/>
        <v>0</v>
      </c>
      <c r="Q23" s="81">
        <f t="shared" si="12"/>
        <v>0</v>
      </c>
      <c r="R23" s="81">
        <f t="shared" si="13"/>
        <v>0</v>
      </c>
      <c r="S23" s="81">
        <f t="shared" si="4"/>
        <v>0</v>
      </c>
      <c r="T23" s="85">
        <f t="shared" si="14"/>
        <v>0</v>
      </c>
      <c r="U23" s="95"/>
      <c r="V23" s="195">
        <f t="shared" si="15"/>
        <v>0</v>
      </c>
    </row>
    <row r="24" spans="1:22" ht="39.6" x14ac:dyDescent="0.25">
      <c r="A24" s="38" t="s">
        <v>254</v>
      </c>
      <c r="B24" s="39" t="s">
        <v>255</v>
      </c>
      <c r="C24" s="140"/>
      <c r="D24" s="95"/>
      <c r="E24" s="95"/>
      <c r="F24" s="95"/>
      <c r="G24" s="95"/>
      <c r="H24" s="95"/>
      <c r="I24" s="95"/>
      <c r="J24" s="95"/>
      <c r="K24" s="95"/>
      <c r="L24" s="594">
        <f t="shared" si="0"/>
        <v>0</v>
      </c>
      <c r="M24" s="594">
        <f t="shared" si="0"/>
        <v>0</v>
      </c>
      <c r="N24" s="594">
        <f t="shared" si="0"/>
        <v>0</v>
      </c>
      <c r="O24" s="666"/>
      <c r="P24" s="81">
        <f t="shared" si="11"/>
        <v>0</v>
      </c>
      <c r="Q24" s="81">
        <f t="shared" si="12"/>
        <v>0</v>
      </c>
      <c r="R24" s="81">
        <f t="shared" si="13"/>
        <v>0</v>
      </c>
      <c r="S24" s="81">
        <f t="shared" si="4"/>
        <v>0</v>
      </c>
      <c r="T24" s="85">
        <f t="shared" si="14"/>
        <v>0</v>
      </c>
      <c r="U24" s="95"/>
      <c r="V24" s="195">
        <f t="shared" si="15"/>
        <v>0</v>
      </c>
    </row>
    <row r="25" spans="1:22" ht="39.6" x14ac:dyDescent="0.25">
      <c r="A25" s="38" t="s">
        <v>256</v>
      </c>
      <c r="B25" s="39" t="s">
        <v>375</v>
      </c>
      <c r="C25" s="95">
        <f>SUM(C26:C29)</f>
        <v>51080000</v>
      </c>
      <c r="D25" s="95">
        <f>SUM(D26:D29)</f>
        <v>51080000</v>
      </c>
      <c r="E25" s="95">
        <f>SUM(E26:E29)</f>
        <v>49408698</v>
      </c>
      <c r="F25" s="95">
        <f t="shared" ref="F25" si="16">SUM(F26:F29)</f>
        <v>49408698</v>
      </c>
      <c r="G25" s="95"/>
      <c r="H25" s="95">
        <f>SUM(H26:H29)</f>
        <v>26122057</v>
      </c>
      <c r="I25" s="95">
        <f>SUM(I26:I29)</f>
        <v>39676430</v>
      </c>
      <c r="J25" s="95">
        <f t="shared" ref="J25" si="17">SUM(J26:J29)</f>
        <v>52580005</v>
      </c>
      <c r="K25" s="95"/>
      <c r="L25" s="593">
        <f t="shared" si="0"/>
        <v>0.51139500783085357</v>
      </c>
      <c r="M25" s="593">
        <f t="shared" si="0"/>
        <v>0.77675078308535628</v>
      </c>
      <c r="N25" s="593">
        <f t="shared" si="0"/>
        <v>1.0641851967036249</v>
      </c>
      <c r="O25" s="666"/>
      <c r="P25" s="95">
        <f t="shared" ref="P25:R25" si="18">+P26+P27+P28+P29</f>
        <v>0</v>
      </c>
      <c r="Q25" s="95">
        <f t="shared" si="18"/>
        <v>-1671302</v>
      </c>
      <c r="R25" s="95">
        <f t="shared" si="18"/>
        <v>0</v>
      </c>
      <c r="S25" s="95">
        <f t="shared" si="4"/>
        <v>-1671302</v>
      </c>
      <c r="T25" s="85">
        <f t="shared" si="14"/>
        <v>-3.2719303054032887E-2</v>
      </c>
      <c r="U25" s="95"/>
      <c r="V25" s="195">
        <f t="shared" si="15"/>
        <v>0</v>
      </c>
    </row>
    <row r="26" spans="1:22" ht="47.4" x14ac:dyDescent="0.25">
      <c r="A26" s="150" t="s">
        <v>382</v>
      </c>
      <c r="B26" s="146" t="s">
        <v>407</v>
      </c>
      <c r="C26" s="142">
        <v>25000000</v>
      </c>
      <c r="D26" s="142">
        <v>25000000</v>
      </c>
      <c r="E26" s="141">
        <v>25000000</v>
      </c>
      <c r="F26" s="141">
        <v>25000000</v>
      </c>
      <c r="G26" s="141"/>
      <c r="H26" s="141">
        <v>12002800</v>
      </c>
      <c r="I26" s="141">
        <v>18016200</v>
      </c>
      <c r="J26" s="141">
        <v>24025200</v>
      </c>
      <c r="K26" s="141"/>
      <c r="L26" s="593">
        <f t="shared" si="0"/>
        <v>0.48011199999999998</v>
      </c>
      <c r="M26" s="593">
        <f t="shared" si="0"/>
        <v>0.72064799999999996</v>
      </c>
      <c r="N26" s="593">
        <f t="shared" si="0"/>
        <v>0.96100799999999997</v>
      </c>
      <c r="O26" s="667"/>
      <c r="P26" s="81">
        <f t="shared" ref="P26:R29" si="19">+(D26-C26)*P$8</f>
        <v>0</v>
      </c>
      <c r="Q26" s="81">
        <f t="shared" si="19"/>
        <v>0</v>
      </c>
      <c r="R26" s="81">
        <f t="shared" si="19"/>
        <v>0</v>
      </c>
      <c r="S26" s="81">
        <f t="shared" si="4"/>
        <v>0</v>
      </c>
      <c r="T26" s="85">
        <f t="shared" si="14"/>
        <v>0</v>
      </c>
      <c r="U26" s="141"/>
      <c r="V26" s="195">
        <f t="shared" si="15"/>
        <v>0</v>
      </c>
    </row>
    <row r="27" spans="1:22" ht="24" x14ac:dyDescent="0.25">
      <c r="A27" s="150" t="s">
        <v>385</v>
      </c>
      <c r="B27" s="146" t="s">
        <v>408</v>
      </c>
      <c r="C27" s="142">
        <f>540000*4*0.5</f>
        <v>1080000</v>
      </c>
      <c r="D27" s="142">
        <f>540000*4*0.5</f>
        <v>1080000</v>
      </c>
      <c r="E27" s="141">
        <v>1080000</v>
      </c>
      <c r="F27" s="141">
        <v>1080000</v>
      </c>
      <c r="G27" s="141"/>
      <c r="H27" s="141">
        <v>540000</v>
      </c>
      <c r="I27" s="141">
        <v>2944350</v>
      </c>
      <c r="J27" s="141">
        <f>2944350+270000+2007612</f>
        <v>5221962</v>
      </c>
      <c r="K27" s="141"/>
      <c r="L27" s="593">
        <f t="shared" si="0"/>
        <v>0.5</v>
      </c>
      <c r="M27" s="593">
        <f t="shared" si="0"/>
        <v>2.7262499999999998</v>
      </c>
      <c r="N27" s="593">
        <f t="shared" si="0"/>
        <v>4.8351499999999996</v>
      </c>
      <c r="O27" s="667"/>
      <c r="P27" s="81">
        <f t="shared" si="19"/>
        <v>0</v>
      </c>
      <c r="Q27" s="81">
        <f t="shared" si="19"/>
        <v>0</v>
      </c>
      <c r="R27" s="81">
        <f t="shared" si="19"/>
        <v>0</v>
      </c>
      <c r="S27" s="81">
        <f t="shared" si="4"/>
        <v>0</v>
      </c>
      <c r="T27" s="85">
        <f t="shared" si="14"/>
        <v>0</v>
      </c>
      <c r="U27" s="141"/>
      <c r="V27" s="195">
        <f t="shared" si="15"/>
        <v>0</v>
      </c>
    </row>
    <row r="28" spans="1:22" x14ac:dyDescent="0.25">
      <c r="A28" s="150" t="s">
        <v>386</v>
      </c>
      <c r="B28" s="146" t="s">
        <v>480</v>
      </c>
      <c r="C28" s="142">
        <v>0</v>
      </c>
      <c r="D28" s="142">
        <v>0</v>
      </c>
      <c r="E28" s="141">
        <v>0</v>
      </c>
      <c r="F28" s="141">
        <v>0</v>
      </c>
      <c r="G28" s="141"/>
      <c r="H28" s="141">
        <v>0</v>
      </c>
      <c r="I28" s="141">
        <v>0</v>
      </c>
      <c r="J28" s="141">
        <v>0</v>
      </c>
      <c r="K28" s="141"/>
      <c r="L28" s="593">
        <f t="shared" si="0"/>
        <v>0</v>
      </c>
      <c r="M28" s="593">
        <f t="shared" si="0"/>
        <v>0</v>
      </c>
      <c r="N28" s="593">
        <f t="shared" si="0"/>
        <v>0</v>
      </c>
      <c r="O28" s="667"/>
      <c r="P28" s="81">
        <f t="shared" si="19"/>
        <v>0</v>
      </c>
      <c r="Q28" s="81">
        <f t="shared" si="19"/>
        <v>0</v>
      </c>
      <c r="R28" s="81">
        <f t="shared" si="19"/>
        <v>0</v>
      </c>
      <c r="S28" s="81">
        <f t="shared" si="4"/>
        <v>0</v>
      </c>
      <c r="T28" s="85">
        <f t="shared" si="14"/>
        <v>0</v>
      </c>
      <c r="U28" s="141"/>
      <c r="V28" s="195">
        <f t="shared" si="15"/>
        <v>0</v>
      </c>
    </row>
    <row r="29" spans="1:22" ht="24" x14ac:dyDescent="0.25">
      <c r="A29" s="150" t="s">
        <v>387</v>
      </c>
      <c r="B29" s="146" t="s">
        <v>409</v>
      </c>
      <c r="C29" s="142">
        <v>25000000</v>
      </c>
      <c r="D29" s="142">
        <v>25000000</v>
      </c>
      <c r="E29" s="141">
        <v>23328698</v>
      </c>
      <c r="F29" s="141">
        <v>23328698</v>
      </c>
      <c r="G29" s="141"/>
      <c r="H29" s="141">
        <v>13579257</v>
      </c>
      <c r="I29" s="141">
        <v>18715880</v>
      </c>
      <c r="J29" s="141">
        <v>23332843</v>
      </c>
      <c r="K29" s="141"/>
      <c r="L29" s="593">
        <f t="shared" ref="L29:N35" si="20">IF(H29&gt;0,H29/C29,0)</f>
        <v>0.54317028000000001</v>
      </c>
      <c r="M29" s="593">
        <f t="shared" si="20"/>
        <v>0.74863519999999995</v>
      </c>
      <c r="N29" s="593">
        <f t="shared" si="20"/>
        <v>1.0001776781541774</v>
      </c>
      <c r="O29" s="667"/>
      <c r="P29" s="81">
        <f t="shared" si="19"/>
        <v>0</v>
      </c>
      <c r="Q29" s="81">
        <f t="shared" si="19"/>
        <v>-1671302</v>
      </c>
      <c r="R29" s="81">
        <f t="shared" si="19"/>
        <v>0</v>
      </c>
      <c r="S29" s="81">
        <f t="shared" si="4"/>
        <v>-1671302</v>
      </c>
      <c r="T29" s="85">
        <f t="shared" si="14"/>
        <v>-6.6852079999999994E-2</v>
      </c>
      <c r="U29" s="141"/>
      <c r="V29" s="195">
        <f t="shared" si="15"/>
        <v>0</v>
      </c>
    </row>
    <row r="30" spans="1:22" ht="34.5" customHeight="1" x14ac:dyDescent="0.25">
      <c r="A30" s="4" t="s">
        <v>257</v>
      </c>
      <c r="B30" s="3" t="s">
        <v>258</v>
      </c>
      <c r="C30" s="66">
        <f>SUM(C31:C35)</f>
        <v>240330297</v>
      </c>
      <c r="D30" s="66">
        <f>SUM(D31:D35)</f>
        <v>263496440</v>
      </c>
      <c r="E30" s="66">
        <f>SUM(E31:E35)</f>
        <v>285167742</v>
      </c>
      <c r="F30" s="66">
        <f>SUM(F31:F35)</f>
        <v>203746174</v>
      </c>
      <c r="G30" s="66"/>
      <c r="H30" s="66">
        <f>SUM(H31:H35)</f>
        <v>46110402</v>
      </c>
      <c r="I30" s="66">
        <f>SUM(I31:I35)</f>
        <v>121917895</v>
      </c>
      <c r="J30" s="66">
        <f>SUM(J31:J35)</f>
        <v>203746174</v>
      </c>
      <c r="K30" s="66"/>
      <c r="L30" s="631">
        <f t="shared" si="20"/>
        <v>0.19186262645861915</v>
      </c>
      <c r="M30" s="631">
        <f t="shared" si="20"/>
        <v>0.46269275972001744</v>
      </c>
      <c r="N30" s="631">
        <f t="shared" si="20"/>
        <v>0.71447833675381134</v>
      </c>
      <c r="O30" s="707"/>
      <c r="P30" s="66">
        <f t="shared" ref="P30:R30" si="21">SUM(P31:P35)</f>
        <v>23166143</v>
      </c>
      <c r="Q30" s="66">
        <f t="shared" si="21"/>
        <v>21671302</v>
      </c>
      <c r="R30" s="66">
        <f t="shared" si="21"/>
        <v>0</v>
      </c>
      <c r="S30" s="66">
        <f t="shared" si="4"/>
        <v>44837445</v>
      </c>
      <c r="T30" s="85">
        <f t="shared" si="14"/>
        <v>0.18656592847301312</v>
      </c>
      <c r="U30" s="66"/>
      <c r="V30" s="195">
        <f t="shared" si="15"/>
        <v>0</v>
      </c>
    </row>
    <row r="31" spans="1:22" s="42" customFormat="1" ht="26.4" x14ac:dyDescent="0.25">
      <c r="A31" s="38" t="s">
        <v>259</v>
      </c>
      <c r="B31" s="39" t="s">
        <v>459</v>
      </c>
      <c r="C31" s="140"/>
      <c r="D31" s="95">
        <v>11469194</v>
      </c>
      <c r="E31" s="95">
        <v>83444000</v>
      </c>
      <c r="F31" s="95">
        <v>82276687</v>
      </c>
      <c r="G31" s="95"/>
      <c r="H31" s="95">
        <v>11469194</v>
      </c>
      <c r="I31" s="95">
        <v>82276687</v>
      </c>
      <c r="J31" s="95">
        <v>82276687</v>
      </c>
      <c r="K31" s="95"/>
      <c r="L31" s="594" t="e">
        <f t="shared" si="20"/>
        <v>#DIV/0!</v>
      </c>
      <c r="M31" s="594">
        <f t="shared" si="20"/>
        <v>7.1737113349028707</v>
      </c>
      <c r="N31" s="594">
        <f t="shared" si="20"/>
        <v>0.98601082162887688</v>
      </c>
      <c r="O31" s="666"/>
      <c r="P31" s="95">
        <f t="shared" ref="P31:R38" si="22">+(D31-C31)*P$8</f>
        <v>11469194</v>
      </c>
      <c r="Q31" s="95">
        <f t="shared" si="22"/>
        <v>71974806</v>
      </c>
      <c r="R31" s="95">
        <f t="shared" si="22"/>
        <v>0</v>
      </c>
      <c r="S31" s="95">
        <f t="shared" si="4"/>
        <v>83444000</v>
      </c>
      <c r="T31" s="85">
        <f t="shared" si="14"/>
        <v>0</v>
      </c>
      <c r="U31" s="95"/>
      <c r="V31" s="195">
        <f t="shared" si="15"/>
        <v>0</v>
      </c>
    </row>
    <row r="32" spans="1:22" s="42" customFormat="1" ht="51" hidden="1" customHeight="1" x14ac:dyDescent="0.25">
      <c r="A32" s="38" t="s">
        <v>260</v>
      </c>
      <c r="B32" s="557" t="s">
        <v>460</v>
      </c>
      <c r="C32" s="140"/>
      <c r="D32" s="95"/>
      <c r="E32" s="140"/>
      <c r="F32" s="140"/>
      <c r="G32" s="140"/>
      <c r="H32" s="140"/>
      <c r="I32" s="140"/>
      <c r="J32" s="140"/>
      <c r="K32" s="140"/>
      <c r="L32" s="595">
        <f t="shared" si="20"/>
        <v>0</v>
      </c>
      <c r="M32" s="595">
        <f t="shared" si="20"/>
        <v>0</v>
      </c>
      <c r="N32" s="595">
        <f t="shared" si="20"/>
        <v>0</v>
      </c>
      <c r="O32" s="134"/>
      <c r="P32" s="81">
        <f t="shared" si="22"/>
        <v>0</v>
      </c>
      <c r="Q32" s="81">
        <f t="shared" si="22"/>
        <v>0</v>
      </c>
      <c r="R32" s="81">
        <f t="shared" si="22"/>
        <v>0</v>
      </c>
      <c r="S32" s="81">
        <f t="shared" si="4"/>
        <v>0</v>
      </c>
      <c r="T32" s="85">
        <f t="shared" si="14"/>
        <v>0</v>
      </c>
      <c r="U32" s="140"/>
      <c r="V32" s="195">
        <f t="shared" si="15"/>
        <v>0</v>
      </c>
    </row>
    <row r="33" spans="1:22" s="42" customFormat="1" ht="39.6" x14ac:dyDescent="0.25">
      <c r="A33" s="38" t="s">
        <v>261</v>
      </c>
      <c r="B33" s="557" t="s">
        <v>262</v>
      </c>
      <c r="C33" s="140"/>
      <c r="D33" s="95"/>
      <c r="E33" s="140"/>
      <c r="F33" s="140"/>
      <c r="G33" s="140"/>
      <c r="H33" s="140"/>
      <c r="I33" s="140"/>
      <c r="J33" s="140"/>
      <c r="K33" s="140"/>
      <c r="L33" s="595">
        <f t="shared" si="20"/>
        <v>0</v>
      </c>
      <c r="M33" s="595">
        <f t="shared" si="20"/>
        <v>0</v>
      </c>
      <c r="N33" s="595">
        <f t="shared" si="20"/>
        <v>0</v>
      </c>
      <c r="O33" s="134"/>
      <c r="P33" s="81">
        <f t="shared" si="22"/>
        <v>0</v>
      </c>
      <c r="Q33" s="81">
        <f t="shared" si="22"/>
        <v>0</v>
      </c>
      <c r="R33" s="81">
        <f t="shared" si="22"/>
        <v>0</v>
      </c>
      <c r="S33" s="81">
        <f t="shared" si="4"/>
        <v>0</v>
      </c>
      <c r="T33" s="85">
        <f t="shared" si="14"/>
        <v>0</v>
      </c>
      <c r="U33" s="140"/>
      <c r="V33" s="195">
        <f t="shared" si="15"/>
        <v>0</v>
      </c>
    </row>
    <row r="34" spans="1:22" s="42" customFormat="1" ht="40.35" customHeight="1" x14ac:dyDescent="0.25">
      <c r="A34" s="38" t="s">
        <v>263</v>
      </c>
      <c r="B34" s="584" t="s">
        <v>410</v>
      </c>
      <c r="C34" s="140"/>
      <c r="D34" s="95"/>
      <c r="E34" s="140"/>
      <c r="F34" s="140"/>
      <c r="G34" s="140"/>
      <c r="H34" s="140"/>
      <c r="I34" s="140"/>
      <c r="J34" s="140"/>
      <c r="K34" s="140"/>
      <c r="L34" s="595">
        <f t="shared" si="20"/>
        <v>0</v>
      </c>
      <c r="M34" s="595">
        <f t="shared" si="20"/>
        <v>0</v>
      </c>
      <c r="N34" s="595">
        <f t="shared" si="20"/>
        <v>0</v>
      </c>
      <c r="O34" s="134"/>
      <c r="P34" s="81">
        <f t="shared" si="22"/>
        <v>0</v>
      </c>
      <c r="Q34" s="81">
        <f t="shared" si="22"/>
        <v>0</v>
      </c>
      <c r="R34" s="81">
        <f t="shared" si="22"/>
        <v>0</v>
      </c>
      <c r="S34" s="81">
        <f t="shared" si="4"/>
        <v>0</v>
      </c>
      <c r="T34" s="85">
        <f t="shared" si="14"/>
        <v>0</v>
      </c>
      <c r="U34" s="140"/>
      <c r="V34" s="195">
        <f t="shared" si="15"/>
        <v>0</v>
      </c>
    </row>
    <row r="35" spans="1:22" s="42" customFormat="1" ht="26.4" x14ac:dyDescent="0.25">
      <c r="A35" s="38" t="s">
        <v>264</v>
      </c>
      <c r="B35" s="39" t="s">
        <v>478</v>
      </c>
      <c r="C35" s="140">
        <v>240330297</v>
      </c>
      <c r="D35" s="95">
        <v>252027246</v>
      </c>
      <c r="E35" s="95">
        <v>201723742</v>
      </c>
      <c r="F35" s="95">
        <v>121469487</v>
      </c>
      <c r="G35" s="95"/>
      <c r="H35" s="95">
        <v>34641208</v>
      </c>
      <c r="I35" s="95">
        <v>39641208</v>
      </c>
      <c r="J35" s="95">
        <v>121469487</v>
      </c>
      <c r="K35" s="95"/>
      <c r="L35" s="594">
        <f t="shared" si="20"/>
        <v>0.14413999579919798</v>
      </c>
      <c r="M35" s="594">
        <f t="shared" si="20"/>
        <v>0.15728937497495807</v>
      </c>
      <c r="N35" s="594">
        <f t="shared" si="20"/>
        <v>0.60215761315789984</v>
      </c>
      <c r="O35" s="666"/>
      <c r="P35" s="95">
        <f t="shared" si="22"/>
        <v>11696949</v>
      </c>
      <c r="Q35" s="95">
        <f t="shared" si="22"/>
        <v>-50303504</v>
      </c>
      <c r="R35" s="95">
        <f t="shared" si="22"/>
        <v>0</v>
      </c>
      <c r="S35" s="95">
        <f t="shared" si="4"/>
        <v>-38606555</v>
      </c>
      <c r="T35" s="85">
        <f t="shared" si="14"/>
        <v>-0.16063956763636839</v>
      </c>
      <c r="U35" s="95"/>
      <c r="V35" s="195">
        <f t="shared" si="15"/>
        <v>0</v>
      </c>
    </row>
    <row r="36" spans="1:22" x14ac:dyDescent="0.25">
      <c r="A36" s="14"/>
      <c r="B36" s="146"/>
      <c r="C36" s="71"/>
      <c r="D36" s="68"/>
      <c r="E36" s="68"/>
      <c r="F36" s="68"/>
      <c r="G36" s="68"/>
      <c r="H36" s="68"/>
      <c r="I36" s="68"/>
      <c r="J36" s="68"/>
      <c r="K36" s="68"/>
      <c r="L36" s="593"/>
      <c r="M36" s="593"/>
      <c r="N36" s="593"/>
      <c r="O36" s="93"/>
      <c r="P36" s="81">
        <f t="shared" si="22"/>
        <v>0</v>
      </c>
      <c r="Q36" s="81">
        <f t="shared" si="22"/>
        <v>0</v>
      </c>
      <c r="R36" s="81">
        <f t="shared" si="22"/>
        <v>0</v>
      </c>
      <c r="S36" s="81">
        <f t="shared" si="4"/>
        <v>0</v>
      </c>
      <c r="T36" s="85">
        <f t="shared" si="14"/>
        <v>0</v>
      </c>
      <c r="U36" s="68"/>
      <c r="V36" s="195">
        <f t="shared" si="15"/>
        <v>0</v>
      </c>
    </row>
    <row r="37" spans="1:22" x14ac:dyDescent="0.25">
      <c r="A37" s="14"/>
      <c r="B37" s="146"/>
      <c r="C37" s="71"/>
      <c r="D37" s="68"/>
      <c r="E37" s="68"/>
      <c r="F37" s="68"/>
      <c r="G37" s="68"/>
      <c r="H37" s="68"/>
      <c r="I37" s="68"/>
      <c r="J37" s="68"/>
      <c r="K37" s="68"/>
      <c r="L37" s="593"/>
      <c r="M37" s="593"/>
      <c r="N37" s="593"/>
      <c r="O37" s="93"/>
      <c r="P37" s="81">
        <f t="shared" si="22"/>
        <v>0</v>
      </c>
      <c r="Q37" s="81">
        <f t="shared" si="22"/>
        <v>0</v>
      </c>
      <c r="R37" s="81">
        <f t="shared" si="22"/>
        <v>0</v>
      </c>
      <c r="S37" s="81">
        <f t="shared" si="4"/>
        <v>0</v>
      </c>
      <c r="T37" s="85">
        <f t="shared" si="14"/>
        <v>0</v>
      </c>
      <c r="U37" s="68"/>
      <c r="V37" s="195">
        <f t="shared" si="15"/>
        <v>0</v>
      </c>
    </row>
    <row r="38" spans="1:22" x14ac:dyDescent="0.25">
      <c r="A38" s="14"/>
      <c r="B38" s="146"/>
      <c r="C38" s="71"/>
      <c r="D38" s="68"/>
      <c r="E38" s="68"/>
      <c r="F38" s="68"/>
      <c r="G38" s="68"/>
      <c r="H38" s="68"/>
      <c r="I38" s="68"/>
      <c r="J38" s="68"/>
      <c r="K38" s="68"/>
      <c r="L38" s="593"/>
      <c r="M38" s="593"/>
      <c r="N38" s="593"/>
      <c r="O38" s="93"/>
      <c r="P38" s="81">
        <f t="shared" si="22"/>
        <v>0</v>
      </c>
      <c r="Q38" s="81">
        <f t="shared" si="22"/>
        <v>0</v>
      </c>
      <c r="R38" s="81">
        <f t="shared" si="22"/>
        <v>0</v>
      </c>
      <c r="S38" s="81">
        <f t="shared" si="4"/>
        <v>0</v>
      </c>
      <c r="T38" s="85">
        <f t="shared" si="14"/>
        <v>0</v>
      </c>
      <c r="U38" s="68"/>
      <c r="V38" s="195">
        <f t="shared" si="15"/>
        <v>0</v>
      </c>
    </row>
    <row r="39" spans="1:22" x14ac:dyDescent="0.25">
      <c r="A39" s="4" t="s">
        <v>265</v>
      </c>
      <c r="B39" s="3" t="s">
        <v>266</v>
      </c>
      <c r="C39" s="66">
        <f>+C40+C42+C47</f>
        <v>132000000</v>
      </c>
      <c r="D39" s="66">
        <f>+D40+D42+D47</f>
        <v>132000000</v>
      </c>
      <c r="E39" s="66">
        <f>+E40+E42+E47</f>
        <v>132000000</v>
      </c>
      <c r="F39" s="66">
        <f>+F40+F42+F47</f>
        <v>200000000</v>
      </c>
      <c r="G39" s="66"/>
      <c r="H39" s="66">
        <f>+H40+H42+H47</f>
        <v>72544113</v>
      </c>
      <c r="I39" s="66">
        <f>+I40+I42+I47</f>
        <v>185601504</v>
      </c>
      <c r="J39" s="66">
        <f>+J40+J42+J47</f>
        <v>249032958</v>
      </c>
      <c r="K39" s="66"/>
      <c r="L39" s="631">
        <f t="shared" ref="L39:N54" si="23">IF(H39&gt;0,H39/C39,0)</f>
        <v>0.54957661363636368</v>
      </c>
      <c r="M39" s="631">
        <f t="shared" si="23"/>
        <v>1.406072</v>
      </c>
      <c r="N39" s="590">
        <f t="shared" si="23"/>
        <v>1.8866133181818181</v>
      </c>
      <c r="O39" s="639"/>
      <c r="P39" s="66">
        <f t="shared" ref="P39:R39" si="24">+P40+P42+P47</f>
        <v>0</v>
      </c>
      <c r="Q39" s="66">
        <f t="shared" si="24"/>
        <v>0</v>
      </c>
      <c r="R39" s="66">
        <f t="shared" si="24"/>
        <v>0</v>
      </c>
      <c r="S39" s="66">
        <f t="shared" si="4"/>
        <v>0</v>
      </c>
      <c r="T39" s="85">
        <f t="shared" si="14"/>
        <v>0</v>
      </c>
      <c r="U39" s="66"/>
      <c r="V39" s="195">
        <f t="shared" si="15"/>
        <v>0</v>
      </c>
    </row>
    <row r="40" spans="1:22" x14ac:dyDescent="0.25">
      <c r="A40" s="38" t="s">
        <v>267</v>
      </c>
      <c r="B40" s="39" t="s">
        <v>268</v>
      </c>
      <c r="C40" s="140">
        <f>SUM(C41)</f>
        <v>23000000</v>
      </c>
      <c r="D40" s="140">
        <f t="shared" ref="D40:F40" si="25">SUM(D41)</f>
        <v>23000000</v>
      </c>
      <c r="E40" s="140">
        <f t="shared" si="25"/>
        <v>23000000</v>
      </c>
      <c r="F40" s="140">
        <f t="shared" si="25"/>
        <v>23000000</v>
      </c>
      <c r="G40" s="95"/>
      <c r="H40" s="140">
        <f t="shared" ref="H40" si="26">SUM(H41)</f>
        <v>12420730</v>
      </c>
      <c r="I40" s="140">
        <f t="shared" ref="I40" si="27">SUM(I41)</f>
        <v>17703731</v>
      </c>
      <c r="J40" s="140">
        <f t="shared" ref="J40" si="28">SUM(J41)</f>
        <v>20418573</v>
      </c>
      <c r="K40" s="95"/>
      <c r="L40" s="594">
        <f t="shared" si="23"/>
        <v>0.54003173913043478</v>
      </c>
      <c r="M40" s="593">
        <f t="shared" si="23"/>
        <v>0.76972743478260874</v>
      </c>
      <c r="N40" s="593">
        <f t="shared" si="23"/>
        <v>0.88776404347826088</v>
      </c>
      <c r="O40" s="666"/>
      <c r="P40" s="95">
        <f t="shared" ref="P40:R40" si="29">SUM(P41)</f>
        <v>0</v>
      </c>
      <c r="Q40" s="95">
        <f t="shared" si="29"/>
        <v>0</v>
      </c>
      <c r="R40" s="95">
        <f t="shared" si="29"/>
        <v>0</v>
      </c>
      <c r="S40" s="95">
        <f t="shared" si="4"/>
        <v>0</v>
      </c>
      <c r="T40" s="85">
        <f t="shared" si="14"/>
        <v>0</v>
      </c>
      <c r="U40" s="95"/>
      <c r="V40" s="195">
        <f t="shared" si="15"/>
        <v>0</v>
      </c>
    </row>
    <row r="41" spans="1:22" x14ac:dyDescent="0.25">
      <c r="A41" s="38"/>
      <c r="B41" s="146" t="s">
        <v>510</v>
      </c>
      <c r="C41" s="142">
        <f>3000000+20000000</f>
        <v>23000000</v>
      </c>
      <c r="D41" s="143">
        <v>23000000</v>
      </c>
      <c r="E41" s="143">
        <v>23000000</v>
      </c>
      <c r="F41" s="143">
        <v>23000000</v>
      </c>
      <c r="G41" s="143"/>
      <c r="H41" s="143">
        <f>2007747+87550+10325433</f>
        <v>12420730</v>
      </c>
      <c r="I41" s="143">
        <f>3354516+14161665+187550</f>
        <v>17703731</v>
      </c>
      <c r="J41" s="143">
        <f>3956059+16212514+250000</f>
        <v>20418573</v>
      </c>
      <c r="K41" s="143"/>
      <c r="L41" s="593">
        <f t="shared" si="23"/>
        <v>0.54003173913043478</v>
      </c>
      <c r="M41" s="594">
        <f t="shared" si="23"/>
        <v>0.76972743478260874</v>
      </c>
      <c r="N41" s="594">
        <f t="shared" si="23"/>
        <v>0.88776404347826088</v>
      </c>
      <c r="O41" s="668"/>
      <c r="P41" s="81">
        <f>+(D41-C41)*P$8</f>
        <v>0</v>
      </c>
      <c r="Q41" s="81">
        <f>+(E41-D41)*Q$8</f>
        <v>0</v>
      </c>
      <c r="R41" s="81">
        <f>+(F41-E41)*R$8</f>
        <v>0</v>
      </c>
      <c r="S41" s="81">
        <f t="shared" si="4"/>
        <v>0</v>
      </c>
      <c r="T41" s="85">
        <f t="shared" si="14"/>
        <v>0</v>
      </c>
      <c r="U41" s="143"/>
      <c r="V41" s="195">
        <f t="shared" si="15"/>
        <v>0</v>
      </c>
    </row>
    <row r="42" spans="1:22" x14ac:dyDescent="0.25">
      <c r="A42" s="38" t="s">
        <v>269</v>
      </c>
      <c r="B42" s="39" t="s">
        <v>270</v>
      </c>
      <c r="C42" s="95">
        <f t="shared" ref="C42" si="30">SUM(C43+C46)</f>
        <v>109000000</v>
      </c>
      <c r="D42" s="95">
        <f>SUM(D43+D46)</f>
        <v>109000000</v>
      </c>
      <c r="E42" s="95">
        <f>SUM(E43+E46)</f>
        <v>109000000</v>
      </c>
      <c r="F42" s="95">
        <f>SUM(F43+F46)</f>
        <v>174000000</v>
      </c>
      <c r="G42" s="95"/>
      <c r="H42" s="95">
        <f>SUM(H43+H46)</f>
        <v>58876320</v>
      </c>
      <c r="I42" s="95">
        <f>SUM(I43+I46)</f>
        <v>155680254</v>
      </c>
      <c r="J42" s="95">
        <f>SUM(J43+J46)</f>
        <v>215909681</v>
      </c>
      <c r="K42" s="95"/>
      <c r="L42" s="594">
        <f t="shared" si="23"/>
        <v>0.54014972477064216</v>
      </c>
      <c r="M42" s="593">
        <f t="shared" si="23"/>
        <v>1.4282592110091743</v>
      </c>
      <c r="N42" s="593">
        <f t="shared" si="23"/>
        <v>1.9808227614678899</v>
      </c>
      <c r="O42" s="666"/>
      <c r="P42" s="95">
        <f t="shared" ref="P42:R42" si="31">SUM(P43+P46)</f>
        <v>0</v>
      </c>
      <c r="Q42" s="95">
        <f t="shared" si="31"/>
        <v>0</v>
      </c>
      <c r="R42" s="95">
        <f t="shared" si="31"/>
        <v>0</v>
      </c>
      <c r="S42" s="95">
        <f t="shared" si="4"/>
        <v>0</v>
      </c>
      <c r="T42" s="85">
        <f t="shared" si="14"/>
        <v>0</v>
      </c>
      <c r="U42" s="95"/>
      <c r="V42" s="195">
        <f t="shared" si="15"/>
        <v>0</v>
      </c>
    </row>
    <row r="43" spans="1:22" x14ac:dyDescent="0.25">
      <c r="A43" s="14" t="s">
        <v>271</v>
      </c>
      <c r="B43" s="482" t="s">
        <v>272</v>
      </c>
      <c r="C43" s="71">
        <f t="shared" ref="C43:E43" si="32">SUM(C44:C45)</f>
        <v>109000000</v>
      </c>
      <c r="D43" s="71">
        <f t="shared" si="32"/>
        <v>109000000</v>
      </c>
      <c r="E43" s="71">
        <f t="shared" si="32"/>
        <v>109000000</v>
      </c>
      <c r="F43" s="71">
        <f>SUM(F44:F45)</f>
        <v>174000000</v>
      </c>
      <c r="G43" s="71"/>
      <c r="H43" s="71">
        <f t="shared" ref="H43:J43" si="33">SUM(H44:H45)</f>
        <v>58876320</v>
      </c>
      <c r="I43" s="71">
        <f t="shared" si="33"/>
        <v>155680254</v>
      </c>
      <c r="J43" s="71">
        <f t="shared" si="33"/>
        <v>215909681</v>
      </c>
      <c r="K43" s="71"/>
      <c r="L43" s="593">
        <f t="shared" si="23"/>
        <v>0.54014972477064216</v>
      </c>
      <c r="M43" s="593">
        <f t="shared" si="23"/>
        <v>1.4282592110091743</v>
      </c>
      <c r="N43" s="589">
        <f t="shared" si="23"/>
        <v>1.9808227614678899</v>
      </c>
      <c r="O43" s="91"/>
      <c r="P43" s="81">
        <f t="shared" ref="P43:R46" si="34">+(D43-C43)*P$8</f>
        <v>0</v>
      </c>
      <c r="Q43" s="81">
        <f t="shared" si="34"/>
        <v>0</v>
      </c>
      <c r="R43" s="81">
        <f t="shared" si="34"/>
        <v>0</v>
      </c>
      <c r="S43" s="81">
        <f t="shared" si="4"/>
        <v>0</v>
      </c>
      <c r="T43" s="85">
        <f t="shared" si="14"/>
        <v>0</v>
      </c>
      <c r="U43" s="71"/>
      <c r="V43" s="195">
        <f t="shared" si="15"/>
        <v>0</v>
      </c>
    </row>
    <row r="44" spans="1:22" x14ac:dyDescent="0.25">
      <c r="A44" s="14"/>
      <c r="B44" s="147" t="s">
        <v>273</v>
      </c>
      <c r="C44" s="71">
        <v>0</v>
      </c>
      <c r="D44" s="68">
        <v>0</v>
      </c>
      <c r="E44" s="68">
        <v>0</v>
      </c>
      <c r="F44" s="68"/>
      <c r="G44" s="68"/>
      <c r="H44" s="68">
        <v>0</v>
      </c>
      <c r="I44" s="68">
        <v>0</v>
      </c>
      <c r="J44" s="68">
        <v>0</v>
      </c>
      <c r="K44" s="68"/>
      <c r="L44" s="593">
        <f t="shared" si="23"/>
        <v>0</v>
      </c>
      <c r="M44" s="593">
        <f t="shared" si="23"/>
        <v>0</v>
      </c>
      <c r="N44" s="589">
        <f t="shared" si="23"/>
        <v>0</v>
      </c>
      <c r="O44" s="93"/>
      <c r="P44" s="81">
        <f t="shared" si="34"/>
        <v>0</v>
      </c>
      <c r="Q44" s="81">
        <f t="shared" si="34"/>
        <v>0</v>
      </c>
      <c r="R44" s="81">
        <f t="shared" si="34"/>
        <v>0</v>
      </c>
      <c r="S44" s="81">
        <f t="shared" si="4"/>
        <v>0</v>
      </c>
      <c r="T44" s="85">
        <f t="shared" si="14"/>
        <v>0</v>
      </c>
      <c r="U44" s="68"/>
      <c r="V44" s="195">
        <f t="shared" si="15"/>
        <v>0</v>
      </c>
    </row>
    <row r="45" spans="1:22" x14ac:dyDescent="0.25">
      <c r="A45" s="14"/>
      <c r="B45" s="148" t="s">
        <v>393</v>
      </c>
      <c r="C45" s="71">
        <v>109000000</v>
      </c>
      <c r="D45" s="68">
        <v>109000000</v>
      </c>
      <c r="E45" s="68">
        <v>109000000</v>
      </c>
      <c r="F45" s="68">
        <v>174000000</v>
      </c>
      <c r="G45" s="68"/>
      <c r="H45" s="68">
        <v>58876320</v>
      </c>
      <c r="I45" s="68">
        <v>155680254</v>
      </c>
      <c r="J45" s="68">
        <v>215909681</v>
      </c>
      <c r="K45" s="68"/>
      <c r="L45" s="593">
        <f t="shared" si="23"/>
        <v>0.54014972477064216</v>
      </c>
      <c r="M45" s="593">
        <f t="shared" si="23"/>
        <v>1.4282592110091743</v>
      </c>
      <c r="N45" s="593">
        <f t="shared" si="23"/>
        <v>1.9808227614678899</v>
      </c>
      <c r="O45" s="93"/>
      <c r="P45" s="81">
        <f t="shared" si="34"/>
        <v>0</v>
      </c>
      <c r="Q45" s="81">
        <f t="shared" si="34"/>
        <v>0</v>
      </c>
      <c r="R45" s="81">
        <f t="shared" si="34"/>
        <v>0</v>
      </c>
      <c r="S45" s="81">
        <f t="shared" si="4"/>
        <v>0</v>
      </c>
      <c r="T45" s="85">
        <f t="shared" si="14"/>
        <v>0</v>
      </c>
      <c r="U45" s="68"/>
      <c r="V45" s="195">
        <f t="shared" si="15"/>
        <v>0</v>
      </c>
    </row>
    <row r="46" spans="1:22" x14ac:dyDescent="0.25">
      <c r="A46" s="14" t="s">
        <v>274</v>
      </c>
      <c r="B46" s="44" t="s">
        <v>394</v>
      </c>
      <c r="C46" s="71">
        <v>0</v>
      </c>
      <c r="D46" s="68">
        <v>0</v>
      </c>
      <c r="E46" s="68"/>
      <c r="F46" s="68">
        <v>0</v>
      </c>
      <c r="G46" s="68"/>
      <c r="H46" s="68">
        <v>0</v>
      </c>
      <c r="I46" s="68">
        <v>0</v>
      </c>
      <c r="J46" s="68">
        <v>0</v>
      </c>
      <c r="K46" s="68"/>
      <c r="L46" s="593">
        <f t="shared" si="23"/>
        <v>0</v>
      </c>
      <c r="M46" s="593">
        <f t="shared" si="23"/>
        <v>0</v>
      </c>
      <c r="N46" s="593">
        <f t="shared" si="23"/>
        <v>0</v>
      </c>
      <c r="O46" s="93"/>
      <c r="P46" s="81">
        <f t="shared" si="34"/>
        <v>0</v>
      </c>
      <c r="Q46" s="81">
        <f t="shared" si="34"/>
        <v>0</v>
      </c>
      <c r="R46" s="81">
        <f t="shared" si="34"/>
        <v>0</v>
      </c>
      <c r="S46" s="81">
        <f t="shared" si="4"/>
        <v>0</v>
      </c>
      <c r="T46" s="85">
        <f t="shared" si="14"/>
        <v>0</v>
      </c>
      <c r="U46" s="68"/>
      <c r="V46" s="195">
        <f t="shared" si="15"/>
        <v>0</v>
      </c>
    </row>
    <row r="47" spans="1:22" x14ac:dyDescent="0.25">
      <c r="A47" s="38" t="s">
        <v>275</v>
      </c>
      <c r="B47" s="39" t="s">
        <v>276</v>
      </c>
      <c r="C47" s="95">
        <f t="shared" ref="C47" si="35">SUM(C48:C49)</f>
        <v>0</v>
      </c>
      <c r="D47" s="95">
        <f>SUM(D48:D49)</f>
        <v>0</v>
      </c>
      <c r="E47" s="95">
        <f>SUM(E48:E49)</f>
        <v>0</v>
      </c>
      <c r="F47" s="95">
        <f>SUM(F48:F49)</f>
        <v>3000000</v>
      </c>
      <c r="G47" s="95"/>
      <c r="H47" s="95">
        <f>SUM(H48:H49)</f>
        <v>1247063</v>
      </c>
      <c r="I47" s="95">
        <f>SUM(I48:I49)</f>
        <v>12217519</v>
      </c>
      <c r="J47" s="95">
        <f>SUM(J48:J49)</f>
        <v>12704704</v>
      </c>
      <c r="K47" s="95"/>
      <c r="L47" s="594" t="e">
        <f t="shared" si="23"/>
        <v>#DIV/0!</v>
      </c>
      <c r="M47" s="593" t="e">
        <f t="shared" si="23"/>
        <v>#DIV/0!</v>
      </c>
      <c r="N47" s="593" t="e">
        <f t="shared" si="23"/>
        <v>#DIV/0!</v>
      </c>
      <c r="O47" s="666"/>
      <c r="P47" s="95">
        <f t="shared" ref="P47:R47" si="36">SUM(P48:P49)</f>
        <v>0</v>
      </c>
      <c r="Q47" s="95">
        <f t="shared" si="36"/>
        <v>0</v>
      </c>
      <c r="R47" s="95">
        <f t="shared" si="36"/>
        <v>0</v>
      </c>
      <c r="S47" s="95">
        <f t="shared" si="4"/>
        <v>0</v>
      </c>
      <c r="T47" s="85">
        <f t="shared" si="14"/>
        <v>0</v>
      </c>
      <c r="U47" s="95"/>
      <c r="V47" s="195">
        <f t="shared" si="15"/>
        <v>0</v>
      </c>
    </row>
    <row r="48" spans="1:22" ht="63.6" customHeight="1" x14ac:dyDescent="0.25">
      <c r="A48" s="14"/>
      <c r="B48" s="583" t="s">
        <v>479</v>
      </c>
      <c r="C48" s="71">
        <v>0</v>
      </c>
      <c r="D48" s="68"/>
      <c r="E48" s="68"/>
      <c r="F48" s="68">
        <v>3000000</v>
      </c>
      <c r="G48" s="68"/>
      <c r="H48" s="68">
        <v>1247063</v>
      </c>
      <c r="I48" s="68">
        <v>12217519</v>
      </c>
      <c r="J48" s="68">
        <v>12704704</v>
      </c>
      <c r="K48" s="68"/>
      <c r="L48" s="593" t="e">
        <f t="shared" si="23"/>
        <v>#DIV/0!</v>
      </c>
      <c r="M48" s="593" t="e">
        <f t="shared" si="23"/>
        <v>#DIV/0!</v>
      </c>
      <c r="N48" s="593" t="e">
        <f t="shared" si="23"/>
        <v>#DIV/0!</v>
      </c>
      <c r="O48" s="93"/>
      <c r="P48" s="81">
        <f t="shared" ref="P48:R49" si="37">+(D48-C48)*P$8</f>
        <v>0</v>
      </c>
      <c r="Q48" s="81">
        <f t="shared" si="37"/>
        <v>0</v>
      </c>
      <c r="R48" s="81">
        <f t="shared" si="37"/>
        <v>0</v>
      </c>
      <c r="S48" s="81">
        <f t="shared" si="4"/>
        <v>0</v>
      </c>
      <c r="T48" s="85">
        <f t="shared" si="14"/>
        <v>0</v>
      </c>
      <c r="U48" s="68"/>
      <c r="V48" s="195">
        <f t="shared" si="15"/>
        <v>0</v>
      </c>
    </row>
    <row r="49" spans="1:22" ht="35.1" hidden="1" customHeight="1" x14ac:dyDescent="0.25">
      <c r="A49" s="14"/>
      <c r="B49" s="147" t="s">
        <v>277</v>
      </c>
      <c r="C49" s="71">
        <v>0</v>
      </c>
      <c r="D49" s="68">
        <f>+C49</f>
        <v>0</v>
      </c>
      <c r="E49" s="68"/>
      <c r="F49" s="68"/>
      <c r="G49" s="68"/>
      <c r="H49" s="68">
        <v>0</v>
      </c>
      <c r="I49" s="68">
        <v>0</v>
      </c>
      <c r="J49" s="68"/>
      <c r="K49" s="68"/>
      <c r="L49" s="593">
        <f t="shared" si="23"/>
        <v>0</v>
      </c>
      <c r="M49" s="593">
        <f t="shared" si="23"/>
        <v>0</v>
      </c>
      <c r="N49" s="593">
        <f t="shared" si="23"/>
        <v>0</v>
      </c>
      <c r="O49" s="93"/>
      <c r="P49" s="81">
        <f t="shared" si="37"/>
        <v>0</v>
      </c>
      <c r="Q49" s="81">
        <f t="shared" si="37"/>
        <v>0</v>
      </c>
      <c r="R49" s="81">
        <f t="shared" si="37"/>
        <v>0</v>
      </c>
      <c r="S49" s="81">
        <f t="shared" si="4"/>
        <v>0</v>
      </c>
      <c r="T49" s="85">
        <f t="shared" si="14"/>
        <v>0</v>
      </c>
      <c r="U49" s="68"/>
      <c r="V49" s="195">
        <f t="shared" si="15"/>
        <v>0</v>
      </c>
    </row>
    <row r="50" spans="1:22" x14ac:dyDescent="0.25">
      <c r="A50" s="4" t="s">
        <v>278</v>
      </c>
      <c r="B50" s="3" t="s">
        <v>279</v>
      </c>
      <c r="C50" s="67">
        <f t="shared" ref="C50" si="38">SUM(C51:C66)</f>
        <v>52520000</v>
      </c>
      <c r="D50" s="67">
        <f>SUM(D51:D66)</f>
        <v>50020000</v>
      </c>
      <c r="E50" s="67">
        <f>SUM(E51:E66)</f>
        <v>50020000</v>
      </c>
      <c r="F50" s="67">
        <f>SUM(F51:F66)</f>
        <v>58258577</v>
      </c>
      <c r="G50" s="67"/>
      <c r="H50" s="67">
        <f>SUM(H51:H66)</f>
        <v>28607944</v>
      </c>
      <c r="I50" s="290">
        <f>SUM(I51:I66)</f>
        <v>46045888</v>
      </c>
      <c r="J50" s="290">
        <f>SUM(J51:J66)</f>
        <v>62674045</v>
      </c>
      <c r="K50" s="290"/>
      <c r="L50" s="663">
        <f t="shared" si="23"/>
        <v>0.54470571210967256</v>
      </c>
      <c r="M50" s="663">
        <f t="shared" si="23"/>
        <v>0.92054954018392643</v>
      </c>
      <c r="N50" s="602">
        <f t="shared" si="23"/>
        <v>1.2529797081167533</v>
      </c>
      <c r="O50" s="669"/>
      <c r="P50" s="290">
        <f t="shared" ref="P50:R50" si="39">SUM(P51:P66)</f>
        <v>-2500000.0000000005</v>
      </c>
      <c r="Q50" s="67">
        <f t="shared" si="39"/>
        <v>0</v>
      </c>
      <c r="R50" s="67">
        <f t="shared" si="39"/>
        <v>0</v>
      </c>
      <c r="S50" s="67">
        <f t="shared" si="4"/>
        <v>-2500000.0000000005</v>
      </c>
      <c r="T50" s="85">
        <f t="shared" si="14"/>
        <v>-4.7600913937547611E-2</v>
      </c>
      <c r="U50" s="67"/>
      <c r="V50" s="195">
        <f t="shared" si="15"/>
        <v>0</v>
      </c>
    </row>
    <row r="51" spans="1:22" x14ac:dyDescent="0.25">
      <c r="A51" s="14" t="s">
        <v>280</v>
      </c>
      <c r="B51" s="482" t="s">
        <v>469</v>
      </c>
      <c r="C51" s="71">
        <v>0</v>
      </c>
      <c r="D51" s="68">
        <v>0</v>
      </c>
      <c r="E51" s="71">
        <v>0</v>
      </c>
      <c r="F51" s="71"/>
      <c r="G51" s="71"/>
      <c r="H51" s="71">
        <v>0</v>
      </c>
      <c r="I51" s="71">
        <v>0</v>
      </c>
      <c r="J51" s="71"/>
      <c r="K51" s="71"/>
      <c r="L51" s="593">
        <f t="shared" si="23"/>
        <v>0</v>
      </c>
      <c r="M51" s="593">
        <f t="shared" si="23"/>
        <v>0</v>
      </c>
      <c r="N51" s="589">
        <f t="shared" si="23"/>
        <v>0</v>
      </c>
      <c r="O51" s="91"/>
      <c r="P51" s="71"/>
      <c r="Q51" s="81">
        <f t="shared" ref="Q51:Q66" si="40">+(E51-D51)*Q$8</f>
        <v>0</v>
      </c>
      <c r="R51" s="71"/>
      <c r="S51" s="81">
        <f t="shared" si="4"/>
        <v>0</v>
      </c>
      <c r="U51" s="71"/>
      <c r="V51" s="197"/>
    </row>
    <row r="52" spans="1:22" x14ac:dyDescent="0.25">
      <c r="A52" s="14" t="s">
        <v>281</v>
      </c>
      <c r="B52" s="20" t="s">
        <v>282</v>
      </c>
      <c r="C52" s="71">
        <v>33470000</v>
      </c>
      <c r="D52" s="68">
        <v>30970000</v>
      </c>
      <c r="E52" s="68">
        <v>30970000</v>
      </c>
      <c r="F52" s="68">
        <v>35396797</v>
      </c>
      <c r="G52" s="68"/>
      <c r="H52" s="68">
        <v>17145500</v>
      </c>
      <c r="I52" s="68">
        <v>28721576</v>
      </c>
      <c r="J52" s="68">
        <v>38752697</v>
      </c>
      <c r="K52" s="68"/>
      <c r="L52" s="593">
        <f t="shared" si="23"/>
        <v>0.51226471466985357</v>
      </c>
      <c r="M52" s="593">
        <f t="shared" si="23"/>
        <v>0.92739993542137555</v>
      </c>
      <c r="N52" s="593">
        <f t="shared" si="23"/>
        <v>1.2512979334840169</v>
      </c>
      <c r="O52" s="93"/>
      <c r="P52" s="81">
        <f t="shared" ref="P52:P66" si="41">+(D52-C52)*P$8</f>
        <v>-2500000</v>
      </c>
      <c r="Q52" s="81">
        <f t="shared" si="40"/>
        <v>0</v>
      </c>
      <c r="R52" s="81">
        <f t="shared" ref="R52:R66" si="42">+(F52-E52)*R$8</f>
        <v>0</v>
      </c>
      <c r="S52" s="81">
        <f t="shared" si="4"/>
        <v>-2500000</v>
      </c>
      <c r="T52" s="85">
        <f t="shared" ref="T52:T96" si="43">IF(C52=0,0,+S52/C52)</f>
        <v>-7.4693755602031675E-2</v>
      </c>
      <c r="U52" s="68"/>
      <c r="V52" s="195">
        <f t="shared" ref="V52:V96" si="44">+S52-E52+C52</f>
        <v>0</v>
      </c>
    </row>
    <row r="53" spans="1:22" x14ac:dyDescent="0.25">
      <c r="A53" s="14" t="s">
        <v>283</v>
      </c>
      <c r="B53" s="20" t="s">
        <v>284</v>
      </c>
      <c r="C53" s="71">
        <v>15000000</v>
      </c>
      <c r="D53" s="68">
        <v>15000000</v>
      </c>
      <c r="E53" s="68">
        <v>15000000</v>
      </c>
      <c r="F53" s="68">
        <v>15000000</v>
      </c>
      <c r="G53" s="68"/>
      <c r="H53" s="68">
        <v>8918163</v>
      </c>
      <c r="I53" s="68">
        <v>12499267</v>
      </c>
      <c r="J53" s="68">
        <v>16027745</v>
      </c>
      <c r="K53" s="68"/>
      <c r="L53" s="593">
        <f t="shared" si="23"/>
        <v>0.59454419999999997</v>
      </c>
      <c r="M53" s="593">
        <f t="shared" si="23"/>
        <v>0.83328446666666667</v>
      </c>
      <c r="N53" s="593">
        <f t="shared" si="23"/>
        <v>1.0685163333333334</v>
      </c>
      <c r="O53" s="93"/>
      <c r="P53" s="81">
        <f t="shared" si="41"/>
        <v>0</v>
      </c>
      <c r="Q53" s="81">
        <f t="shared" si="40"/>
        <v>0</v>
      </c>
      <c r="R53" s="81">
        <f t="shared" si="42"/>
        <v>0</v>
      </c>
      <c r="S53" s="81">
        <f t="shared" si="4"/>
        <v>0</v>
      </c>
      <c r="T53" s="85">
        <f t="shared" si="43"/>
        <v>0</v>
      </c>
      <c r="U53" s="68"/>
      <c r="V53" s="195">
        <f t="shared" si="44"/>
        <v>0</v>
      </c>
    </row>
    <row r="54" spans="1:22" x14ac:dyDescent="0.25">
      <c r="A54" s="14"/>
      <c r="B54" s="20" t="s">
        <v>285</v>
      </c>
      <c r="C54" s="71"/>
      <c r="D54" s="68"/>
      <c r="E54" s="68"/>
      <c r="F54" s="68"/>
      <c r="G54" s="68"/>
      <c r="H54" s="68"/>
      <c r="I54" s="68"/>
      <c r="J54" s="68"/>
      <c r="K54" s="68"/>
      <c r="L54" s="593">
        <f t="shared" si="23"/>
        <v>0</v>
      </c>
      <c r="M54" s="593">
        <f t="shared" si="23"/>
        <v>0</v>
      </c>
      <c r="N54" s="589">
        <f t="shared" si="23"/>
        <v>0</v>
      </c>
      <c r="O54" s="93"/>
      <c r="P54" s="81">
        <f t="shared" si="41"/>
        <v>0</v>
      </c>
      <c r="Q54" s="81">
        <f t="shared" si="40"/>
        <v>0</v>
      </c>
      <c r="R54" s="81">
        <f t="shared" si="42"/>
        <v>0</v>
      </c>
      <c r="S54" s="81">
        <f t="shared" si="4"/>
        <v>0</v>
      </c>
      <c r="T54" s="85">
        <f t="shared" si="43"/>
        <v>0</v>
      </c>
      <c r="U54" s="68"/>
      <c r="V54" s="195">
        <f t="shared" si="44"/>
        <v>0</v>
      </c>
    </row>
    <row r="55" spans="1:22" x14ac:dyDescent="0.25">
      <c r="A55" s="14" t="s">
        <v>286</v>
      </c>
      <c r="B55" s="20" t="s">
        <v>287</v>
      </c>
      <c r="C55" s="71">
        <v>0</v>
      </c>
      <c r="D55" s="68">
        <v>0</v>
      </c>
      <c r="E55" s="68">
        <v>0</v>
      </c>
      <c r="F55" s="68">
        <v>0</v>
      </c>
      <c r="G55" s="68"/>
      <c r="H55" s="68">
        <v>0</v>
      </c>
      <c r="I55" s="68">
        <v>0</v>
      </c>
      <c r="J55" s="68">
        <v>0</v>
      </c>
      <c r="K55" s="68"/>
      <c r="L55" s="593">
        <f t="shared" ref="L55:N72" si="45">IF(H55&gt;0,H55/C55,0)</f>
        <v>0</v>
      </c>
      <c r="M55" s="593">
        <f t="shared" si="45"/>
        <v>0</v>
      </c>
      <c r="N55" s="589">
        <f t="shared" si="45"/>
        <v>0</v>
      </c>
      <c r="O55" s="93"/>
      <c r="P55" s="81">
        <f t="shared" si="41"/>
        <v>0</v>
      </c>
      <c r="Q55" s="81">
        <f t="shared" si="40"/>
        <v>0</v>
      </c>
      <c r="R55" s="81">
        <f t="shared" si="42"/>
        <v>0</v>
      </c>
      <c r="S55" s="81">
        <f t="shared" si="4"/>
        <v>0</v>
      </c>
      <c r="T55" s="85">
        <f t="shared" si="43"/>
        <v>0</v>
      </c>
      <c r="U55" s="68"/>
      <c r="V55" s="195">
        <f t="shared" si="44"/>
        <v>0</v>
      </c>
    </row>
    <row r="56" spans="1:22" ht="39.6" hidden="1" customHeight="1" x14ac:dyDescent="0.25">
      <c r="A56" s="14"/>
      <c r="B56" s="20" t="s">
        <v>288</v>
      </c>
      <c r="C56" s="71"/>
      <c r="D56" s="68"/>
      <c r="E56" s="68"/>
      <c r="F56" s="68"/>
      <c r="G56" s="68"/>
      <c r="H56" s="68"/>
      <c r="I56" s="68"/>
      <c r="J56" s="68"/>
      <c r="K56" s="68"/>
      <c r="L56" s="593">
        <f t="shared" si="45"/>
        <v>0</v>
      </c>
      <c r="M56" s="593">
        <f t="shared" si="45"/>
        <v>0</v>
      </c>
      <c r="N56" s="589">
        <f t="shared" si="45"/>
        <v>0</v>
      </c>
      <c r="O56" s="93"/>
      <c r="P56" s="81">
        <f t="shared" si="41"/>
        <v>0</v>
      </c>
      <c r="Q56" s="81">
        <f t="shared" si="40"/>
        <v>0</v>
      </c>
      <c r="R56" s="81">
        <f t="shared" si="42"/>
        <v>0</v>
      </c>
      <c r="S56" s="81">
        <f t="shared" si="4"/>
        <v>0</v>
      </c>
      <c r="T56" s="85">
        <f t="shared" si="43"/>
        <v>0</v>
      </c>
      <c r="U56" s="68"/>
      <c r="V56" s="195">
        <f t="shared" si="44"/>
        <v>0</v>
      </c>
    </row>
    <row r="57" spans="1:22" x14ac:dyDescent="0.25">
      <c r="A57" s="14" t="s">
        <v>289</v>
      </c>
      <c r="B57" s="20" t="s">
        <v>290</v>
      </c>
      <c r="C57" s="71"/>
      <c r="D57" s="68"/>
      <c r="E57" s="68"/>
      <c r="F57" s="68"/>
      <c r="G57" s="68"/>
      <c r="H57" s="68">
        <v>0</v>
      </c>
      <c r="I57" s="68">
        <v>0</v>
      </c>
      <c r="J57" s="68">
        <v>0</v>
      </c>
      <c r="K57" s="68"/>
      <c r="L57" s="593">
        <f t="shared" si="45"/>
        <v>0</v>
      </c>
      <c r="M57" s="593">
        <f t="shared" si="45"/>
        <v>0</v>
      </c>
      <c r="N57" s="589">
        <f t="shared" si="45"/>
        <v>0</v>
      </c>
      <c r="O57" s="93"/>
      <c r="P57" s="81">
        <f t="shared" si="41"/>
        <v>0</v>
      </c>
      <c r="Q57" s="81">
        <f t="shared" si="40"/>
        <v>0</v>
      </c>
      <c r="R57" s="81">
        <f t="shared" si="42"/>
        <v>0</v>
      </c>
      <c r="S57" s="81">
        <f t="shared" si="4"/>
        <v>0</v>
      </c>
      <c r="T57" s="85">
        <f t="shared" si="43"/>
        <v>0</v>
      </c>
      <c r="U57" s="68"/>
      <c r="V57" s="195">
        <f t="shared" si="44"/>
        <v>0</v>
      </c>
    </row>
    <row r="58" spans="1:22" ht="70.2" hidden="1" customHeight="1" x14ac:dyDescent="0.25">
      <c r="A58" s="14"/>
      <c r="B58" s="20" t="s">
        <v>291</v>
      </c>
      <c r="C58" s="71"/>
      <c r="D58" s="68"/>
      <c r="E58" s="68"/>
      <c r="F58" s="68"/>
      <c r="G58" s="68"/>
      <c r="H58" s="68"/>
      <c r="I58" s="68"/>
      <c r="J58" s="68"/>
      <c r="K58" s="68"/>
      <c r="L58" s="593">
        <f t="shared" si="45"/>
        <v>0</v>
      </c>
      <c r="M58" s="593">
        <f t="shared" si="45"/>
        <v>0</v>
      </c>
      <c r="N58" s="589">
        <f t="shared" si="45"/>
        <v>0</v>
      </c>
      <c r="O58" s="93"/>
      <c r="P58" s="81">
        <f t="shared" si="41"/>
        <v>0</v>
      </c>
      <c r="Q58" s="81">
        <f t="shared" si="40"/>
        <v>0</v>
      </c>
      <c r="R58" s="81">
        <f t="shared" si="42"/>
        <v>0</v>
      </c>
      <c r="S58" s="81">
        <f t="shared" si="4"/>
        <v>0</v>
      </c>
      <c r="T58" s="85">
        <f t="shared" si="43"/>
        <v>0</v>
      </c>
      <c r="U58" s="68"/>
      <c r="V58" s="195">
        <f t="shared" si="44"/>
        <v>0</v>
      </c>
    </row>
    <row r="59" spans="1:22" x14ac:dyDescent="0.25">
      <c r="A59" s="14" t="s">
        <v>292</v>
      </c>
      <c r="B59" s="20" t="s">
        <v>293</v>
      </c>
      <c r="C59" s="71">
        <f>+C53*0.27</f>
        <v>4050000.0000000005</v>
      </c>
      <c r="D59" s="68">
        <v>4050000</v>
      </c>
      <c r="E59" s="68">
        <v>4050000</v>
      </c>
      <c r="F59" s="68">
        <v>6050000</v>
      </c>
      <c r="G59" s="68"/>
      <c r="H59" s="68">
        <v>2345594</v>
      </c>
      <c r="I59" s="68">
        <v>3275946</v>
      </c>
      <c r="J59" s="68">
        <v>6081823</v>
      </c>
      <c r="K59" s="68"/>
      <c r="L59" s="593">
        <f t="shared" si="45"/>
        <v>0.5791590123456789</v>
      </c>
      <c r="M59" s="593">
        <f t="shared" si="45"/>
        <v>0.80887555555555557</v>
      </c>
      <c r="N59" s="593">
        <f t="shared" si="45"/>
        <v>1.5016846913580246</v>
      </c>
      <c r="O59" s="93"/>
      <c r="P59" s="81">
        <f t="shared" si="41"/>
        <v>-4.6566128730773926E-10</v>
      </c>
      <c r="Q59" s="81">
        <f t="shared" si="40"/>
        <v>0</v>
      </c>
      <c r="R59" s="81">
        <f t="shared" si="42"/>
        <v>0</v>
      </c>
      <c r="S59" s="81">
        <f t="shared" si="4"/>
        <v>-4.6566128730773926E-10</v>
      </c>
      <c r="T59" s="85">
        <f t="shared" si="43"/>
        <v>-1.1497809563154054E-16</v>
      </c>
      <c r="U59" s="68"/>
      <c r="V59" s="195">
        <f t="shared" si="44"/>
        <v>0</v>
      </c>
    </row>
    <row r="60" spans="1:22" x14ac:dyDescent="0.25">
      <c r="A60" s="14" t="s">
        <v>294</v>
      </c>
      <c r="B60" s="20" t="s">
        <v>295</v>
      </c>
      <c r="C60" s="71"/>
      <c r="D60" s="68"/>
      <c r="E60" s="68"/>
      <c r="F60" s="68"/>
      <c r="G60" s="68"/>
      <c r="H60" s="68"/>
      <c r="I60" s="68"/>
      <c r="J60" s="68"/>
      <c r="K60" s="68"/>
      <c r="L60" s="593">
        <f t="shared" si="45"/>
        <v>0</v>
      </c>
      <c r="M60" s="593">
        <f t="shared" si="45"/>
        <v>0</v>
      </c>
      <c r="N60" s="589">
        <f t="shared" si="45"/>
        <v>0</v>
      </c>
      <c r="O60" s="93"/>
      <c r="P60" s="81">
        <f t="shared" si="41"/>
        <v>0</v>
      </c>
      <c r="Q60" s="81">
        <f t="shared" si="40"/>
        <v>0</v>
      </c>
      <c r="R60" s="81">
        <f t="shared" si="42"/>
        <v>0</v>
      </c>
      <c r="S60" s="81">
        <f t="shared" si="4"/>
        <v>0</v>
      </c>
      <c r="T60" s="85">
        <f t="shared" si="43"/>
        <v>0</v>
      </c>
      <c r="U60" s="68"/>
      <c r="V60" s="195">
        <f t="shared" si="44"/>
        <v>0</v>
      </c>
    </row>
    <row r="61" spans="1:22" x14ac:dyDescent="0.25">
      <c r="A61" s="14"/>
      <c r="B61" s="20" t="s">
        <v>296</v>
      </c>
      <c r="C61" s="71"/>
      <c r="D61" s="68"/>
      <c r="E61" s="68"/>
      <c r="F61" s="68"/>
      <c r="G61" s="68"/>
      <c r="H61" s="68"/>
      <c r="I61" s="68"/>
      <c r="J61" s="68"/>
      <c r="K61" s="68"/>
      <c r="L61" s="593">
        <f t="shared" si="45"/>
        <v>0</v>
      </c>
      <c r="M61" s="593">
        <f t="shared" si="45"/>
        <v>0</v>
      </c>
      <c r="N61" s="589">
        <f t="shared" si="45"/>
        <v>0</v>
      </c>
      <c r="O61" s="93"/>
      <c r="P61" s="81">
        <f t="shared" si="41"/>
        <v>0</v>
      </c>
      <c r="Q61" s="81">
        <f t="shared" si="40"/>
        <v>0</v>
      </c>
      <c r="R61" s="81">
        <f t="shared" si="42"/>
        <v>0</v>
      </c>
      <c r="S61" s="81">
        <f t="shared" si="4"/>
        <v>0</v>
      </c>
      <c r="T61" s="85">
        <f t="shared" si="43"/>
        <v>0</v>
      </c>
      <c r="U61" s="68"/>
      <c r="V61" s="195">
        <f t="shared" si="44"/>
        <v>0</v>
      </c>
    </row>
    <row r="62" spans="1:22" x14ac:dyDescent="0.25">
      <c r="A62" s="14" t="s">
        <v>297</v>
      </c>
      <c r="B62" s="20" t="s">
        <v>298</v>
      </c>
      <c r="C62" s="71">
        <v>0</v>
      </c>
      <c r="D62" s="68">
        <v>0</v>
      </c>
      <c r="E62" s="68">
        <v>0</v>
      </c>
      <c r="F62" s="68">
        <v>12559</v>
      </c>
      <c r="G62" s="68"/>
      <c r="H62" s="68">
        <v>4923</v>
      </c>
      <c r="I62" s="68">
        <v>8188</v>
      </c>
      <c r="J62" s="68">
        <v>12559</v>
      </c>
      <c r="K62" s="68"/>
      <c r="L62" s="593" t="e">
        <f t="shared" si="45"/>
        <v>#DIV/0!</v>
      </c>
      <c r="M62" s="593" t="e">
        <f t="shared" si="45"/>
        <v>#DIV/0!</v>
      </c>
      <c r="N62" s="593" t="e">
        <f t="shared" si="45"/>
        <v>#DIV/0!</v>
      </c>
      <c r="O62" s="93"/>
      <c r="P62" s="81">
        <f t="shared" si="41"/>
        <v>0</v>
      </c>
      <c r="Q62" s="81">
        <f t="shared" si="40"/>
        <v>0</v>
      </c>
      <c r="R62" s="81">
        <f t="shared" si="42"/>
        <v>0</v>
      </c>
      <c r="S62" s="81">
        <f t="shared" si="4"/>
        <v>0</v>
      </c>
      <c r="T62" s="85">
        <f t="shared" si="43"/>
        <v>0</v>
      </c>
      <c r="U62" s="68"/>
      <c r="V62" s="195">
        <f t="shared" si="44"/>
        <v>0</v>
      </c>
    </row>
    <row r="63" spans="1:22" x14ac:dyDescent="0.25">
      <c r="A63" s="14" t="s">
        <v>299</v>
      </c>
      <c r="B63" s="20" t="s">
        <v>300</v>
      </c>
      <c r="C63" s="71">
        <v>0</v>
      </c>
      <c r="D63" s="68">
        <v>0</v>
      </c>
      <c r="E63" s="68">
        <v>0</v>
      </c>
      <c r="F63" s="68">
        <v>0</v>
      </c>
      <c r="G63" s="68"/>
      <c r="H63" s="68">
        <v>0</v>
      </c>
      <c r="I63" s="68">
        <v>0</v>
      </c>
      <c r="J63" s="68">
        <v>0</v>
      </c>
      <c r="K63" s="68"/>
      <c r="L63" s="593">
        <f t="shared" si="45"/>
        <v>0</v>
      </c>
      <c r="M63" s="593">
        <f t="shared" si="45"/>
        <v>0</v>
      </c>
      <c r="N63" s="593">
        <f t="shared" si="45"/>
        <v>0</v>
      </c>
      <c r="O63" s="93"/>
      <c r="P63" s="81">
        <f t="shared" si="41"/>
        <v>0</v>
      </c>
      <c r="Q63" s="81">
        <f t="shared" si="40"/>
        <v>0</v>
      </c>
      <c r="R63" s="81">
        <f t="shared" si="42"/>
        <v>0</v>
      </c>
      <c r="S63" s="81">
        <f t="shared" si="4"/>
        <v>0</v>
      </c>
      <c r="T63" s="85">
        <f t="shared" si="43"/>
        <v>0</v>
      </c>
      <c r="U63" s="68"/>
      <c r="V63" s="195">
        <f t="shared" si="44"/>
        <v>0</v>
      </c>
    </row>
    <row r="64" spans="1:22" ht="52.5" hidden="1" customHeight="1" x14ac:dyDescent="0.25">
      <c r="A64" s="14"/>
      <c r="B64" s="20" t="s">
        <v>301</v>
      </c>
      <c r="C64" s="71"/>
      <c r="D64" s="68"/>
      <c r="E64" s="68"/>
      <c r="F64" s="68"/>
      <c r="G64" s="68"/>
      <c r="H64" s="68"/>
      <c r="I64" s="68"/>
      <c r="J64" s="68"/>
      <c r="K64" s="68"/>
      <c r="L64" s="593">
        <f t="shared" si="45"/>
        <v>0</v>
      </c>
      <c r="M64" s="593">
        <f t="shared" si="45"/>
        <v>0</v>
      </c>
      <c r="N64" s="593">
        <f t="shared" si="45"/>
        <v>0</v>
      </c>
      <c r="O64" s="93"/>
      <c r="P64" s="81">
        <f t="shared" si="41"/>
        <v>0</v>
      </c>
      <c r="Q64" s="81">
        <f t="shared" si="40"/>
        <v>0</v>
      </c>
      <c r="R64" s="81">
        <f t="shared" si="42"/>
        <v>0</v>
      </c>
      <c r="S64" s="81">
        <f t="shared" si="4"/>
        <v>0</v>
      </c>
      <c r="T64" s="85">
        <f t="shared" si="43"/>
        <v>0</v>
      </c>
      <c r="U64" s="68"/>
      <c r="V64" s="195">
        <f t="shared" si="44"/>
        <v>0</v>
      </c>
    </row>
    <row r="65" spans="1:22" x14ac:dyDescent="0.25">
      <c r="A65" s="529" t="s">
        <v>379</v>
      </c>
      <c r="B65" s="20" t="s">
        <v>302</v>
      </c>
      <c r="C65" s="71">
        <v>0</v>
      </c>
      <c r="D65" s="68">
        <v>0</v>
      </c>
      <c r="E65" s="68">
        <v>0</v>
      </c>
      <c r="F65" s="68">
        <f>1515611+283610</f>
        <v>1799221</v>
      </c>
      <c r="G65" s="68"/>
      <c r="H65" s="68">
        <v>193764</v>
      </c>
      <c r="I65" s="68">
        <f>283610+1257301</f>
        <v>1540911</v>
      </c>
      <c r="J65" s="68">
        <f>1515611+283610</f>
        <v>1799221</v>
      </c>
      <c r="K65" s="68"/>
      <c r="L65" s="593" t="e">
        <f t="shared" si="45"/>
        <v>#DIV/0!</v>
      </c>
      <c r="M65" s="593" t="e">
        <f t="shared" si="45"/>
        <v>#DIV/0!</v>
      </c>
      <c r="N65" s="593" t="e">
        <f t="shared" si="45"/>
        <v>#DIV/0!</v>
      </c>
      <c r="O65" s="93"/>
      <c r="P65" s="81">
        <f t="shared" si="41"/>
        <v>0</v>
      </c>
      <c r="Q65" s="81">
        <f t="shared" si="40"/>
        <v>0</v>
      </c>
      <c r="R65" s="81">
        <f t="shared" si="42"/>
        <v>0</v>
      </c>
      <c r="S65" s="81">
        <f t="shared" si="4"/>
        <v>0</v>
      </c>
      <c r="T65" s="85">
        <f t="shared" si="43"/>
        <v>0</v>
      </c>
      <c r="U65" s="68"/>
      <c r="V65" s="195">
        <f t="shared" si="44"/>
        <v>0</v>
      </c>
    </row>
    <row r="66" spans="1:22" ht="39" hidden="1" customHeight="1" x14ac:dyDescent="0.25">
      <c r="A66" s="14"/>
      <c r="B66" s="20" t="s">
        <v>303</v>
      </c>
      <c r="C66" s="144"/>
      <c r="D66" s="145">
        <v>0</v>
      </c>
      <c r="E66" s="145"/>
      <c r="F66" s="145"/>
      <c r="G66" s="145"/>
      <c r="H66" s="145">
        <v>0</v>
      </c>
      <c r="I66" s="145"/>
      <c r="J66" s="145"/>
      <c r="K66" s="145"/>
      <c r="L66" s="593">
        <f t="shared" si="45"/>
        <v>0</v>
      </c>
      <c r="M66" s="593">
        <f t="shared" si="45"/>
        <v>0</v>
      </c>
      <c r="N66" s="593">
        <f t="shared" si="45"/>
        <v>0</v>
      </c>
      <c r="O66" s="670"/>
      <c r="P66" s="81">
        <f t="shared" si="41"/>
        <v>0</v>
      </c>
      <c r="Q66" s="81">
        <f t="shared" si="40"/>
        <v>0</v>
      </c>
      <c r="R66" s="81">
        <f t="shared" si="42"/>
        <v>0</v>
      </c>
      <c r="S66" s="81">
        <f t="shared" si="4"/>
        <v>0</v>
      </c>
      <c r="T66" s="85">
        <f t="shared" si="43"/>
        <v>0</v>
      </c>
      <c r="U66" s="145"/>
      <c r="V66" s="195">
        <f t="shared" si="44"/>
        <v>0</v>
      </c>
    </row>
    <row r="67" spans="1:22" x14ac:dyDescent="0.25">
      <c r="A67" s="4" t="s">
        <v>304</v>
      </c>
      <c r="B67" s="3" t="s">
        <v>305</v>
      </c>
      <c r="C67" s="66">
        <f>SUM(C68:C71)</f>
        <v>90845000</v>
      </c>
      <c r="D67" s="67">
        <f>SUM(D68:D71)</f>
        <v>90845000</v>
      </c>
      <c r="E67" s="67">
        <f>SUM(E68:E71)</f>
        <v>90845000</v>
      </c>
      <c r="F67" s="67">
        <f>SUM(F68:F71)</f>
        <v>64227622</v>
      </c>
      <c r="G67" s="67"/>
      <c r="H67" s="67">
        <f t="shared" ref="H67" si="46">SUM(H68:H71)</f>
        <v>1169292</v>
      </c>
      <c r="I67" s="67">
        <f>SUM(I68:I71)</f>
        <v>1753938</v>
      </c>
      <c r="J67" s="67">
        <f>SUM(J68:J71)</f>
        <v>54413978</v>
      </c>
      <c r="K67" s="67"/>
      <c r="L67" s="663">
        <f t="shared" si="45"/>
        <v>1.2871286256811052E-2</v>
      </c>
      <c r="M67" s="663">
        <f t="shared" si="45"/>
        <v>1.9306929385216578E-2</v>
      </c>
      <c r="N67" s="593">
        <f t="shared" si="45"/>
        <v>0.59897603610545436</v>
      </c>
      <c r="O67" s="638"/>
      <c r="P67" s="67">
        <f t="shared" ref="P67:R67" si="47">SUM(P68:P71)</f>
        <v>0</v>
      </c>
      <c r="Q67" s="67">
        <f t="shared" si="47"/>
        <v>0</v>
      </c>
      <c r="R67" s="67">
        <f t="shared" si="47"/>
        <v>0</v>
      </c>
      <c r="S67" s="67">
        <f t="shared" si="4"/>
        <v>0</v>
      </c>
      <c r="T67" s="85">
        <f t="shared" si="43"/>
        <v>0</v>
      </c>
      <c r="U67" s="67"/>
      <c r="V67" s="195">
        <f t="shared" si="44"/>
        <v>0</v>
      </c>
    </row>
    <row r="68" spans="1:22" x14ac:dyDescent="0.25">
      <c r="A68" s="14" t="s">
        <v>306</v>
      </c>
      <c r="B68" s="20" t="s">
        <v>307</v>
      </c>
      <c r="C68" s="71"/>
      <c r="D68" s="68"/>
      <c r="E68" s="71"/>
      <c r="F68" s="71"/>
      <c r="G68" s="71"/>
      <c r="H68" s="71"/>
      <c r="I68" s="71"/>
      <c r="J68" s="71"/>
      <c r="K68" s="71"/>
      <c r="L68" s="593">
        <f t="shared" si="45"/>
        <v>0</v>
      </c>
      <c r="M68" s="593">
        <f t="shared" si="45"/>
        <v>0</v>
      </c>
      <c r="N68" s="593">
        <f t="shared" si="45"/>
        <v>0</v>
      </c>
      <c r="O68" s="91"/>
      <c r="P68" s="81">
        <f t="shared" ref="P68:R71" si="48">+(D68-C68)*P$8</f>
        <v>0</v>
      </c>
      <c r="Q68" s="81">
        <f t="shared" si="48"/>
        <v>0</v>
      </c>
      <c r="R68" s="81">
        <f t="shared" si="48"/>
        <v>0</v>
      </c>
      <c r="S68" s="81">
        <f t="shared" si="4"/>
        <v>0</v>
      </c>
      <c r="T68" s="85">
        <f t="shared" si="43"/>
        <v>0</v>
      </c>
      <c r="U68" s="71"/>
      <c r="V68" s="195">
        <f t="shared" si="44"/>
        <v>0</v>
      </c>
    </row>
    <row r="69" spans="1:22" x14ac:dyDescent="0.25">
      <c r="A69" s="14" t="s">
        <v>308</v>
      </c>
      <c r="B69" s="20" t="s">
        <v>309</v>
      </c>
      <c r="C69" s="71">
        <v>90845000</v>
      </c>
      <c r="D69" s="68">
        <v>90845000</v>
      </c>
      <c r="E69" s="68">
        <v>90845000</v>
      </c>
      <c r="F69" s="68">
        <v>64204000</v>
      </c>
      <c r="G69" s="68"/>
      <c r="H69" s="68">
        <v>1169292</v>
      </c>
      <c r="I69" s="68">
        <v>1753938</v>
      </c>
      <c r="J69" s="68">
        <v>54390356</v>
      </c>
      <c r="K69" s="68"/>
      <c r="L69" s="593">
        <f t="shared" si="45"/>
        <v>1.2871286256811052E-2</v>
      </c>
      <c r="M69" s="593">
        <f t="shared" si="45"/>
        <v>1.9306929385216578E-2</v>
      </c>
      <c r="N69" s="593">
        <f t="shared" si="45"/>
        <v>0.59871601078760528</v>
      </c>
      <c r="O69" s="93"/>
      <c r="P69" s="81">
        <f t="shared" si="48"/>
        <v>0</v>
      </c>
      <c r="Q69" s="81">
        <f t="shared" si="48"/>
        <v>0</v>
      </c>
      <c r="R69" s="81">
        <f t="shared" si="48"/>
        <v>0</v>
      </c>
      <c r="S69" s="81">
        <f t="shared" si="4"/>
        <v>0</v>
      </c>
      <c r="T69" s="85">
        <f t="shared" si="43"/>
        <v>0</v>
      </c>
      <c r="U69" s="68"/>
      <c r="V69" s="195">
        <f t="shared" si="44"/>
        <v>0</v>
      </c>
    </row>
    <row r="70" spans="1:22" x14ac:dyDescent="0.25">
      <c r="A70" s="14" t="s">
        <v>310</v>
      </c>
      <c r="B70" s="20" t="s">
        <v>311</v>
      </c>
      <c r="C70" s="71">
        <v>0</v>
      </c>
      <c r="D70" s="68">
        <v>0</v>
      </c>
      <c r="E70" s="68">
        <v>0</v>
      </c>
      <c r="F70" s="68">
        <v>23622</v>
      </c>
      <c r="G70" s="68"/>
      <c r="H70" s="68">
        <v>0</v>
      </c>
      <c r="I70" s="68">
        <v>0</v>
      </c>
      <c r="J70" s="68">
        <v>23622</v>
      </c>
      <c r="K70" s="68"/>
      <c r="L70" s="593">
        <f t="shared" si="45"/>
        <v>0</v>
      </c>
      <c r="M70" s="593">
        <f t="shared" si="45"/>
        <v>0</v>
      </c>
      <c r="N70" s="593" t="e">
        <f t="shared" si="45"/>
        <v>#DIV/0!</v>
      </c>
      <c r="O70" s="93"/>
      <c r="P70" s="81">
        <f t="shared" si="48"/>
        <v>0</v>
      </c>
      <c r="Q70" s="81">
        <f t="shared" si="48"/>
        <v>0</v>
      </c>
      <c r="R70" s="81">
        <f t="shared" si="48"/>
        <v>0</v>
      </c>
      <c r="S70" s="81">
        <f t="shared" si="4"/>
        <v>0</v>
      </c>
      <c r="T70" s="85">
        <f t="shared" si="43"/>
        <v>0</v>
      </c>
      <c r="U70" s="68"/>
      <c r="V70" s="195">
        <f t="shared" si="44"/>
        <v>0</v>
      </c>
    </row>
    <row r="71" spans="1:22" x14ac:dyDescent="0.25">
      <c r="A71" s="14" t="s">
        <v>312</v>
      </c>
      <c r="B71" s="20" t="s">
        <v>313</v>
      </c>
      <c r="C71" s="71"/>
      <c r="D71" s="68"/>
      <c r="E71" s="71"/>
      <c r="F71" s="71"/>
      <c r="G71" s="71"/>
      <c r="H71" s="71"/>
      <c r="I71" s="71"/>
      <c r="J71" s="71"/>
      <c r="K71" s="71"/>
      <c r="L71" s="593">
        <f t="shared" si="45"/>
        <v>0</v>
      </c>
      <c r="M71" s="593">
        <f t="shared" si="45"/>
        <v>0</v>
      </c>
      <c r="N71" s="593">
        <f t="shared" si="45"/>
        <v>0</v>
      </c>
      <c r="O71" s="91"/>
      <c r="P71" s="81">
        <f t="shared" si="48"/>
        <v>0</v>
      </c>
      <c r="Q71" s="81">
        <f t="shared" si="48"/>
        <v>0</v>
      </c>
      <c r="R71" s="81">
        <f t="shared" si="48"/>
        <v>0</v>
      </c>
      <c r="S71" s="81">
        <f t="shared" si="4"/>
        <v>0</v>
      </c>
      <c r="T71" s="85">
        <f t="shared" si="43"/>
        <v>0</v>
      </c>
      <c r="U71" s="71"/>
      <c r="V71" s="195">
        <f t="shared" si="44"/>
        <v>0</v>
      </c>
    </row>
    <row r="72" spans="1:22" x14ac:dyDescent="0.25">
      <c r="A72" s="4" t="s">
        <v>314</v>
      </c>
      <c r="B72" s="3" t="s">
        <v>315</v>
      </c>
      <c r="C72" s="66">
        <f t="shared" ref="C72" si="49">SUM(C73:C75)</f>
        <v>4181435</v>
      </c>
      <c r="D72" s="66">
        <f>SUM(D73:D75)</f>
        <v>4181435</v>
      </c>
      <c r="E72" s="66">
        <f>SUM(E73:E75)</f>
        <v>4181435</v>
      </c>
      <c r="F72" s="66">
        <f>SUM(F73:F75)</f>
        <v>4181435</v>
      </c>
      <c r="G72" s="66"/>
      <c r="H72" s="66">
        <f>SUM(H73:H75)</f>
        <v>420000</v>
      </c>
      <c r="I72" s="66">
        <f>SUM(I73:I75)</f>
        <v>630000</v>
      </c>
      <c r="J72" s="66">
        <f>SUM(J73:J75)</f>
        <v>840000</v>
      </c>
      <c r="K72" s="66"/>
      <c r="L72" s="663">
        <f t="shared" si="45"/>
        <v>0.10044398633483481</v>
      </c>
      <c r="M72" s="663">
        <f t="shared" si="45"/>
        <v>0.15066597950225222</v>
      </c>
      <c r="N72" s="708">
        <f t="shared" si="45"/>
        <v>0.20088797266966962</v>
      </c>
      <c r="O72" s="707"/>
      <c r="P72" s="66">
        <f t="shared" ref="P72:R72" si="50">SUM(P73:P75)</f>
        <v>0</v>
      </c>
      <c r="Q72" s="66">
        <f t="shared" si="50"/>
        <v>0</v>
      </c>
      <c r="R72" s="66">
        <f t="shared" si="50"/>
        <v>0</v>
      </c>
      <c r="S72" s="66">
        <f t="shared" si="4"/>
        <v>0</v>
      </c>
      <c r="T72" s="85">
        <f t="shared" si="43"/>
        <v>0</v>
      </c>
      <c r="U72" s="66"/>
      <c r="V72" s="195">
        <f t="shared" si="44"/>
        <v>0</v>
      </c>
    </row>
    <row r="73" spans="1:22" ht="26.1" customHeight="1" x14ac:dyDescent="0.25">
      <c r="A73" s="14" t="s">
        <v>316</v>
      </c>
      <c r="B73" s="20" t="s">
        <v>317</v>
      </c>
      <c r="C73" s="71"/>
      <c r="D73" s="68"/>
      <c r="E73" s="71"/>
      <c r="F73" s="71"/>
      <c r="G73" s="71"/>
      <c r="H73" s="71"/>
      <c r="I73" s="71"/>
      <c r="J73" s="71"/>
      <c r="K73" s="71"/>
      <c r="L73" s="593">
        <f t="shared" ref="L73:N96" si="51">IF(H73&gt;0,H73/C73,0)</f>
        <v>0</v>
      </c>
      <c r="M73" s="593">
        <f t="shared" si="51"/>
        <v>0</v>
      </c>
      <c r="N73" s="593">
        <f t="shared" si="51"/>
        <v>0</v>
      </c>
      <c r="O73" s="91"/>
      <c r="P73" s="81">
        <f t="shared" ref="P73:R75" si="52">+(D73-C73)*P$8</f>
        <v>0</v>
      </c>
      <c r="Q73" s="81">
        <f t="shared" si="52"/>
        <v>0</v>
      </c>
      <c r="R73" s="81">
        <f t="shared" si="52"/>
        <v>0</v>
      </c>
      <c r="S73" s="81">
        <f t="shared" si="4"/>
        <v>0</v>
      </c>
      <c r="T73" s="85">
        <f t="shared" si="43"/>
        <v>0</v>
      </c>
      <c r="U73" s="71"/>
      <c r="V73" s="195">
        <f t="shared" si="44"/>
        <v>0</v>
      </c>
    </row>
    <row r="74" spans="1:22" ht="26.1" customHeight="1" x14ac:dyDescent="0.25">
      <c r="A74" s="14" t="s">
        <v>318</v>
      </c>
      <c r="B74" s="20" t="s">
        <v>319</v>
      </c>
      <c r="C74" s="71"/>
      <c r="D74" s="68"/>
      <c r="E74" s="71"/>
      <c r="F74" s="71"/>
      <c r="G74" s="71"/>
      <c r="H74" s="71"/>
      <c r="I74" s="71"/>
      <c r="J74" s="71"/>
      <c r="K74" s="71"/>
      <c r="L74" s="593">
        <f t="shared" si="51"/>
        <v>0</v>
      </c>
      <c r="M74" s="593">
        <f t="shared" si="51"/>
        <v>0</v>
      </c>
      <c r="N74" s="593">
        <f t="shared" si="51"/>
        <v>0</v>
      </c>
      <c r="O74" s="91"/>
      <c r="P74" s="81">
        <f t="shared" si="52"/>
        <v>0</v>
      </c>
      <c r="Q74" s="81">
        <f t="shared" si="52"/>
        <v>0</v>
      </c>
      <c r="R74" s="81">
        <f t="shared" si="52"/>
        <v>0</v>
      </c>
      <c r="S74" s="81">
        <f t="shared" si="4"/>
        <v>0</v>
      </c>
      <c r="T74" s="85">
        <f t="shared" si="43"/>
        <v>0</v>
      </c>
      <c r="U74" s="71"/>
      <c r="V74" s="195">
        <f t="shared" si="44"/>
        <v>0</v>
      </c>
    </row>
    <row r="75" spans="1:22" ht="26.4" x14ac:dyDescent="0.25">
      <c r="A75" s="529" t="s">
        <v>504</v>
      </c>
      <c r="B75" s="44" t="s">
        <v>388</v>
      </c>
      <c r="C75" s="71">
        <v>4181435</v>
      </c>
      <c r="D75" s="68">
        <v>4181435</v>
      </c>
      <c r="E75" s="68">
        <v>4181435</v>
      </c>
      <c r="F75" s="68">
        <v>4181435</v>
      </c>
      <c r="G75" s="68"/>
      <c r="H75" s="68">
        <v>420000</v>
      </c>
      <c r="I75" s="68">
        <v>630000</v>
      </c>
      <c r="J75" s="68">
        <v>840000</v>
      </c>
      <c r="K75" s="68"/>
      <c r="L75" s="593">
        <f t="shared" si="51"/>
        <v>0.10044398633483481</v>
      </c>
      <c r="M75" s="593">
        <f t="shared" si="51"/>
        <v>0.15066597950225222</v>
      </c>
      <c r="N75" s="593">
        <f t="shared" si="51"/>
        <v>0.20088797266966962</v>
      </c>
      <c r="O75" s="93"/>
      <c r="P75" s="81">
        <f t="shared" si="52"/>
        <v>0</v>
      </c>
      <c r="Q75" s="81">
        <f t="shared" si="52"/>
        <v>0</v>
      </c>
      <c r="R75" s="81">
        <f t="shared" si="52"/>
        <v>0</v>
      </c>
      <c r="S75" s="81">
        <f t="shared" si="4"/>
        <v>0</v>
      </c>
      <c r="T75" s="85">
        <f t="shared" si="43"/>
        <v>0</v>
      </c>
      <c r="U75" s="68"/>
      <c r="V75" s="195">
        <f t="shared" si="44"/>
        <v>0</v>
      </c>
    </row>
    <row r="76" spans="1:22" x14ac:dyDescent="0.25">
      <c r="A76" s="4" t="s">
        <v>320</v>
      </c>
      <c r="B76" s="3" t="s">
        <v>321</v>
      </c>
      <c r="C76" s="66">
        <f>SUM(C77:C79)</f>
        <v>5900000</v>
      </c>
      <c r="D76" s="66">
        <f>+D77+D78+D79</f>
        <v>5900000</v>
      </c>
      <c r="E76" s="66">
        <f>SUM(E77:E79)</f>
        <v>5900000</v>
      </c>
      <c r="F76" s="66">
        <f>SUM(F77:F79)</f>
        <v>7946980</v>
      </c>
      <c r="G76" s="66"/>
      <c r="H76" s="66">
        <f>+H77+H78+H79</f>
        <v>1041500</v>
      </c>
      <c r="I76" s="66">
        <f>SUM(I77:I79)</f>
        <v>1925820</v>
      </c>
      <c r="J76" s="66">
        <f>SUM(J77:J79)</f>
        <v>7946980</v>
      </c>
      <c r="K76" s="66"/>
      <c r="L76" s="663">
        <f t="shared" si="51"/>
        <v>0.17652542372881355</v>
      </c>
      <c r="M76" s="663">
        <f t="shared" si="51"/>
        <v>0.3264101694915254</v>
      </c>
      <c r="N76" s="708">
        <f t="shared" si="51"/>
        <v>1.3469457627118644</v>
      </c>
      <c r="O76" s="707"/>
      <c r="P76" s="66">
        <f t="shared" ref="P76:R76" si="53">+P77+P78+P79</f>
        <v>0</v>
      </c>
      <c r="Q76" s="66">
        <f t="shared" si="53"/>
        <v>0</v>
      </c>
      <c r="R76" s="66">
        <f t="shared" si="53"/>
        <v>0</v>
      </c>
      <c r="S76" s="66">
        <f t="shared" si="4"/>
        <v>0</v>
      </c>
      <c r="T76" s="85">
        <f t="shared" si="43"/>
        <v>0</v>
      </c>
      <c r="U76" s="66"/>
      <c r="V76" s="195">
        <f t="shared" si="44"/>
        <v>0</v>
      </c>
    </row>
    <row r="77" spans="1:22" ht="40.200000000000003" customHeight="1" x14ac:dyDescent="0.25">
      <c r="A77" s="14" t="s">
        <v>322</v>
      </c>
      <c r="B77" s="20" t="s">
        <v>323</v>
      </c>
      <c r="C77" s="71">
        <v>0</v>
      </c>
      <c r="D77" s="68"/>
      <c r="E77" s="71"/>
      <c r="F77" s="71"/>
      <c r="G77" s="71"/>
      <c r="H77" s="71"/>
      <c r="I77" s="71"/>
      <c r="J77" s="71"/>
      <c r="K77" s="71"/>
      <c r="L77" s="593">
        <f t="shared" si="51"/>
        <v>0</v>
      </c>
      <c r="M77" s="593">
        <f t="shared" si="51"/>
        <v>0</v>
      </c>
      <c r="N77" s="593">
        <f t="shared" si="51"/>
        <v>0</v>
      </c>
      <c r="O77" s="91"/>
      <c r="P77" s="81">
        <f t="shared" ref="P77:R79" si="54">+(D77-C77)*P$8</f>
        <v>0</v>
      </c>
      <c r="Q77" s="81">
        <f t="shared" si="54"/>
        <v>0</v>
      </c>
      <c r="R77" s="81">
        <f t="shared" si="54"/>
        <v>0</v>
      </c>
      <c r="S77" s="81">
        <f t="shared" ref="S77:S96" si="55">+P77*P$8+Q77*Q$8+Q77*G$8</f>
        <v>0</v>
      </c>
      <c r="T77" s="85">
        <f t="shared" si="43"/>
        <v>0</v>
      </c>
      <c r="U77" s="71"/>
      <c r="V77" s="195">
        <f t="shared" si="44"/>
        <v>0</v>
      </c>
    </row>
    <row r="78" spans="1:22" ht="24" customHeight="1" x14ac:dyDescent="0.25">
      <c r="A78" s="14" t="s">
        <v>324</v>
      </c>
      <c r="B78" s="20" t="s">
        <v>325</v>
      </c>
      <c r="C78" s="71"/>
      <c r="D78" s="68"/>
      <c r="E78" s="71"/>
      <c r="F78" s="71"/>
      <c r="G78" s="71"/>
      <c r="H78" s="71"/>
      <c r="I78" s="71"/>
      <c r="J78" s="71"/>
      <c r="K78" s="71"/>
      <c r="L78" s="593">
        <f t="shared" si="51"/>
        <v>0</v>
      </c>
      <c r="M78" s="593">
        <f t="shared" si="51"/>
        <v>0</v>
      </c>
      <c r="N78" s="593">
        <f t="shared" si="51"/>
        <v>0</v>
      </c>
      <c r="O78" s="91"/>
      <c r="P78" s="81">
        <f t="shared" si="54"/>
        <v>0</v>
      </c>
      <c r="Q78" s="81">
        <f t="shared" si="54"/>
        <v>0</v>
      </c>
      <c r="R78" s="81">
        <f t="shared" si="54"/>
        <v>0</v>
      </c>
      <c r="S78" s="81">
        <f t="shared" si="55"/>
        <v>0</v>
      </c>
      <c r="T78" s="85">
        <f t="shared" si="43"/>
        <v>0</v>
      </c>
      <c r="U78" s="71"/>
      <c r="V78" s="195">
        <f t="shared" si="44"/>
        <v>0</v>
      </c>
    </row>
    <row r="79" spans="1:22" x14ac:dyDescent="0.25">
      <c r="A79" s="529" t="s">
        <v>511</v>
      </c>
      <c r="B79" s="14" t="s">
        <v>326</v>
      </c>
      <c r="C79" s="71">
        <v>5900000</v>
      </c>
      <c r="D79" s="68">
        <v>5900000</v>
      </c>
      <c r="E79" s="143">
        <v>5900000</v>
      </c>
      <c r="F79" s="143">
        <f>7620000+326980</f>
        <v>7946980</v>
      </c>
      <c r="G79" s="68"/>
      <c r="H79" s="68">
        <f>905000+136500</f>
        <v>1041500</v>
      </c>
      <c r="I79" s="68">
        <f>305820+1620000</f>
        <v>1925820</v>
      </c>
      <c r="J79" s="68">
        <v>7946980</v>
      </c>
      <c r="K79" s="68"/>
      <c r="L79" s="593">
        <f t="shared" si="51"/>
        <v>0.17652542372881355</v>
      </c>
      <c r="M79" s="593">
        <f t="shared" si="51"/>
        <v>0.3264101694915254</v>
      </c>
      <c r="N79" s="593">
        <f t="shared" si="51"/>
        <v>1.3469457627118644</v>
      </c>
      <c r="O79" s="93"/>
      <c r="P79" s="81">
        <f t="shared" si="54"/>
        <v>0</v>
      </c>
      <c r="Q79" s="81">
        <f t="shared" si="54"/>
        <v>0</v>
      </c>
      <c r="R79" s="81">
        <f t="shared" si="54"/>
        <v>0</v>
      </c>
      <c r="S79" s="81">
        <f t="shared" si="55"/>
        <v>0</v>
      </c>
      <c r="T79" s="85">
        <f t="shared" si="43"/>
        <v>0</v>
      </c>
      <c r="U79" s="68"/>
      <c r="V79" s="195">
        <f t="shared" si="44"/>
        <v>0</v>
      </c>
    </row>
    <row r="80" spans="1:22" x14ac:dyDescent="0.25">
      <c r="A80" s="4" t="s">
        <v>327</v>
      </c>
      <c r="B80" s="3" t="s">
        <v>328</v>
      </c>
      <c r="C80" s="66">
        <f>+C81+C95</f>
        <v>212261436</v>
      </c>
      <c r="D80" s="66">
        <f t="shared" ref="D80:F80" si="56">+D81+D95</f>
        <v>212750680</v>
      </c>
      <c r="E80" s="66">
        <f t="shared" si="56"/>
        <v>212750680</v>
      </c>
      <c r="F80" s="66">
        <f t="shared" si="56"/>
        <v>212750680</v>
      </c>
      <c r="G80" s="66"/>
      <c r="H80" s="66">
        <f t="shared" ref="H80" si="57">+H81+H95</f>
        <v>212750680</v>
      </c>
      <c r="I80" s="66">
        <f t="shared" ref="I80" si="58">+I81+I95</f>
        <v>212750680</v>
      </c>
      <c r="J80" s="66">
        <f t="shared" ref="J80" si="59">+J81+J95</f>
        <v>237328039</v>
      </c>
      <c r="K80" s="66"/>
      <c r="L80" s="663">
        <f t="shared" si="51"/>
        <v>1.002304912325195</v>
      </c>
      <c r="M80" s="663">
        <f t="shared" si="51"/>
        <v>1</v>
      </c>
      <c r="N80" s="593">
        <f t="shared" si="51"/>
        <v>1.1155218822332318</v>
      </c>
      <c r="O80" s="639"/>
      <c r="P80" s="66">
        <f t="shared" ref="P80:R80" si="60">SUM(P81:P94)</f>
        <v>978488</v>
      </c>
      <c r="Q80" s="66">
        <f t="shared" si="60"/>
        <v>0</v>
      </c>
      <c r="R80" s="66">
        <f t="shared" si="60"/>
        <v>0</v>
      </c>
      <c r="S80" s="66">
        <f t="shared" si="55"/>
        <v>978488</v>
      </c>
      <c r="T80" s="85">
        <f t="shared" si="43"/>
        <v>4.609824650390097E-3</v>
      </c>
      <c r="U80" s="66"/>
      <c r="V80" s="195">
        <f t="shared" si="44"/>
        <v>489244</v>
      </c>
    </row>
    <row r="81" spans="1:22" x14ac:dyDescent="0.25">
      <c r="A81" s="14" t="s">
        <v>329</v>
      </c>
      <c r="B81" s="20" t="s">
        <v>330</v>
      </c>
      <c r="C81" s="140">
        <f>+C82+C87+C90+C91+C92+C94</f>
        <v>212261436</v>
      </c>
      <c r="D81" s="140">
        <f t="shared" ref="D81:F81" si="61">+D82+D87+D90+D91+D92+D94</f>
        <v>212750680</v>
      </c>
      <c r="E81" s="140">
        <f t="shared" si="61"/>
        <v>212750680</v>
      </c>
      <c r="F81" s="140">
        <f t="shared" si="61"/>
        <v>212750680</v>
      </c>
      <c r="G81" s="140"/>
      <c r="H81" s="140">
        <f t="shared" ref="H81:J81" si="62">+H82+H87+H90+H91+H92+H94</f>
        <v>212750680</v>
      </c>
      <c r="I81" s="140">
        <f t="shared" si="62"/>
        <v>212750680</v>
      </c>
      <c r="J81" s="71">
        <f t="shared" si="62"/>
        <v>237328039</v>
      </c>
      <c r="K81" s="71"/>
      <c r="L81" s="593">
        <f t="shared" si="51"/>
        <v>1.002304912325195</v>
      </c>
      <c r="M81" s="593">
        <f t="shared" si="51"/>
        <v>1</v>
      </c>
      <c r="N81" s="593">
        <f t="shared" si="51"/>
        <v>1.1155218822332318</v>
      </c>
      <c r="O81" s="91"/>
      <c r="P81" s="81">
        <f t="shared" ref="P81:P95" si="63">+(D81-C81)*P$8</f>
        <v>489244</v>
      </c>
      <c r="Q81" s="81">
        <f t="shared" ref="Q81:Q95" si="64">+(E81-D81)*Q$8</f>
        <v>0</v>
      </c>
      <c r="R81" s="81">
        <f t="shared" ref="R81:R95" si="65">+(F81-E81)*R$8</f>
        <v>0</v>
      </c>
      <c r="S81" s="81">
        <f t="shared" si="55"/>
        <v>489244</v>
      </c>
      <c r="T81" s="85">
        <f t="shared" si="43"/>
        <v>2.3049123251950485E-3</v>
      </c>
      <c r="U81" s="71"/>
      <c r="V81" s="195">
        <f t="shared" si="44"/>
        <v>0</v>
      </c>
    </row>
    <row r="82" spans="1:22" ht="26.4" x14ac:dyDescent="0.25">
      <c r="A82" s="14" t="s">
        <v>331</v>
      </c>
      <c r="B82" s="20" t="s">
        <v>332</v>
      </c>
      <c r="C82" s="71"/>
      <c r="D82" s="68"/>
      <c r="E82" s="71"/>
      <c r="F82" s="71"/>
      <c r="G82" s="71"/>
      <c r="H82" s="71"/>
      <c r="I82" s="71"/>
      <c r="J82" s="71"/>
      <c r="K82" s="71"/>
      <c r="L82" s="593">
        <f t="shared" si="51"/>
        <v>0</v>
      </c>
      <c r="M82" s="593">
        <f t="shared" si="51"/>
        <v>0</v>
      </c>
      <c r="N82" s="593">
        <f t="shared" si="51"/>
        <v>0</v>
      </c>
      <c r="O82" s="91"/>
      <c r="P82" s="81">
        <f t="shared" si="63"/>
        <v>0</v>
      </c>
      <c r="Q82" s="81">
        <f t="shared" si="64"/>
        <v>0</v>
      </c>
      <c r="R82" s="81">
        <f t="shared" si="65"/>
        <v>0</v>
      </c>
      <c r="S82" s="81">
        <f t="shared" si="55"/>
        <v>0</v>
      </c>
      <c r="T82" s="85">
        <f t="shared" si="43"/>
        <v>0</v>
      </c>
      <c r="U82" s="71"/>
      <c r="V82" s="195">
        <f t="shared" si="44"/>
        <v>0</v>
      </c>
    </row>
    <row r="83" spans="1:22" hidden="1" x14ac:dyDescent="0.25">
      <c r="A83" s="149" t="s">
        <v>333</v>
      </c>
      <c r="B83" s="147" t="s">
        <v>334</v>
      </c>
      <c r="C83" s="71"/>
      <c r="D83" s="68"/>
      <c r="E83" s="71"/>
      <c r="F83" s="71"/>
      <c r="G83" s="71"/>
      <c r="H83" s="71"/>
      <c r="I83" s="71"/>
      <c r="J83" s="71"/>
      <c r="K83" s="71"/>
      <c r="L83" s="593">
        <f t="shared" si="51"/>
        <v>0</v>
      </c>
      <c r="M83" s="593">
        <f t="shared" si="51"/>
        <v>0</v>
      </c>
      <c r="N83" s="593">
        <f t="shared" si="51"/>
        <v>0</v>
      </c>
      <c r="O83" s="91"/>
      <c r="P83" s="81">
        <f t="shared" si="63"/>
        <v>0</v>
      </c>
      <c r="Q83" s="81">
        <f t="shared" si="64"/>
        <v>0</v>
      </c>
      <c r="R83" s="81">
        <f t="shared" si="65"/>
        <v>0</v>
      </c>
      <c r="S83" s="81">
        <f t="shared" si="55"/>
        <v>0</v>
      </c>
      <c r="T83" s="85">
        <f t="shared" si="43"/>
        <v>0</v>
      </c>
      <c r="U83" s="71"/>
      <c r="V83" s="195">
        <f t="shared" si="44"/>
        <v>0</v>
      </c>
    </row>
    <row r="84" spans="1:22" ht="14.25" hidden="1" customHeight="1" x14ac:dyDescent="0.25">
      <c r="A84" s="149" t="s">
        <v>335</v>
      </c>
      <c r="B84" s="147" t="s">
        <v>336</v>
      </c>
      <c r="C84" s="71"/>
      <c r="D84" s="68"/>
      <c r="E84" s="71"/>
      <c r="F84" s="71"/>
      <c r="G84" s="71"/>
      <c r="H84" s="71"/>
      <c r="I84" s="71"/>
      <c r="J84" s="71"/>
      <c r="K84" s="71"/>
      <c r="L84" s="593">
        <f t="shared" si="51"/>
        <v>0</v>
      </c>
      <c r="M84" s="593">
        <f t="shared" si="51"/>
        <v>0</v>
      </c>
      <c r="N84" s="593">
        <f t="shared" si="51"/>
        <v>0</v>
      </c>
      <c r="O84" s="91"/>
      <c r="P84" s="81">
        <f t="shared" si="63"/>
        <v>0</v>
      </c>
      <c r="Q84" s="81">
        <f t="shared" si="64"/>
        <v>0</v>
      </c>
      <c r="R84" s="81">
        <f t="shared" si="65"/>
        <v>0</v>
      </c>
      <c r="S84" s="81">
        <f t="shared" si="55"/>
        <v>0</v>
      </c>
      <c r="T84" s="85">
        <f t="shared" si="43"/>
        <v>0</v>
      </c>
      <c r="U84" s="71"/>
      <c r="V84" s="195">
        <f t="shared" si="44"/>
        <v>0</v>
      </c>
    </row>
    <row r="85" spans="1:22" hidden="1" x14ac:dyDescent="0.25">
      <c r="A85" s="149" t="s">
        <v>337</v>
      </c>
      <c r="B85" s="147" t="s">
        <v>338</v>
      </c>
      <c r="C85" s="71"/>
      <c r="D85" s="68"/>
      <c r="E85" s="71"/>
      <c r="F85" s="71"/>
      <c r="G85" s="71"/>
      <c r="H85" s="71"/>
      <c r="I85" s="71"/>
      <c r="J85" s="71"/>
      <c r="K85" s="71"/>
      <c r="L85" s="593">
        <f t="shared" si="51"/>
        <v>0</v>
      </c>
      <c r="M85" s="593">
        <f t="shared" si="51"/>
        <v>0</v>
      </c>
      <c r="N85" s="593">
        <f t="shared" si="51"/>
        <v>0</v>
      </c>
      <c r="O85" s="91"/>
      <c r="P85" s="81">
        <f t="shared" si="63"/>
        <v>0</v>
      </c>
      <c r="Q85" s="81">
        <f t="shared" si="64"/>
        <v>0</v>
      </c>
      <c r="R85" s="81">
        <f t="shared" si="65"/>
        <v>0</v>
      </c>
      <c r="S85" s="81">
        <f t="shared" si="55"/>
        <v>0</v>
      </c>
      <c r="T85" s="85">
        <f t="shared" si="43"/>
        <v>0</v>
      </c>
      <c r="U85" s="71"/>
      <c r="V85" s="195">
        <f t="shared" si="44"/>
        <v>0</v>
      </c>
    </row>
    <row r="86" spans="1:22" hidden="1" x14ac:dyDescent="0.25">
      <c r="A86" s="14" t="s">
        <v>339</v>
      </c>
      <c r="B86" s="20" t="s">
        <v>340</v>
      </c>
      <c r="C86" s="71"/>
      <c r="D86" s="68"/>
      <c r="E86" s="71"/>
      <c r="F86" s="71"/>
      <c r="G86" s="71"/>
      <c r="H86" s="71"/>
      <c r="I86" s="71"/>
      <c r="J86" s="71"/>
      <c r="K86" s="71"/>
      <c r="L86" s="593">
        <f t="shared" si="51"/>
        <v>0</v>
      </c>
      <c r="M86" s="593">
        <f t="shared" si="51"/>
        <v>0</v>
      </c>
      <c r="N86" s="593">
        <f t="shared" si="51"/>
        <v>0</v>
      </c>
      <c r="O86" s="91"/>
      <c r="P86" s="81">
        <f t="shared" si="63"/>
        <v>0</v>
      </c>
      <c r="Q86" s="81">
        <f t="shared" si="64"/>
        <v>0</v>
      </c>
      <c r="R86" s="81">
        <f t="shared" si="65"/>
        <v>0</v>
      </c>
      <c r="S86" s="81">
        <f t="shared" si="55"/>
        <v>0</v>
      </c>
      <c r="T86" s="85">
        <f t="shared" si="43"/>
        <v>0</v>
      </c>
      <c r="U86" s="71"/>
      <c r="V86" s="195">
        <f t="shared" si="44"/>
        <v>0</v>
      </c>
    </row>
    <row r="87" spans="1:22" x14ac:dyDescent="0.25">
      <c r="A87" s="14" t="s">
        <v>341</v>
      </c>
      <c r="B87" s="561" t="s">
        <v>342</v>
      </c>
      <c r="C87" s="140">
        <f>+C88+C89</f>
        <v>212261436</v>
      </c>
      <c r="D87" s="140">
        <f>+D88+D89</f>
        <v>212261436</v>
      </c>
      <c r="E87" s="140">
        <f>+E88+E89</f>
        <v>212261436</v>
      </c>
      <c r="F87" s="140">
        <f>+F88+F89</f>
        <v>212261436</v>
      </c>
      <c r="G87" s="68"/>
      <c r="H87" s="140">
        <f>+H88+H89</f>
        <v>212261436</v>
      </c>
      <c r="I87" s="140">
        <f>+I88+I89</f>
        <v>212261436</v>
      </c>
      <c r="J87" s="71">
        <f t="shared" ref="J87" si="66">+J88+J89</f>
        <v>212261436</v>
      </c>
      <c r="K87" s="68"/>
      <c r="L87" s="593">
        <f t="shared" si="51"/>
        <v>1</v>
      </c>
      <c r="M87" s="593">
        <f t="shared" si="51"/>
        <v>1</v>
      </c>
      <c r="N87" s="593">
        <f t="shared" si="51"/>
        <v>1</v>
      </c>
      <c r="O87" s="93"/>
      <c r="P87" s="81">
        <f t="shared" si="63"/>
        <v>0</v>
      </c>
      <c r="Q87" s="385">
        <f t="shared" si="64"/>
        <v>0</v>
      </c>
      <c r="R87" s="81">
        <f t="shared" si="65"/>
        <v>0</v>
      </c>
      <c r="S87" s="81">
        <f t="shared" si="55"/>
        <v>0</v>
      </c>
      <c r="T87" s="85">
        <f t="shared" si="43"/>
        <v>0</v>
      </c>
      <c r="U87" s="68"/>
      <c r="V87" s="195">
        <f t="shared" si="44"/>
        <v>0</v>
      </c>
    </row>
    <row r="88" spans="1:22" ht="24" x14ac:dyDescent="0.3">
      <c r="A88" s="149" t="s">
        <v>343</v>
      </c>
      <c r="B88" s="713" t="s">
        <v>344</v>
      </c>
      <c r="C88" s="717">
        <v>212261436</v>
      </c>
      <c r="D88" s="717">
        <v>212261436</v>
      </c>
      <c r="E88" s="71">
        <v>212261436</v>
      </c>
      <c r="F88" s="71">
        <v>212261436</v>
      </c>
      <c r="G88" s="71"/>
      <c r="H88" s="565">
        <v>212261436</v>
      </c>
      <c r="I88" s="71">
        <v>212261436</v>
      </c>
      <c r="J88" s="71">
        <v>212261436</v>
      </c>
      <c r="K88" s="71"/>
      <c r="L88" s="593">
        <f t="shared" si="51"/>
        <v>1</v>
      </c>
      <c r="M88" s="593">
        <f t="shared" si="51"/>
        <v>1</v>
      </c>
      <c r="N88" s="593">
        <f t="shared" si="51"/>
        <v>1</v>
      </c>
      <c r="O88" s="91"/>
      <c r="P88" s="81">
        <f t="shared" si="63"/>
        <v>0</v>
      </c>
      <c r="Q88" s="81">
        <f t="shared" si="64"/>
        <v>0</v>
      </c>
      <c r="R88" s="81">
        <f t="shared" si="65"/>
        <v>0</v>
      </c>
      <c r="S88" s="81">
        <f t="shared" si="55"/>
        <v>0</v>
      </c>
      <c r="T88" s="85">
        <f t="shared" si="43"/>
        <v>0</v>
      </c>
      <c r="U88" s="71"/>
      <c r="V88" s="195">
        <f t="shared" si="44"/>
        <v>0</v>
      </c>
    </row>
    <row r="89" spans="1:22" ht="23.4" x14ac:dyDescent="0.25">
      <c r="A89" s="149" t="s">
        <v>345</v>
      </c>
      <c r="B89" s="583" t="s">
        <v>346</v>
      </c>
      <c r="C89" s="71"/>
      <c r="D89" s="68"/>
      <c r="E89" s="71"/>
      <c r="F89" s="71"/>
      <c r="G89" s="71"/>
      <c r="H89" s="71"/>
      <c r="I89" s="71"/>
      <c r="J89" s="71"/>
      <c r="K89" s="71"/>
      <c r="L89" s="593">
        <f t="shared" si="51"/>
        <v>0</v>
      </c>
      <c r="M89" s="593">
        <f t="shared" si="51"/>
        <v>0</v>
      </c>
      <c r="N89" s="593">
        <f t="shared" si="51"/>
        <v>0</v>
      </c>
      <c r="O89" s="91"/>
      <c r="P89" s="81">
        <f t="shared" si="63"/>
        <v>0</v>
      </c>
      <c r="Q89" s="81">
        <f t="shared" si="64"/>
        <v>0</v>
      </c>
      <c r="R89" s="81">
        <f t="shared" si="65"/>
        <v>0</v>
      </c>
      <c r="S89" s="81">
        <f t="shared" si="55"/>
        <v>0</v>
      </c>
      <c r="T89" s="85">
        <f t="shared" si="43"/>
        <v>0</v>
      </c>
      <c r="U89" s="71"/>
      <c r="V89" s="195">
        <f t="shared" si="44"/>
        <v>0</v>
      </c>
    </row>
    <row r="90" spans="1:22" x14ac:dyDescent="0.25">
      <c r="A90" s="14" t="s">
        <v>347</v>
      </c>
      <c r="B90" s="20" t="s">
        <v>348</v>
      </c>
      <c r="C90" s="729">
        <v>0</v>
      </c>
      <c r="D90" s="95">
        <v>489244</v>
      </c>
      <c r="E90" s="140">
        <v>489244</v>
      </c>
      <c r="F90" s="140">
        <v>489244</v>
      </c>
      <c r="G90" s="140"/>
      <c r="H90" s="140">
        <v>489244</v>
      </c>
      <c r="I90" s="140">
        <v>489244</v>
      </c>
      <c r="J90" s="71">
        <v>25066603</v>
      </c>
      <c r="K90" s="71"/>
      <c r="L90" s="593" t="e">
        <f t="shared" si="51"/>
        <v>#DIV/0!</v>
      </c>
      <c r="M90" s="593">
        <f t="shared" si="51"/>
        <v>1</v>
      </c>
      <c r="N90" s="593">
        <f t="shared" si="51"/>
        <v>51.235381527417815</v>
      </c>
      <c r="O90" s="91"/>
      <c r="P90" s="81">
        <f t="shared" si="63"/>
        <v>489244</v>
      </c>
      <c r="Q90" s="81">
        <f t="shared" si="64"/>
        <v>0</v>
      </c>
      <c r="R90" s="81">
        <f t="shared" si="65"/>
        <v>0</v>
      </c>
      <c r="S90" s="81">
        <f t="shared" si="55"/>
        <v>489244</v>
      </c>
      <c r="T90" s="85">
        <f t="shared" si="43"/>
        <v>0</v>
      </c>
      <c r="U90" s="71"/>
      <c r="V90" s="195">
        <f t="shared" si="44"/>
        <v>0</v>
      </c>
    </row>
    <row r="91" spans="1:22" ht="26.4" x14ac:dyDescent="0.25">
      <c r="A91" s="14" t="s">
        <v>349</v>
      </c>
      <c r="B91" s="20" t="s">
        <v>350</v>
      </c>
      <c r="C91" s="71"/>
      <c r="D91" s="68"/>
      <c r="E91" s="71"/>
      <c r="F91" s="71"/>
      <c r="G91" s="71"/>
      <c r="H91" s="71"/>
      <c r="I91" s="71"/>
      <c r="J91" s="71"/>
      <c r="K91" s="71"/>
      <c r="L91" s="593">
        <f t="shared" si="51"/>
        <v>0</v>
      </c>
      <c r="M91" s="593">
        <f t="shared" si="51"/>
        <v>0</v>
      </c>
      <c r="N91" s="593">
        <f t="shared" si="51"/>
        <v>0</v>
      </c>
      <c r="O91" s="91"/>
      <c r="P91" s="81">
        <f t="shared" si="63"/>
        <v>0</v>
      </c>
      <c r="Q91" s="81">
        <f t="shared" si="64"/>
        <v>0</v>
      </c>
      <c r="R91" s="81">
        <f t="shared" si="65"/>
        <v>0</v>
      </c>
      <c r="S91" s="81">
        <f t="shared" si="55"/>
        <v>0</v>
      </c>
      <c r="T91" s="85">
        <f t="shared" si="43"/>
        <v>0</v>
      </c>
      <c r="U91" s="71"/>
      <c r="V91" s="195">
        <f t="shared" si="44"/>
        <v>0</v>
      </c>
    </row>
    <row r="92" spans="1:22" x14ac:dyDescent="0.25">
      <c r="A92" s="14" t="s">
        <v>353</v>
      </c>
      <c r="B92" s="20" t="s">
        <v>351</v>
      </c>
      <c r="C92" s="71"/>
      <c r="D92" s="68"/>
      <c r="E92" s="71"/>
      <c r="F92" s="71"/>
      <c r="G92" s="71"/>
      <c r="H92" s="71"/>
      <c r="I92" s="71"/>
      <c r="J92" s="71"/>
      <c r="K92" s="71"/>
      <c r="L92" s="593">
        <f t="shared" si="51"/>
        <v>0</v>
      </c>
      <c r="M92" s="593">
        <f t="shared" si="51"/>
        <v>0</v>
      </c>
      <c r="N92" s="593">
        <f t="shared" si="51"/>
        <v>0</v>
      </c>
      <c r="O92" s="91"/>
      <c r="P92" s="81">
        <f t="shared" si="63"/>
        <v>0</v>
      </c>
      <c r="Q92" s="81">
        <f t="shared" si="64"/>
        <v>0</v>
      </c>
      <c r="R92" s="81">
        <f t="shared" si="65"/>
        <v>0</v>
      </c>
      <c r="S92" s="81">
        <f t="shared" si="55"/>
        <v>0</v>
      </c>
      <c r="T92" s="85">
        <f t="shared" si="43"/>
        <v>0</v>
      </c>
      <c r="U92" s="71"/>
      <c r="V92" s="195">
        <f t="shared" si="44"/>
        <v>0</v>
      </c>
    </row>
    <row r="93" spans="1:22" ht="26.4" hidden="1" x14ac:dyDescent="0.25">
      <c r="A93" s="14"/>
      <c r="B93" s="20" t="s">
        <v>352</v>
      </c>
      <c r="C93" s="71"/>
      <c r="D93" s="68"/>
      <c r="E93" s="71"/>
      <c r="F93" s="71"/>
      <c r="G93" s="71"/>
      <c r="H93" s="71"/>
      <c r="I93" s="71"/>
      <c r="J93" s="71"/>
      <c r="K93" s="71"/>
      <c r="L93" s="593">
        <f t="shared" si="51"/>
        <v>0</v>
      </c>
      <c r="M93" s="593">
        <f t="shared" si="51"/>
        <v>0</v>
      </c>
      <c r="N93" s="593">
        <f t="shared" si="51"/>
        <v>0</v>
      </c>
      <c r="O93" s="91"/>
      <c r="P93" s="81">
        <f t="shared" si="63"/>
        <v>0</v>
      </c>
      <c r="Q93" s="81">
        <f t="shared" si="64"/>
        <v>0</v>
      </c>
      <c r="R93" s="81">
        <f t="shared" si="65"/>
        <v>0</v>
      </c>
      <c r="S93" s="81">
        <f t="shared" si="55"/>
        <v>0</v>
      </c>
      <c r="T93" s="85">
        <f t="shared" si="43"/>
        <v>0</v>
      </c>
      <c r="U93" s="71"/>
      <c r="V93" s="195">
        <f t="shared" si="44"/>
        <v>0</v>
      </c>
    </row>
    <row r="94" spans="1:22" x14ac:dyDescent="0.25">
      <c r="A94" s="14" t="s">
        <v>354</v>
      </c>
      <c r="B94" s="20" t="s">
        <v>355</v>
      </c>
      <c r="C94" s="71">
        <v>0</v>
      </c>
      <c r="D94" s="68">
        <v>0</v>
      </c>
      <c r="E94" s="71"/>
      <c r="F94" s="71"/>
      <c r="G94" s="71"/>
      <c r="H94" s="71"/>
      <c r="I94" s="71"/>
      <c r="J94" s="71"/>
      <c r="K94" s="71"/>
      <c r="L94" s="593">
        <f t="shared" si="51"/>
        <v>0</v>
      </c>
      <c r="M94" s="593">
        <f t="shared" si="51"/>
        <v>0</v>
      </c>
      <c r="N94" s="593">
        <f t="shared" si="51"/>
        <v>0</v>
      </c>
      <c r="O94" s="91"/>
      <c r="P94" s="81">
        <f t="shared" si="63"/>
        <v>0</v>
      </c>
      <c r="Q94" s="81">
        <f t="shared" si="64"/>
        <v>0</v>
      </c>
      <c r="R94" s="81">
        <f t="shared" si="65"/>
        <v>0</v>
      </c>
      <c r="S94" s="81">
        <f t="shared" si="55"/>
        <v>0</v>
      </c>
      <c r="T94" s="85">
        <f t="shared" si="43"/>
        <v>0</v>
      </c>
      <c r="U94" s="71"/>
      <c r="V94" s="195">
        <f t="shared" si="44"/>
        <v>0</v>
      </c>
    </row>
    <row r="95" spans="1:22" hidden="1" x14ac:dyDescent="0.25">
      <c r="A95" s="14"/>
      <c r="B95" s="14"/>
      <c r="C95" s="71"/>
      <c r="D95" s="68"/>
      <c r="E95" s="71"/>
      <c r="F95" s="71"/>
      <c r="G95" s="71"/>
      <c r="H95" s="71"/>
      <c r="I95" s="71"/>
      <c r="J95" s="71"/>
      <c r="K95" s="71"/>
      <c r="L95" s="593">
        <f t="shared" si="51"/>
        <v>0</v>
      </c>
      <c r="M95" s="593">
        <f t="shared" si="51"/>
        <v>0</v>
      </c>
      <c r="N95" s="593">
        <f t="shared" si="51"/>
        <v>0</v>
      </c>
      <c r="O95" s="91"/>
      <c r="P95" s="81">
        <f t="shared" si="63"/>
        <v>0</v>
      </c>
      <c r="Q95" s="81">
        <f t="shared" si="64"/>
        <v>0</v>
      </c>
      <c r="R95" s="81">
        <f t="shared" si="65"/>
        <v>0</v>
      </c>
      <c r="S95" s="81">
        <f t="shared" si="55"/>
        <v>0</v>
      </c>
      <c r="T95" s="85">
        <f t="shared" si="43"/>
        <v>0</v>
      </c>
      <c r="U95" s="71"/>
      <c r="V95" s="195">
        <f t="shared" si="44"/>
        <v>0</v>
      </c>
    </row>
    <row r="96" spans="1:22" x14ac:dyDescent="0.25">
      <c r="A96" s="14"/>
      <c r="B96" s="3" t="s">
        <v>365</v>
      </c>
      <c r="C96" s="66">
        <f>C13+C30+C39+C50+C67+C72+C76+C80</f>
        <v>1479554563</v>
      </c>
      <c r="D96" s="66">
        <f>D13+D30+D39+D50+D67+D72+D76+D80</f>
        <v>1500709950</v>
      </c>
      <c r="E96" s="66">
        <f>E13+E30+E39+E50+E67+E72+E76+E80</f>
        <v>1520709950</v>
      </c>
      <c r="F96" s="66">
        <f>F13+F30+F39+F50+F67+F72+F76+F80</f>
        <v>1479554563</v>
      </c>
      <c r="G96" s="66"/>
      <c r="H96" s="66">
        <f>H13+H30+H39+H50+H67+H72+H76+H80</f>
        <v>742200081</v>
      </c>
      <c r="I96" s="66">
        <f>I13+I30+I39+I50+I67+I72+I76+I80</f>
        <v>1118302269</v>
      </c>
      <c r="J96" s="66">
        <f>J13+J30+J39+J50+J67+J72+J76+J80</f>
        <v>1547596576</v>
      </c>
      <c r="K96" s="66"/>
      <c r="L96" s="590">
        <f t="shared" si="51"/>
        <v>0.50163751953499269</v>
      </c>
      <c r="M96" s="590">
        <f t="shared" si="51"/>
        <v>0.74518215128779552</v>
      </c>
      <c r="N96" s="590">
        <f t="shared" si="51"/>
        <v>1.0176803117517579</v>
      </c>
      <c r="O96" s="639"/>
      <c r="P96" s="66">
        <f t="shared" ref="P96:R96" si="67">P13+P30+P39+P50+P67+P72+P76+P80</f>
        <v>21644631</v>
      </c>
      <c r="Q96" s="66">
        <f t="shared" si="67"/>
        <v>20000000</v>
      </c>
      <c r="R96" s="66">
        <f t="shared" si="67"/>
        <v>0</v>
      </c>
      <c r="S96" s="66">
        <f t="shared" si="55"/>
        <v>41644631</v>
      </c>
      <c r="T96" s="85">
        <f t="shared" si="43"/>
        <v>2.8146735538809597E-2</v>
      </c>
      <c r="U96" s="66"/>
      <c r="V96" s="196">
        <f t="shared" si="44"/>
        <v>489244</v>
      </c>
    </row>
    <row r="97" spans="1:15" x14ac:dyDescent="0.25">
      <c r="L97" s="607"/>
      <c r="M97" s="607"/>
      <c r="N97" s="604"/>
      <c r="O97" s="634"/>
    </row>
    <row r="98" spans="1:15" x14ac:dyDescent="0.25">
      <c r="A98" s="56"/>
      <c r="C98" s="19"/>
      <c r="D98" s="17">
        <f>+D96-C96</f>
        <v>21155387</v>
      </c>
      <c r="F98" s="122">
        <f>+F96-C96</f>
        <v>0</v>
      </c>
      <c r="L98" s="604"/>
      <c r="M98" s="604"/>
      <c r="N98" s="604"/>
      <c r="O98" s="634"/>
    </row>
    <row r="99" spans="1:15" x14ac:dyDescent="0.25">
      <c r="D99" s="23">
        <v>20666143</v>
      </c>
      <c r="E99" s="122">
        <f>+E96-D96</f>
        <v>20000000</v>
      </c>
      <c r="F99" s="122">
        <f>+F96-'3. Önk. Kiadások'!F168</f>
        <v>0</v>
      </c>
      <c r="I99" s="574"/>
      <c r="J99" s="122">
        <f>+J96-'3. Önk. Kiadások'!J168</f>
        <v>141968012</v>
      </c>
      <c r="L99" s="604"/>
      <c r="M99" s="604"/>
      <c r="N99" s="604"/>
      <c r="O99" s="634"/>
    </row>
    <row r="100" spans="1:15" x14ac:dyDescent="0.25">
      <c r="D100" s="23">
        <f>+D98-D99</f>
        <v>489244</v>
      </c>
      <c r="I100" s="574"/>
      <c r="L100" s="671"/>
      <c r="M100" s="671"/>
      <c r="N100" s="671"/>
      <c r="O100" s="634"/>
    </row>
    <row r="101" spans="1:15" x14ac:dyDescent="0.25">
      <c r="C101" s="19"/>
      <c r="L101" s="634"/>
      <c r="M101" s="634"/>
      <c r="N101" s="634"/>
      <c r="O101" s="634"/>
    </row>
    <row r="102" spans="1:15" x14ac:dyDescent="0.25">
      <c r="C102" s="19"/>
      <c r="L102" s="634"/>
      <c r="M102" s="634"/>
      <c r="N102" s="634"/>
      <c r="O102" s="634"/>
    </row>
    <row r="104" spans="1:15" x14ac:dyDescent="0.25">
      <c r="C104" s="19"/>
    </row>
    <row r="105" spans="1:15" x14ac:dyDescent="0.25">
      <c r="C105" s="19"/>
    </row>
    <row r="107" spans="1:15" x14ac:dyDescent="0.25">
      <c r="C107" s="19"/>
    </row>
  </sheetData>
  <mergeCells count="5">
    <mergeCell ref="H8:J8"/>
    <mergeCell ref="L8:N8"/>
    <mergeCell ref="H7:N7"/>
    <mergeCell ref="C7:F7"/>
    <mergeCell ref="P7:T7"/>
  </mergeCells>
  <phoneticPr fontId="3" type="noConversion"/>
  <printOptions horizontalCentered="1"/>
  <pageMargins left="0" right="0" top="0.15748031496062992" bottom="0.15748031496062992" header="0.31496062992125984" footer="0.31496062992125984"/>
  <pageSetup paperSize="8" scale="55" fitToHeight="0" orientation="portrait" r:id="rId1"/>
  <headerFooter alignWithMargins="0">
    <oddHeader>&amp;R&amp;"Arial,Félkövér dőlt"&amp;12&amp;A  /&amp;10
&amp;"Arial,Dőlt"&amp;F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31"/>
  <sheetViews>
    <sheetView view="pageBreakPreview" zoomScaleNormal="100" zoomScaleSheetLayoutView="100" workbookViewId="0">
      <pane ySplit="11" topLeftCell="A12" activePane="bottomLeft" state="frozen"/>
      <selection pane="bottomLeft" activeCell="B7" sqref="B7"/>
    </sheetView>
  </sheetViews>
  <sheetFormatPr defaultRowHeight="13.2" x14ac:dyDescent="0.25"/>
  <cols>
    <col min="1" max="1" width="7.5546875" style="14" customWidth="1"/>
    <col min="2" max="2" width="53.5546875" style="14" customWidth="1"/>
    <col min="3" max="3" width="15.5546875" style="14" customWidth="1"/>
    <col min="4" max="4" width="15" style="16" customWidth="1"/>
    <col min="5" max="5" width="15.44140625" style="23" customWidth="1"/>
    <col min="6" max="6" width="13.88671875" style="23" customWidth="1"/>
    <col min="7" max="7" width="0.6640625" style="23" customWidth="1"/>
    <col min="8" max="8" width="15.5546875" style="14" customWidth="1"/>
    <col min="9" max="10" width="15.5546875" style="23" customWidth="1"/>
    <col min="11" max="11" width="1.109375" style="23" customWidth="1"/>
    <col min="12" max="12" width="14" style="14" customWidth="1"/>
    <col min="13" max="13" width="15.88671875" style="13" customWidth="1"/>
    <col min="14" max="14" width="14.77734375" style="13" bestFit="1" customWidth="1"/>
    <col min="15" max="15" width="0.5546875" style="23" customWidth="1"/>
    <col min="16" max="17" width="14.5546875" style="14" customWidth="1"/>
    <col min="18" max="18" width="13.44140625" style="14" bestFit="1" customWidth="1"/>
    <col min="19" max="19" width="15.5546875" style="14" customWidth="1"/>
    <col min="20" max="20" width="10.5546875" style="13" customWidth="1"/>
    <col min="21" max="21" width="0.6640625" style="23" customWidth="1"/>
    <col min="22" max="22" width="4.6640625" customWidth="1"/>
  </cols>
  <sheetData>
    <row r="1" spans="1:27" ht="24.6" x14ac:dyDescent="0.4">
      <c r="A1" s="228" t="s">
        <v>463</v>
      </c>
      <c r="B1" s="227"/>
      <c r="C1" s="227"/>
      <c r="D1" s="227"/>
      <c r="E1" s="573"/>
      <c r="F1" s="81"/>
      <c r="G1" s="226"/>
      <c r="H1" s="225"/>
      <c r="I1" s="225"/>
      <c r="J1" s="224" t="str">
        <f>+'1. Sülysáp összesen'!J1</f>
        <v>2021. ÉVI KÖLTSÉGVETÉS MÓDOSÍTÁSA</v>
      </c>
      <c r="K1" s="229"/>
      <c r="L1" s="229" t="s">
        <v>416</v>
      </c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ht="21" hidden="1" x14ac:dyDescent="0.4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225"/>
    </row>
    <row r="3" spans="1:27" ht="21" hidden="1" x14ac:dyDescent="0.4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25"/>
    </row>
    <row r="4" spans="1:27" x14ac:dyDescent="0.25">
      <c r="A4"/>
      <c r="B4"/>
      <c r="C4" s="61"/>
      <c r="D4" s="61"/>
      <c r="E4" s="572"/>
      <c r="F4" s="61"/>
      <c r="G4" s="61"/>
      <c r="H4" s="61"/>
      <c r="I4" s="61"/>
      <c r="J4" s="61"/>
      <c r="K4" s="65"/>
      <c r="L4" s="61"/>
      <c r="M4" s="61"/>
      <c r="N4" s="61"/>
      <c r="O4" s="61"/>
      <c r="P4" s="61"/>
      <c r="Q4" s="61"/>
      <c r="R4" s="61"/>
      <c r="S4" s="61"/>
      <c r="T4"/>
      <c r="U4"/>
    </row>
    <row r="5" spans="1:27" ht="14.1" hidden="1" customHeight="1" x14ac:dyDescent="0.25">
      <c r="A5"/>
      <c r="B5"/>
      <c r="C5" s="99"/>
      <c r="D5" s="100"/>
      <c r="E5" s="100"/>
      <c r="F5" s="101"/>
      <c r="G5" s="102"/>
      <c r="H5" s="103"/>
      <c r="I5" s="105"/>
      <c r="J5" s="105"/>
      <c r="K5" s="102"/>
      <c r="L5" s="104"/>
      <c r="M5" s="106"/>
      <c r="N5" s="107"/>
      <c r="O5" s="102"/>
      <c r="P5" s="103"/>
      <c r="Q5" s="105"/>
      <c r="R5" s="105"/>
      <c r="S5" s="105"/>
      <c r="T5" s="203"/>
      <c r="U5" s="267"/>
    </row>
    <row r="6" spans="1:27" ht="14.1" hidden="1" customHeight="1" x14ac:dyDescent="0.25">
      <c r="A6"/>
      <c r="B6"/>
      <c r="C6" s="108"/>
      <c r="D6" s="109"/>
      <c r="E6" s="109"/>
      <c r="F6" s="110"/>
      <c r="G6" s="111"/>
      <c r="H6" s="112"/>
      <c r="I6" s="114"/>
      <c r="J6" s="114"/>
      <c r="K6" s="111"/>
      <c r="L6" s="113"/>
      <c r="M6" s="115"/>
      <c r="N6" s="116"/>
      <c r="O6" s="111"/>
      <c r="P6" s="112"/>
      <c r="Q6" s="114"/>
      <c r="R6" s="114"/>
      <c r="S6" s="114"/>
      <c r="T6" s="116"/>
      <c r="U6" s="267"/>
    </row>
    <row r="7" spans="1:27" ht="15.6" x14ac:dyDescent="0.3">
      <c r="A7"/>
      <c r="B7"/>
      <c r="C7" s="785" t="s">
        <v>401</v>
      </c>
      <c r="D7" s="788"/>
      <c r="E7" s="788"/>
      <c r="F7" s="789"/>
      <c r="G7" s="154"/>
      <c r="H7" s="785" t="s">
        <v>400</v>
      </c>
      <c r="I7" s="786"/>
      <c r="J7" s="786"/>
      <c r="K7" s="786"/>
      <c r="L7" s="786"/>
      <c r="M7" s="786"/>
      <c r="N7" s="787"/>
      <c r="O7" s="154"/>
      <c r="P7" s="785" t="s">
        <v>397</v>
      </c>
      <c r="Q7" s="788"/>
      <c r="R7" s="788"/>
      <c r="S7" s="788"/>
      <c r="T7" s="789"/>
      <c r="U7"/>
    </row>
    <row r="8" spans="1:27" ht="13.8" x14ac:dyDescent="0.25">
      <c r="A8"/>
      <c r="B8"/>
      <c r="C8" s="124"/>
      <c r="D8" s="125"/>
      <c r="E8" s="125"/>
      <c r="F8" s="126"/>
      <c r="G8" s="79"/>
      <c r="H8" s="782" t="s">
        <v>413</v>
      </c>
      <c r="I8" s="783"/>
      <c r="J8" s="784"/>
      <c r="K8" s="134"/>
      <c r="L8" s="790" t="s">
        <v>412</v>
      </c>
      <c r="M8" s="791"/>
      <c r="N8" s="792"/>
      <c r="O8" s="644"/>
      <c r="P8" s="128">
        <f>+'1. Sülysáp összesen'!P8</f>
        <v>1</v>
      </c>
      <c r="Q8" s="128">
        <f>+' 2. Önk. Bevételek'!Q8</f>
        <v>1</v>
      </c>
      <c r="R8" s="128">
        <f>+'1. Sülysáp összesen'!R8</f>
        <v>0</v>
      </c>
      <c r="S8" s="125"/>
      <c r="T8" s="126"/>
      <c r="U8"/>
    </row>
    <row r="9" spans="1:27" ht="20.100000000000001" customHeight="1" x14ac:dyDescent="0.25">
      <c r="A9" s="76"/>
      <c r="B9" s="244" t="s">
        <v>371</v>
      </c>
      <c r="C9" s="581">
        <f>+C168</f>
        <v>1479554563</v>
      </c>
      <c r="D9" s="581">
        <f>+D168</f>
        <v>1500709950</v>
      </c>
      <c r="E9" s="581">
        <f>+E168</f>
        <v>1520709950</v>
      </c>
      <c r="F9" s="581">
        <f>+F168</f>
        <v>1479554563</v>
      </c>
      <c r="G9" s="581"/>
      <c r="H9" s="581">
        <f>+H168</f>
        <v>692493919</v>
      </c>
      <c r="I9" s="581">
        <f>+I168</f>
        <v>953672209</v>
      </c>
      <c r="J9" s="245">
        <f>+J168</f>
        <v>1405628564</v>
      </c>
      <c r="K9" s="231"/>
      <c r="L9" s="642">
        <f>H9/C9</f>
        <v>0.46804216371437735</v>
      </c>
      <c r="M9" s="636">
        <f>I9/D9</f>
        <v>0.63548069965152165</v>
      </c>
      <c r="N9" s="636">
        <f>+J9/E9</f>
        <v>0.92432390805360354</v>
      </c>
      <c r="O9" s="643"/>
      <c r="P9" s="581">
        <f>IF(D9&gt;0,+D9-C9,0)</f>
        <v>21155387</v>
      </c>
      <c r="Q9" s="581">
        <f>IF(E9&gt;0,+E9-D9,0)</f>
        <v>20000000</v>
      </c>
      <c r="R9" s="581">
        <f>IF(F9&gt;0,+F9-E9,0)</f>
        <v>-41155387</v>
      </c>
      <c r="S9" s="581">
        <f>SUM(P9:R9)</f>
        <v>0</v>
      </c>
      <c r="T9" s="246">
        <f>+S9/C9</f>
        <v>0</v>
      </c>
      <c r="U9" s="248"/>
      <c r="V9" s="232">
        <f>+S9-E9+C9</f>
        <v>-41155387</v>
      </c>
    </row>
    <row r="10" spans="1:27" ht="13.8" x14ac:dyDescent="0.25">
      <c r="A10" s="77"/>
      <c r="B10" s="238"/>
      <c r="C10" s="79"/>
      <c r="D10" s="79"/>
      <c r="E10" s="79"/>
      <c r="F10" s="79"/>
      <c r="G10" s="79"/>
      <c r="H10" s="79"/>
      <c r="I10" s="79"/>
      <c r="J10" s="79"/>
      <c r="K10" s="79"/>
      <c r="L10" s="630"/>
      <c r="M10" s="637"/>
      <c r="N10" s="637"/>
      <c r="O10" s="644"/>
      <c r="P10" s="79"/>
      <c r="Q10" s="79"/>
      <c r="R10" s="79"/>
      <c r="S10" s="79"/>
      <c r="T10" s="239"/>
      <c r="U10" s="240"/>
      <c r="V10" s="241"/>
    </row>
    <row r="11" spans="1:27" s="1" customFormat="1" ht="64.5" customHeight="1" x14ac:dyDescent="0.25">
      <c r="A11" s="27" t="s">
        <v>366</v>
      </c>
      <c r="B11" s="27" t="s">
        <v>364</v>
      </c>
      <c r="C11" s="520" t="s">
        <v>485</v>
      </c>
      <c r="D11" s="358" t="s">
        <v>486</v>
      </c>
      <c r="E11" s="358" t="s">
        <v>487</v>
      </c>
      <c r="F11" s="521" t="s">
        <v>488</v>
      </c>
      <c r="G11" s="358"/>
      <c r="H11" s="494" t="s">
        <v>498</v>
      </c>
      <c r="I11" s="359" t="s">
        <v>499</v>
      </c>
      <c r="J11" s="359" t="s">
        <v>500</v>
      </c>
      <c r="K11" s="358"/>
      <c r="L11" s="360" t="s">
        <v>501</v>
      </c>
      <c r="M11" s="360" t="s">
        <v>502</v>
      </c>
      <c r="N11" s="495" t="s">
        <v>503</v>
      </c>
      <c r="O11" s="358"/>
      <c r="P11" s="494" t="s">
        <v>495</v>
      </c>
      <c r="Q11" s="359" t="s">
        <v>496</v>
      </c>
      <c r="R11" s="359" t="s">
        <v>497</v>
      </c>
      <c r="S11" s="359" t="s">
        <v>398</v>
      </c>
      <c r="T11" s="495" t="s">
        <v>399</v>
      </c>
      <c r="U11" s="28"/>
      <c r="V11" s="132" t="s">
        <v>403</v>
      </c>
    </row>
    <row r="12" spans="1:27" x14ac:dyDescent="0.25">
      <c r="A12" s="43"/>
      <c r="B12" s="20"/>
      <c r="C12" s="68"/>
      <c r="D12" s="69"/>
      <c r="E12" s="69"/>
      <c r="F12" s="69"/>
      <c r="G12" s="69"/>
      <c r="H12" s="81"/>
      <c r="I12" s="81"/>
      <c r="J12" s="81"/>
      <c r="K12" s="69"/>
      <c r="L12" s="630"/>
      <c r="M12" s="630"/>
      <c r="N12" s="630"/>
      <c r="O12" s="645"/>
      <c r="P12" s="81"/>
      <c r="Q12" s="81"/>
      <c r="R12" s="81"/>
      <c r="S12" s="81"/>
      <c r="T12" s="152"/>
      <c r="U12" s="191"/>
      <c r="V12" s="195"/>
    </row>
    <row r="13" spans="1:27" x14ac:dyDescent="0.25">
      <c r="A13" s="4" t="s">
        <v>0</v>
      </c>
      <c r="B13" s="3" t="s">
        <v>3</v>
      </c>
      <c r="C13" s="67">
        <f t="shared" ref="C13" si="0">SUM(C14:C28)</f>
        <v>81675000</v>
      </c>
      <c r="D13" s="67">
        <f>SUM(D14:D28)</f>
        <v>81675000</v>
      </c>
      <c r="E13" s="67">
        <f>SUM(E14:E28)</f>
        <v>81975000</v>
      </c>
      <c r="F13" s="67">
        <f>SUM(F14:F28)</f>
        <v>80421076</v>
      </c>
      <c r="G13" s="67"/>
      <c r="H13" s="80">
        <f t="shared" ref="H13" si="1">SUM(H14:H28)</f>
        <v>38263401</v>
      </c>
      <c r="I13" s="80">
        <f>SUM(I14:I28)</f>
        <v>60388498</v>
      </c>
      <c r="J13" s="80">
        <f>SUM(J14:J28)</f>
        <v>80421076</v>
      </c>
      <c r="K13" s="67"/>
      <c r="L13" s="631">
        <f t="shared" ref="L13" si="2">IF(H13&gt;0,H13/C13,0)</f>
        <v>0.46848363636363638</v>
      </c>
      <c r="M13" s="631">
        <f t="shared" ref="M13" si="3">IF(I13&gt;0,I13/D13,0)</f>
        <v>0.73937554943373129</v>
      </c>
      <c r="N13" s="631">
        <f t="shared" ref="N13" si="4">IF(J13&gt;0,J13/E13,0)</f>
        <v>0.98104392802683749</v>
      </c>
      <c r="O13" s="641"/>
      <c r="P13" s="80">
        <f>IF(D13&gt;0,+D13-C13,0)</f>
        <v>0</v>
      </c>
      <c r="Q13" s="80">
        <f>IF(E13&gt;0,+E13-D13,0)</f>
        <v>300000</v>
      </c>
      <c r="R13" s="80">
        <f>IF(F13&gt;0,+F13-E13,0)</f>
        <v>-1553924</v>
      </c>
      <c r="S13" s="80">
        <f t="shared" ref="S13:S14" si="5">+P13*P$8+Q13*Q$8+Q13*G$8</f>
        <v>300000</v>
      </c>
      <c r="T13" s="85">
        <f>IF(C13=0,0,+S13/C13)</f>
        <v>3.6730945821854912E-3</v>
      </c>
      <c r="U13" s="190"/>
      <c r="V13" s="195">
        <f t="shared" ref="V13:V44" si="6">+S13-E13+C13</f>
        <v>0</v>
      </c>
    </row>
    <row r="14" spans="1:27" x14ac:dyDescent="0.25">
      <c r="A14" s="43" t="s">
        <v>1</v>
      </c>
      <c r="B14" s="20"/>
      <c r="C14" s="68"/>
      <c r="D14" s="69"/>
      <c r="E14" s="69"/>
      <c r="F14" s="69"/>
      <c r="G14" s="69"/>
      <c r="H14" s="81"/>
      <c r="I14" s="81"/>
      <c r="J14" s="81"/>
      <c r="K14" s="69"/>
      <c r="L14" s="630"/>
      <c r="M14" s="630"/>
      <c r="N14" s="630"/>
      <c r="O14" s="645"/>
      <c r="P14" s="81"/>
      <c r="Q14" s="81"/>
      <c r="R14" s="81"/>
      <c r="S14" s="81">
        <f t="shared" si="5"/>
        <v>0</v>
      </c>
      <c r="T14" s="85"/>
      <c r="U14" s="191"/>
      <c r="V14" s="195">
        <f t="shared" si="6"/>
        <v>0</v>
      </c>
    </row>
    <row r="15" spans="1:27" x14ac:dyDescent="0.25">
      <c r="A15" s="43" t="s">
        <v>2</v>
      </c>
      <c r="B15" s="20" t="s">
        <v>356</v>
      </c>
      <c r="C15" s="68">
        <v>53350000</v>
      </c>
      <c r="D15" s="68">
        <v>53350000</v>
      </c>
      <c r="E15" s="68">
        <v>53350000</v>
      </c>
      <c r="F15" s="69">
        <v>49144563</v>
      </c>
      <c r="G15" s="69"/>
      <c r="H15" s="81">
        <v>24238354</v>
      </c>
      <c r="I15" s="81">
        <v>37994541</v>
      </c>
      <c r="J15" s="81">
        <v>49144563</v>
      </c>
      <c r="K15" s="69"/>
      <c r="L15" s="630">
        <f t="shared" ref="L15:N15" si="7">IF(H15&gt;0,H15/C15,0)</f>
        <v>0.45432716026241798</v>
      </c>
      <c r="M15" s="630">
        <f t="shared" si="7"/>
        <v>0.71217508903467663</v>
      </c>
      <c r="N15" s="630">
        <f t="shared" si="7"/>
        <v>0.92117268978444233</v>
      </c>
      <c r="O15" s="645"/>
      <c r="P15" s="81">
        <f t="shared" ref="P15:P23" si="8">+(D15-C15)*P$8</f>
        <v>0</v>
      </c>
      <c r="Q15" s="81">
        <f t="shared" ref="Q15:Q23" si="9">+(E15-D15)*Q$8</f>
        <v>0</v>
      </c>
      <c r="R15" s="81">
        <f t="shared" ref="R15:R23" si="10">+(F15-E15)*R$8</f>
        <v>0</v>
      </c>
      <c r="S15" s="81">
        <f>+P15*P$8+Q15*Q$8+Q15*G$8</f>
        <v>0</v>
      </c>
      <c r="T15" s="85">
        <f t="shared" ref="T15:T23" si="11">IF(C15=0,0,+S15/C15)</f>
        <v>0</v>
      </c>
      <c r="U15" s="191"/>
      <c r="V15" s="195">
        <f t="shared" si="6"/>
        <v>0</v>
      </c>
    </row>
    <row r="16" spans="1:27" ht="29.4" customHeight="1" x14ac:dyDescent="0.25">
      <c r="A16" s="482" t="s">
        <v>507</v>
      </c>
      <c r="B16" s="482" t="s">
        <v>508</v>
      </c>
      <c r="C16" s="68">
        <v>2215000</v>
      </c>
      <c r="D16" s="68">
        <f>350000+2321000</f>
        <v>2671000</v>
      </c>
      <c r="E16" s="68">
        <f>350000+2321000</f>
        <v>2671000</v>
      </c>
      <c r="F16" s="69">
        <f>796206+1904292</f>
        <v>2700498</v>
      </c>
      <c r="G16" s="69"/>
      <c r="H16" s="81">
        <f>340406+870550</f>
        <v>1210956</v>
      </c>
      <c r="I16" s="81">
        <f>340406+1493825</f>
        <v>1834231</v>
      </c>
      <c r="J16" s="81">
        <f>796206+1904292</f>
        <v>2700498</v>
      </c>
      <c r="K16" s="69"/>
      <c r="L16" s="630">
        <f t="shared" ref="L16:L27" si="12">IF(H16&gt;0,H16/C16,0)</f>
        <v>0.54670699774266363</v>
      </c>
      <c r="M16" s="630">
        <f t="shared" ref="M16:M27" si="13">IF(I16&gt;0,I16/D16,0)</f>
        <v>0.68672070385623363</v>
      </c>
      <c r="N16" s="630">
        <f t="shared" ref="N16:N27" si="14">IF(J16&gt;0,J16/E16,0)</f>
        <v>1.0110438038187946</v>
      </c>
      <c r="O16" s="645"/>
      <c r="P16" s="81">
        <f t="shared" si="8"/>
        <v>456000</v>
      </c>
      <c r="Q16" s="81">
        <f t="shared" si="9"/>
        <v>0</v>
      </c>
      <c r="R16" s="81">
        <f t="shared" si="10"/>
        <v>0</v>
      </c>
      <c r="S16" s="81">
        <f t="shared" ref="S16:S27" si="15">+P16*P$8+Q16*Q$8+Q16*G$8</f>
        <v>456000</v>
      </c>
      <c r="T16" s="85">
        <f t="shared" si="11"/>
        <v>0.20586907449209932</v>
      </c>
      <c r="U16" s="191"/>
      <c r="V16" s="195">
        <f t="shared" si="6"/>
        <v>0</v>
      </c>
    </row>
    <row r="17" spans="1:22" x14ac:dyDescent="0.25">
      <c r="A17" s="43" t="s">
        <v>11</v>
      </c>
      <c r="B17" s="20" t="s">
        <v>4</v>
      </c>
      <c r="C17" s="68">
        <v>0</v>
      </c>
      <c r="D17" s="68">
        <v>0</v>
      </c>
      <c r="E17" s="68">
        <v>0</v>
      </c>
      <c r="F17" s="69">
        <v>0</v>
      </c>
      <c r="G17" s="69"/>
      <c r="H17" s="81">
        <v>0</v>
      </c>
      <c r="I17" s="81">
        <v>0</v>
      </c>
      <c r="J17" s="81">
        <v>0</v>
      </c>
      <c r="K17" s="69"/>
      <c r="L17" s="630">
        <f t="shared" si="12"/>
        <v>0</v>
      </c>
      <c r="M17" s="630">
        <f t="shared" si="13"/>
        <v>0</v>
      </c>
      <c r="N17" s="630">
        <f t="shared" si="14"/>
        <v>0</v>
      </c>
      <c r="O17" s="645"/>
      <c r="P17" s="81">
        <f t="shared" si="8"/>
        <v>0</v>
      </c>
      <c r="Q17" s="81">
        <f t="shared" si="9"/>
        <v>0</v>
      </c>
      <c r="R17" s="81">
        <f t="shared" si="10"/>
        <v>0</v>
      </c>
      <c r="S17" s="81">
        <f t="shared" si="15"/>
        <v>0</v>
      </c>
      <c r="T17" s="85">
        <f t="shared" si="11"/>
        <v>0</v>
      </c>
      <c r="U17" s="191"/>
      <c r="V17" s="195">
        <f t="shared" si="6"/>
        <v>0</v>
      </c>
    </row>
    <row r="18" spans="1:22" x14ac:dyDescent="0.25">
      <c r="A18" s="529" t="s">
        <v>376</v>
      </c>
      <c r="B18" s="20" t="s">
        <v>5</v>
      </c>
      <c r="C18" s="68">
        <v>0</v>
      </c>
      <c r="D18" s="68">
        <v>0</v>
      </c>
      <c r="E18" s="68">
        <v>0</v>
      </c>
      <c r="F18" s="69">
        <v>0</v>
      </c>
      <c r="G18" s="69"/>
      <c r="H18" s="81">
        <v>0</v>
      </c>
      <c r="I18" s="81">
        <v>0</v>
      </c>
      <c r="J18" s="81">
        <v>0</v>
      </c>
      <c r="K18" s="69"/>
      <c r="L18" s="630">
        <f t="shared" si="12"/>
        <v>0</v>
      </c>
      <c r="M18" s="630">
        <f t="shared" si="13"/>
        <v>0</v>
      </c>
      <c r="N18" s="630">
        <f t="shared" si="14"/>
        <v>0</v>
      </c>
      <c r="O18" s="645"/>
      <c r="P18" s="81">
        <f t="shared" si="8"/>
        <v>0</v>
      </c>
      <c r="Q18" s="81">
        <f t="shared" si="9"/>
        <v>0</v>
      </c>
      <c r="R18" s="81">
        <f t="shared" si="10"/>
        <v>0</v>
      </c>
      <c r="S18" s="81">
        <f t="shared" si="15"/>
        <v>0</v>
      </c>
      <c r="T18" s="85">
        <f t="shared" si="11"/>
        <v>0</v>
      </c>
      <c r="U18" s="191"/>
      <c r="V18" s="195">
        <f t="shared" si="6"/>
        <v>0</v>
      </c>
    </row>
    <row r="19" spans="1:22" x14ac:dyDescent="0.25">
      <c r="A19" s="43" t="s">
        <v>12</v>
      </c>
      <c r="B19" s="20" t="s">
        <v>6</v>
      </c>
      <c r="C19" s="68">
        <v>0</v>
      </c>
      <c r="D19" s="68">
        <v>0</v>
      </c>
      <c r="E19" s="68">
        <v>0</v>
      </c>
      <c r="F19" s="69">
        <v>284580</v>
      </c>
      <c r="G19" s="69"/>
      <c r="H19" s="81">
        <v>0</v>
      </c>
      <c r="I19" s="81">
        <v>0</v>
      </c>
      <c r="J19" s="81">
        <v>284580</v>
      </c>
      <c r="K19" s="69"/>
      <c r="L19" s="630">
        <f t="shared" si="12"/>
        <v>0</v>
      </c>
      <c r="M19" s="630">
        <f t="shared" si="13"/>
        <v>0</v>
      </c>
      <c r="N19" s="630" t="e">
        <f t="shared" si="14"/>
        <v>#DIV/0!</v>
      </c>
      <c r="O19" s="645"/>
      <c r="P19" s="81">
        <f t="shared" si="8"/>
        <v>0</v>
      </c>
      <c r="Q19" s="81">
        <f t="shared" si="9"/>
        <v>0</v>
      </c>
      <c r="R19" s="81">
        <f t="shared" si="10"/>
        <v>0</v>
      </c>
      <c r="S19" s="81">
        <f t="shared" si="15"/>
        <v>0</v>
      </c>
      <c r="T19" s="85">
        <f t="shared" si="11"/>
        <v>0</v>
      </c>
      <c r="U19" s="191"/>
      <c r="V19" s="195">
        <f t="shared" si="6"/>
        <v>0</v>
      </c>
    </row>
    <row r="20" spans="1:22" x14ac:dyDescent="0.25">
      <c r="A20" s="43" t="s">
        <v>13</v>
      </c>
      <c r="B20" s="20" t="s">
        <v>7</v>
      </c>
      <c r="C20" s="68">
        <v>0</v>
      </c>
      <c r="D20" s="68">
        <v>0</v>
      </c>
      <c r="E20" s="68">
        <v>0</v>
      </c>
      <c r="F20" s="69">
        <v>0</v>
      </c>
      <c r="G20" s="69"/>
      <c r="H20" s="81">
        <v>0</v>
      </c>
      <c r="I20" s="81">
        <v>0</v>
      </c>
      <c r="J20" s="81">
        <v>0</v>
      </c>
      <c r="K20" s="69"/>
      <c r="L20" s="630">
        <f t="shared" si="12"/>
        <v>0</v>
      </c>
      <c r="M20" s="630">
        <f t="shared" si="13"/>
        <v>0</v>
      </c>
      <c r="N20" s="630">
        <f t="shared" si="14"/>
        <v>0</v>
      </c>
      <c r="O20" s="645"/>
      <c r="P20" s="81">
        <f t="shared" si="8"/>
        <v>0</v>
      </c>
      <c r="Q20" s="81">
        <f t="shared" si="9"/>
        <v>0</v>
      </c>
      <c r="R20" s="81">
        <f t="shared" si="10"/>
        <v>0</v>
      </c>
      <c r="S20" s="81">
        <f t="shared" si="15"/>
        <v>0</v>
      </c>
      <c r="T20" s="85">
        <f t="shared" si="11"/>
        <v>0</v>
      </c>
      <c r="U20" s="191"/>
      <c r="V20" s="195">
        <f t="shared" si="6"/>
        <v>0</v>
      </c>
    </row>
    <row r="21" spans="1:22" x14ac:dyDescent="0.25">
      <c r="A21" s="43" t="s">
        <v>14</v>
      </c>
      <c r="B21" s="20" t="s">
        <v>8</v>
      </c>
      <c r="C21" s="68">
        <v>1000000</v>
      </c>
      <c r="D21" s="68">
        <v>909000</v>
      </c>
      <c r="E21" s="68">
        <v>909000</v>
      </c>
      <c r="F21" s="69">
        <v>0</v>
      </c>
      <c r="G21" s="69"/>
      <c r="H21" s="81">
        <v>0</v>
      </c>
      <c r="I21" s="81">
        <v>0</v>
      </c>
      <c r="J21" s="81">
        <v>0</v>
      </c>
      <c r="K21" s="69"/>
      <c r="L21" s="630">
        <f t="shared" si="12"/>
        <v>0</v>
      </c>
      <c r="M21" s="630">
        <f t="shared" si="13"/>
        <v>0</v>
      </c>
      <c r="N21" s="630">
        <f t="shared" si="14"/>
        <v>0</v>
      </c>
      <c r="O21" s="645"/>
      <c r="P21" s="81">
        <f t="shared" si="8"/>
        <v>-91000</v>
      </c>
      <c r="Q21" s="81">
        <f t="shared" si="9"/>
        <v>0</v>
      </c>
      <c r="R21" s="81">
        <f t="shared" si="10"/>
        <v>0</v>
      </c>
      <c r="S21" s="81">
        <f t="shared" si="15"/>
        <v>-91000</v>
      </c>
      <c r="T21" s="85">
        <f t="shared" si="11"/>
        <v>-9.0999999999999998E-2</v>
      </c>
      <c r="U21" s="191"/>
      <c r="V21" s="195">
        <f t="shared" si="6"/>
        <v>0</v>
      </c>
    </row>
    <row r="22" spans="1:22" x14ac:dyDescent="0.25">
      <c r="A22" s="43" t="s">
        <v>15</v>
      </c>
      <c r="B22" s="20" t="s">
        <v>9</v>
      </c>
      <c r="C22" s="68">
        <v>0</v>
      </c>
      <c r="D22" s="68">
        <v>0</v>
      </c>
      <c r="E22" s="68">
        <v>0</v>
      </c>
      <c r="F22" s="69">
        <v>0</v>
      </c>
      <c r="G22" s="69"/>
      <c r="H22" s="81">
        <v>0</v>
      </c>
      <c r="I22" s="81">
        <v>0</v>
      </c>
      <c r="J22" s="81">
        <v>0</v>
      </c>
      <c r="K22" s="69"/>
      <c r="L22" s="630">
        <f t="shared" si="12"/>
        <v>0</v>
      </c>
      <c r="M22" s="630">
        <f t="shared" si="13"/>
        <v>0</v>
      </c>
      <c r="N22" s="630">
        <f t="shared" si="14"/>
        <v>0</v>
      </c>
      <c r="O22" s="645"/>
      <c r="P22" s="81">
        <f t="shared" si="8"/>
        <v>0</v>
      </c>
      <c r="Q22" s="81">
        <f t="shared" si="9"/>
        <v>0</v>
      </c>
      <c r="R22" s="81">
        <f t="shared" si="10"/>
        <v>0</v>
      </c>
      <c r="S22" s="81">
        <f t="shared" si="15"/>
        <v>0</v>
      </c>
      <c r="T22" s="85">
        <f t="shared" si="11"/>
        <v>0</v>
      </c>
      <c r="U22" s="191"/>
      <c r="V22" s="195">
        <f t="shared" si="6"/>
        <v>0</v>
      </c>
    </row>
    <row r="23" spans="1:22" x14ac:dyDescent="0.25">
      <c r="A23" s="43" t="s">
        <v>16</v>
      </c>
      <c r="B23" s="20" t="s">
        <v>10</v>
      </c>
      <c r="C23" s="68">
        <v>1370000</v>
      </c>
      <c r="D23" s="68">
        <v>1370000</v>
      </c>
      <c r="E23" s="68">
        <v>1370000</v>
      </c>
      <c r="F23" s="69">
        <v>1832402</v>
      </c>
      <c r="G23" s="69"/>
      <c r="H23" s="81">
        <v>580233</v>
      </c>
      <c r="I23" s="81">
        <v>1053816</v>
      </c>
      <c r="J23" s="81">
        <v>1832402</v>
      </c>
      <c r="K23" s="69"/>
      <c r="L23" s="630">
        <f t="shared" si="12"/>
        <v>0.42352773722627735</v>
      </c>
      <c r="M23" s="630">
        <f t="shared" si="13"/>
        <v>0.76920875912408759</v>
      </c>
      <c r="N23" s="630">
        <f t="shared" si="14"/>
        <v>1.3375197080291972</v>
      </c>
      <c r="O23" s="645"/>
      <c r="P23" s="81">
        <f t="shared" si="8"/>
        <v>0</v>
      </c>
      <c r="Q23" s="81">
        <f t="shared" si="9"/>
        <v>0</v>
      </c>
      <c r="R23" s="81">
        <f t="shared" si="10"/>
        <v>0</v>
      </c>
      <c r="S23" s="81">
        <f t="shared" si="15"/>
        <v>0</v>
      </c>
      <c r="T23" s="85">
        <f t="shared" si="11"/>
        <v>0</v>
      </c>
      <c r="U23" s="191"/>
      <c r="V23" s="195">
        <f t="shared" si="6"/>
        <v>0</v>
      </c>
    </row>
    <row r="24" spans="1:22" x14ac:dyDescent="0.25">
      <c r="A24" s="43" t="s">
        <v>17</v>
      </c>
      <c r="B24" s="20"/>
      <c r="C24" s="68"/>
      <c r="D24" s="68"/>
      <c r="E24" s="68"/>
      <c r="F24" s="69"/>
      <c r="G24" s="69"/>
      <c r="H24" s="81"/>
      <c r="I24" s="81"/>
      <c r="J24" s="81"/>
      <c r="K24" s="69"/>
      <c r="L24" s="630">
        <f t="shared" si="12"/>
        <v>0</v>
      </c>
      <c r="M24" s="630">
        <f t="shared" si="13"/>
        <v>0</v>
      </c>
      <c r="N24" s="630">
        <f t="shared" si="14"/>
        <v>0</v>
      </c>
      <c r="O24" s="645"/>
      <c r="P24" s="81"/>
      <c r="Q24" s="81"/>
      <c r="R24" s="81"/>
      <c r="S24" s="81">
        <f t="shared" si="15"/>
        <v>0</v>
      </c>
      <c r="T24" s="85"/>
      <c r="U24" s="191"/>
      <c r="V24" s="195">
        <f t="shared" si="6"/>
        <v>0</v>
      </c>
    </row>
    <row r="25" spans="1:22" x14ac:dyDescent="0.25">
      <c r="A25" s="14" t="s">
        <v>18</v>
      </c>
      <c r="B25" s="20" t="s">
        <v>19</v>
      </c>
      <c r="C25" s="68">
        <v>19990000</v>
      </c>
      <c r="D25" s="68">
        <v>20100000</v>
      </c>
      <c r="E25" s="68">
        <v>20100000</v>
      </c>
      <c r="F25" s="69">
        <v>23321857</v>
      </c>
      <c r="G25" s="69"/>
      <c r="H25" s="81">
        <v>10698368</v>
      </c>
      <c r="I25" s="81">
        <v>17190325</v>
      </c>
      <c r="J25" s="81">
        <v>23321857</v>
      </c>
      <c r="K25" s="69"/>
      <c r="L25" s="630">
        <f t="shared" si="12"/>
        <v>0.53518599299649827</v>
      </c>
      <c r="M25" s="630">
        <f t="shared" si="13"/>
        <v>0.85524004975124379</v>
      </c>
      <c r="N25" s="630">
        <f t="shared" si="14"/>
        <v>1.160291393034826</v>
      </c>
      <c r="O25" s="645"/>
      <c r="P25" s="81">
        <f t="shared" ref="P25:R27" si="16">+(D25-C25)*P$8</f>
        <v>110000</v>
      </c>
      <c r="Q25" s="81">
        <f t="shared" si="16"/>
        <v>0</v>
      </c>
      <c r="R25" s="81">
        <f t="shared" si="16"/>
        <v>0</v>
      </c>
      <c r="S25" s="81">
        <f t="shared" si="15"/>
        <v>110000</v>
      </c>
      <c r="T25" s="85">
        <f>IF(C25=0,0,+S25/C25)</f>
        <v>5.5027513756878439E-3</v>
      </c>
      <c r="U25" s="191"/>
      <c r="V25" s="195">
        <f t="shared" si="6"/>
        <v>0</v>
      </c>
    </row>
    <row r="26" spans="1:22" x14ac:dyDescent="0.25">
      <c r="A26" s="14" t="s">
        <v>20</v>
      </c>
      <c r="B26" s="20" t="s">
        <v>21</v>
      </c>
      <c r="C26" s="68">
        <v>1310000</v>
      </c>
      <c r="D26" s="68">
        <v>1310000</v>
      </c>
      <c r="E26" s="68">
        <v>1310000</v>
      </c>
      <c r="F26" s="69">
        <v>835347</v>
      </c>
      <c r="G26" s="69"/>
      <c r="H26" s="81">
        <v>552747</v>
      </c>
      <c r="I26" s="81">
        <v>694047</v>
      </c>
      <c r="J26" s="81">
        <v>835347</v>
      </c>
      <c r="K26" s="69"/>
      <c r="L26" s="630">
        <f t="shared" si="12"/>
        <v>0.4219442748091603</v>
      </c>
      <c r="M26" s="630">
        <f t="shared" si="13"/>
        <v>0.52980687022900763</v>
      </c>
      <c r="N26" s="630">
        <f t="shared" si="14"/>
        <v>0.63766946564885496</v>
      </c>
      <c r="O26" s="645"/>
      <c r="P26" s="81">
        <f t="shared" si="16"/>
        <v>0</v>
      </c>
      <c r="Q26" s="81">
        <f t="shared" si="16"/>
        <v>0</v>
      </c>
      <c r="R26" s="81">
        <f t="shared" si="16"/>
        <v>0</v>
      </c>
      <c r="S26" s="81">
        <f t="shared" si="15"/>
        <v>0</v>
      </c>
      <c r="T26" s="85">
        <f>IF(C26=0,0,+S26/C26)</f>
        <v>0</v>
      </c>
      <c r="U26" s="191"/>
      <c r="V26" s="195">
        <f t="shared" si="6"/>
        <v>0</v>
      </c>
    </row>
    <row r="27" spans="1:22" x14ac:dyDescent="0.25">
      <c r="A27" s="14" t="s">
        <v>22</v>
      </c>
      <c r="B27" s="20" t="s">
        <v>23</v>
      </c>
      <c r="C27" s="68">
        <v>2440000</v>
      </c>
      <c r="D27" s="68">
        <v>1965000</v>
      </c>
      <c r="E27" s="68">
        <v>2265000</v>
      </c>
      <c r="F27" s="69">
        <v>2301829</v>
      </c>
      <c r="G27" s="69"/>
      <c r="H27" s="81">
        <v>982743</v>
      </c>
      <c r="I27" s="81">
        <v>1621538</v>
      </c>
      <c r="J27" s="81">
        <v>2301829</v>
      </c>
      <c r="K27" s="69"/>
      <c r="L27" s="630">
        <f t="shared" si="12"/>
        <v>0.40276352459016396</v>
      </c>
      <c r="M27" s="630">
        <f t="shared" si="13"/>
        <v>0.82521017811704833</v>
      </c>
      <c r="N27" s="630">
        <f t="shared" si="14"/>
        <v>1.0162600441501104</v>
      </c>
      <c r="O27" s="645"/>
      <c r="P27" s="81">
        <f t="shared" si="16"/>
        <v>-475000</v>
      </c>
      <c r="Q27" s="81">
        <f t="shared" si="16"/>
        <v>300000</v>
      </c>
      <c r="R27" s="81">
        <f t="shared" si="16"/>
        <v>0</v>
      </c>
      <c r="S27" s="81">
        <f t="shared" si="15"/>
        <v>-175000</v>
      </c>
      <c r="T27" s="85">
        <f>IF(C27=0,0,+S27/C27)</f>
        <v>-7.1721311475409832E-2</v>
      </c>
      <c r="U27" s="191"/>
      <c r="V27" s="195">
        <f t="shared" si="6"/>
        <v>0</v>
      </c>
    </row>
    <row r="28" spans="1:22" x14ac:dyDescent="0.25">
      <c r="C28" s="68"/>
      <c r="D28" s="69"/>
      <c r="E28" s="69"/>
      <c r="F28" s="69"/>
      <c r="G28" s="69"/>
      <c r="H28" s="81"/>
      <c r="I28" s="81"/>
      <c r="J28" s="81"/>
      <c r="K28" s="69"/>
      <c r="L28" s="630"/>
      <c r="M28" s="630"/>
      <c r="N28" s="630"/>
      <c r="O28" s="645"/>
      <c r="P28" s="81"/>
      <c r="Q28" s="81"/>
      <c r="R28" s="81"/>
      <c r="S28" s="81"/>
      <c r="T28" s="85"/>
      <c r="U28" s="191"/>
      <c r="V28" s="195">
        <f t="shared" si="6"/>
        <v>0</v>
      </c>
    </row>
    <row r="29" spans="1:22" x14ac:dyDescent="0.25">
      <c r="A29" s="4" t="s">
        <v>24</v>
      </c>
      <c r="B29" s="3" t="s">
        <v>25</v>
      </c>
      <c r="C29" s="70">
        <f t="shared" ref="C29" si="17">SUM(C30:C31)</f>
        <v>11000000</v>
      </c>
      <c r="D29" s="70">
        <f>SUM(D30:D31)</f>
        <v>12000000</v>
      </c>
      <c r="E29" s="70">
        <f>SUM(E30:E31)</f>
        <v>12000000</v>
      </c>
      <c r="F29" s="70">
        <f>SUM(F30:F31)</f>
        <v>12596487</v>
      </c>
      <c r="G29" s="70"/>
      <c r="H29" s="82">
        <f t="shared" ref="H29" si="18">SUM(H30:H31)</f>
        <v>6346491</v>
      </c>
      <c r="I29" s="82">
        <f>SUM(I30:I31)</f>
        <v>9310448</v>
      </c>
      <c r="J29" s="82">
        <f t="shared" ref="J29" si="19">SUM(J30:J31)</f>
        <v>12596487</v>
      </c>
      <c r="K29" s="70"/>
      <c r="L29" s="631">
        <f>H29/C29</f>
        <v>0.57695372727272731</v>
      </c>
      <c r="M29" s="631">
        <f>I29/D29</f>
        <v>0.77587066666666671</v>
      </c>
      <c r="N29" s="631">
        <f>+J29/E29</f>
        <v>1.04970725</v>
      </c>
      <c r="O29" s="641"/>
      <c r="P29" s="82">
        <f>IF(D29&gt;0,+D29-C29,0)</f>
        <v>1000000</v>
      </c>
      <c r="Q29" s="82">
        <f>IF(E29&gt;0,+E29-D29,0)</f>
        <v>0</v>
      </c>
      <c r="R29" s="82">
        <f>IF(F29&gt;0,+F29-E29,0)</f>
        <v>596487</v>
      </c>
      <c r="S29" s="82">
        <f t="shared" ref="S29:S30" si="20">+P29*P$8+Q29*Q$8+Q29*G$8</f>
        <v>1000000</v>
      </c>
      <c r="T29" s="85">
        <f>IF(C29=0,0,+S29/C29)</f>
        <v>9.0909090909090912E-2</v>
      </c>
      <c r="U29" s="192"/>
      <c r="V29" s="195">
        <f t="shared" si="6"/>
        <v>0</v>
      </c>
    </row>
    <row r="30" spans="1:22" x14ac:dyDescent="0.25">
      <c r="B30" s="20" t="s">
        <v>26</v>
      </c>
      <c r="C30" s="71">
        <v>11000000</v>
      </c>
      <c r="D30" s="71">
        <v>12000000</v>
      </c>
      <c r="E30" s="69">
        <v>12000000</v>
      </c>
      <c r="F30" s="69">
        <v>12596487</v>
      </c>
      <c r="G30" s="69"/>
      <c r="H30" s="81">
        <v>6346491</v>
      </c>
      <c r="I30" s="81">
        <v>9310448</v>
      </c>
      <c r="J30" s="81">
        <v>12596487</v>
      </c>
      <c r="K30" s="69"/>
      <c r="L30" s="630">
        <f>H30/C30</f>
        <v>0.57695372727272731</v>
      </c>
      <c r="M30" s="630">
        <f>I30/D30</f>
        <v>0.77587066666666671</v>
      </c>
      <c r="N30" s="630">
        <f>+J30/E30</f>
        <v>1.04970725</v>
      </c>
      <c r="O30" s="645"/>
      <c r="P30" s="81">
        <f>+(D30-C30)*P$8</f>
        <v>1000000</v>
      </c>
      <c r="Q30" s="81">
        <f>+(E30-D30)*Q$8</f>
        <v>0</v>
      </c>
      <c r="R30" s="81">
        <f>+(F30-E30)*R$8</f>
        <v>0</v>
      </c>
      <c r="S30" s="81">
        <f t="shared" si="20"/>
        <v>1000000</v>
      </c>
      <c r="T30" s="85">
        <f>IF(C30=0,0,+S30/C30)</f>
        <v>9.0909090909090912E-2</v>
      </c>
      <c r="U30" s="191"/>
      <c r="V30" s="195">
        <f t="shared" si="6"/>
        <v>0</v>
      </c>
    </row>
    <row r="31" spans="1:22" x14ac:dyDescent="0.25">
      <c r="C31" s="71"/>
      <c r="D31" s="69"/>
      <c r="E31" s="69"/>
      <c r="F31" s="69"/>
      <c r="G31" s="69"/>
      <c r="H31" s="81"/>
      <c r="I31" s="81"/>
      <c r="J31" s="81"/>
      <c r="K31" s="69"/>
      <c r="L31" s="630"/>
      <c r="M31" s="630"/>
      <c r="N31" s="630"/>
      <c r="O31" s="645"/>
      <c r="P31" s="81"/>
      <c r="Q31" s="81"/>
      <c r="R31" s="81"/>
      <c r="S31" s="81"/>
      <c r="T31" s="85"/>
      <c r="U31" s="191"/>
      <c r="V31" s="195">
        <f t="shared" si="6"/>
        <v>0</v>
      </c>
    </row>
    <row r="32" spans="1:22" x14ac:dyDescent="0.25">
      <c r="A32" s="4" t="s">
        <v>27</v>
      </c>
      <c r="B32" s="3" t="s">
        <v>28</v>
      </c>
      <c r="C32" s="66">
        <f t="shared" ref="C32" si="21">SUM(C33:C80)</f>
        <v>341413654</v>
      </c>
      <c r="D32" s="66">
        <f>SUM(D33:D80)</f>
        <v>325013405</v>
      </c>
      <c r="E32" s="66">
        <f>SUM(E33:E80)</f>
        <v>340318206</v>
      </c>
      <c r="F32" s="66">
        <f>SUM(F33:F80)</f>
        <v>286646085</v>
      </c>
      <c r="G32" s="66"/>
      <c r="H32" s="83">
        <f t="shared" ref="H32" si="22">SUM(H33:H80)</f>
        <v>173982237</v>
      </c>
      <c r="I32" s="83">
        <f>SUM(I33:I80)</f>
        <v>203143318</v>
      </c>
      <c r="J32" s="83">
        <f>SUM(J33:J80)</f>
        <v>274439172</v>
      </c>
      <c r="K32" s="66"/>
      <c r="L32" s="631">
        <f t="shared" ref="L32:L34" si="23">IF(H32&gt;0,H32/C32,0)</f>
        <v>0.50959367020511726</v>
      </c>
      <c r="M32" s="631">
        <f t="shared" ref="M32:M34" si="24">IF(I32&gt;0,I32/D32,0)</f>
        <v>0.62503058296933933</v>
      </c>
      <c r="N32" s="631">
        <f t="shared" ref="N32:N34" si="25">IF(J32&gt;0,J32/E32,0)</f>
        <v>0.80641930746426183</v>
      </c>
      <c r="O32" s="646"/>
      <c r="P32" s="83">
        <f>IF(D32&gt;0,+D32-C32,0)</f>
        <v>-16400249</v>
      </c>
      <c r="Q32" s="83">
        <f>IF(E32&gt;0,+E32-D32,0)</f>
        <v>15304801</v>
      </c>
      <c r="R32" s="83">
        <f>IF(F32&gt;0,+F32-E32,0)</f>
        <v>-53672121</v>
      </c>
      <c r="S32" s="83">
        <f t="shared" ref="S32:S79" si="26">+P32*P$8+Q32*Q$8+Q32*G$8</f>
        <v>-1095448</v>
      </c>
      <c r="T32" s="85">
        <f t="shared" ref="T32:T79" si="27">IF(C32=0,0,+S32/C32)</f>
        <v>-3.2085652907132998E-3</v>
      </c>
      <c r="U32" s="193"/>
      <c r="V32" s="195">
        <f t="shared" si="6"/>
        <v>0</v>
      </c>
    </row>
    <row r="33" spans="1:22" x14ac:dyDescent="0.25">
      <c r="A33" s="14" t="s">
        <v>29</v>
      </c>
      <c r="B33" s="20" t="s">
        <v>30</v>
      </c>
      <c r="C33" s="71"/>
      <c r="D33" s="69"/>
      <c r="E33" s="69"/>
      <c r="F33" s="69"/>
      <c r="G33" s="69"/>
      <c r="H33" s="81"/>
      <c r="I33" s="81"/>
      <c r="J33" s="81"/>
      <c r="K33" s="69"/>
      <c r="L33" s="630">
        <f t="shared" si="23"/>
        <v>0</v>
      </c>
      <c r="M33" s="630">
        <f t="shared" si="24"/>
        <v>0</v>
      </c>
      <c r="N33" s="630">
        <f t="shared" si="25"/>
        <v>0</v>
      </c>
      <c r="O33" s="645"/>
      <c r="P33" s="81">
        <f t="shared" ref="P33:P79" si="28">+(D33-C33)*P$8</f>
        <v>0</v>
      </c>
      <c r="Q33" s="81">
        <f t="shared" ref="Q33:Q79" si="29">+(E33-D33)*Q$8</f>
        <v>0</v>
      </c>
      <c r="R33" s="81">
        <f t="shared" ref="R33:R79" si="30">+(F33-E33)*R$8</f>
        <v>0</v>
      </c>
      <c r="S33" s="81">
        <f t="shared" si="26"/>
        <v>0</v>
      </c>
      <c r="T33" s="85">
        <f t="shared" si="27"/>
        <v>0</v>
      </c>
      <c r="U33" s="191"/>
      <c r="V33" s="195">
        <f t="shared" si="6"/>
        <v>0</v>
      </c>
    </row>
    <row r="34" spans="1:22" x14ac:dyDescent="0.25">
      <c r="A34" s="14" t="s">
        <v>31</v>
      </c>
      <c r="B34" s="20" t="s">
        <v>33</v>
      </c>
      <c r="C34" s="71">
        <v>1000000</v>
      </c>
      <c r="D34" s="71">
        <v>1000000</v>
      </c>
      <c r="E34" s="69">
        <v>1000000</v>
      </c>
      <c r="F34" s="69">
        <v>741000</v>
      </c>
      <c r="G34" s="69"/>
      <c r="H34" s="81">
        <v>629341</v>
      </c>
      <c r="I34" s="81">
        <v>727877</v>
      </c>
      <c r="J34" s="81">
        <v>738620</v>
      </c>
      <c r="K34" s="69"/>
      <c r="L34" s="630">
        <f t="shared" si="23"/>
        <v>0.62934100000000004</v>
      </c>
      <c r="M34" s="630">
        <f t="shared" si="24"/>
        <v>0.727877</v>
      </c>
      <c r="N34" s="630">
        <f t="shared" si="25"/>
        <v>0.73862000000000005</v>
      </c>
      <c r="O34" s="645"/>
      <c r="P34" s="81">
        <f t="shared" si="28"/>
        <v>0</v>
      </c>
      <c r="Q34" s="81">
        <f t="shared" si="29"/>
        <v>0</v>
      </c>
      <c r="R34" s="81">
        <f t="shared" si="30"/>
        <v>0</v>
      </c>
      <c r="S34" s="81">
        <f t="shared" si="26"/>
        <v>0</v>
      </c>
      <c r="T34" s="85">
        <f t="shared" si="27"/>
        <v>0</v>
      </c>
      <c r="U34" s="191"/>
      <c r="V34" s="195">
        <f t="shared" si="6"/>
        <v>0</v>
      </c>
    </row>
    <row r="35" spans="1:22" x14ac:dyDescent="0.25">
      <c r="B35" s="20" t="s">
        <v>358</v>
      </c>
      <c r="C35" s="71"/>
      <c r="D35" s="71"/>
      <c r="E35" s="69"/>
      <c r="F35" s="69"/>
      <c r="G35" s="69"/>
      <c r="H35" s="81"/>
      <c r="I35" s="81"/>
      <c r="J35" s="81"/>
      <c r="K35" s="69"/>
      <c r="L35" s="630"/>
      <c r="M35" s="630"/>
      <c r="N35" s="630"/>
      <c r="O35" s="645"/>
      <c r="P35" s="81">
        <f t="shared" si="28"/>
        <v>0</v>
      </c>
      <c r="Q35" s="81">
        <f t="shared" si="29"/>
        <v>0</v>
      </c>
      <c r="R35" s="81">
        <f t="shared" si="30"/>
        <v>0</v>
      </c>
      <c r="S35" s="81">
        <f t="shared" si="26"/>
        <v>0</v>
      </c>
      <c r="T35" s="85">
        <f t="shared" si="27"/>
        <v>0</v>
      </c>
      <c r="U35" s="191"/>
      <c r="V35" s="195">
        <f t="shared" si="6"/>
        <v>0</v>
      </c>
    </row>
    <row r="36" spans="1:22" x14ac:dyDescent="0.25">
      <c r="A36" s="14" t="s">
        <v>32</v>
      </c>
      <c r="B36" s="20" t="s">
        <v>34</v>
      </c>
      <c r="C36" s="71">
        <f>25000000*1.1</f>
        <v>27500000.000000004</v>
      </c>
      <c r="D36" s="71">
        <v>32017643</v>
      </c>
      <c r="E36" s="69">
        <v>32017643</v>
      </c>
      <c r="F36" s="69">
        <v>27125000</v>
      </c>
      <c r="G36" s="69"/>
      <c r="H36" s="81">
        <v>16922125</v>
      </c>
      <c r="I36" s="81">
        <v>19608156</v>
      </c>
      <c r="J36" s="81">
        <v>24345248</v>
      </c>
      <c r="K36" s="69"/>
      <c r="L36" s="630">
        <f t="shared" ref="L36" si="31">IF(H36&gt;0,H36/C36,0)</f>
        <v>0.61534999999999995</v>
      </c>
      <c r="M36" s="630">
        <f t="shared" ref="M36" si="32">IF(I36&gt;0,I36/D36,0)</f>
        <v>0.61241722259193154</v>
      </c>
      <c r="N36" s="630">
        <f t="shared" ref="N36" si="33">IF(J36&gt;0,J36/E36,0)</f>
        <v>0.76036977487693269</v>
      </c>
      <c r="O36" s="645"/>
      <c r="P36" s="81">
        <f t="shared" si="28"/>
        <v>4517642.9999999963</v>
      </c>
      <c r="Q36" s="81">
        <f t="shared" si="29"/>
        <v>0</v>
      </c>
      <c r="R36" s="81">
        <f t="shared" si="30"/>
        <v>0</v>
      </c>
      <c r="S36" s="81">
        <f t="shared" si="26"/>
        <v>4517642.9999999963</v>
      </c>
      <c r="T36" s="85">
        <f t="shared" si="27"/>
        <v>0.16427792727272711</v>
      </c>
      <c r="U36" s="191"/>
      <c r="V36" s="195">
        <f t="shared" si="6"/>
        <v>0</v>
      </c>
    </row>
    <row r="37" spans="1:22" ht="17.25" customHeight="1" x14ac:dyDescent="0.25">
      <c r="B37" s="585" t="s">
        <v>359</v>
      </c>
      <c r="C37" s="71"/>
      <c r="D37" s="71"/>
      <c r="E37" s="69"/>
      <c r="F37" s="69"/>
      <c r="G37" s="69"/>
      <c r="H37" s="81"/>
      <c r="I37" s="81"/>
      <c r="J37" s="81"/>
      <c r="K37" s="69"/>
      <c r="L37" s="630"/>
      <c r="M37" s="630"/>
      <c r="N37" s="630"/>
      <c r="O37" s="645"/>
      <c r="P37" s="81">
        <f t="shared" si="28"/>
        <v>0</v>
      </c>
      <c r="Q37" s="81">
        <f t="shared" si="29"/>
        <v>0</v>
      </c>
      <c r="R37" s="81">
        <f t="shared" si="30"/>
        <v>0</v>
      </c>
      <c r="S37" s="81">
        <f t="shared" si="26"/>
        <v>0</v>
      </c>
      <c r="T37" s="85">
        <f t="shared" si="27"/>
        <v>0</v>
      </c>
      <c r="U37" s="191"/>
      <c r="V37" s="195">
        <f t="shared" si="6"/>
        <v>0</v>
      </c>
    </row>
    <row r="38" spans="1:22" x14ac:dyDescent="0.25">
      <c r="B38" s="20" t="s">
        <v>105</v>
      </c>
      <c r="C38" s="71"/>
      <c r="D38" s="71"/>
      <c r="E38" s="69"/>
      <c r="F38" s="69"/>
      <c r="G38" s="69"/>
      <c r="H38" s="81"/>
      <c r="I38" s="81"/>
      <c r="J38" s="81"/>
      <c r="K38" s="69"/>
      <c r="L38" s="630"/>
      <c r="M38" s="630"/>
      <c r="N38" s="630"/>
      <c r="O38" s="645"/>
      <c r="P38" s="81">
        <f t="shared" si="28"/>
        <v>0</v>
      </c>
      <c r="Q38" s="81">
        <f t="shared" si="29"/>
        <v>0</v>
      </c>
      <c r="R38" s="81">
        <f t="shared" si="30"/>
        <v>0</v>
      </c>
      <c r="S38" s="81">
        <f t="shared" si="26"/>
        <v>0</v>
      </c>
      <c r="T38" s="85">
        <f t="shared" si="27"/>
        <v>0</v>
      </c>
      <c r="U38" s="191"/>
      <c r="V38" s="195">
        <f t="shared" si="6"/>
        <v>0</v>
      </c>
    </row>
    <row r="39" spans="1:22" x14ac:dyDescent="0.25">
      <c r="A39" s="14" t="s">
        <v>35</v>
      </c>
      <c r="B39" s="20" t="s">
        <v>36</v>
      </c>
      <c r="C39" s="71"/>
      <c r="D39" s="71"/>
      <c r="E39" s="69"/>
      <c r="F39" s="69"/>
      <c r="G39" s="69"/>
      <c r="H39" s="81"/>
      <c r="I39" s="81"/>
      <c r="J39" s="81"/>
      <c r="K39" s="69"/>
      <c r="L39" s="630"/>
      <c r="M39" s="630"/>
      <c r="N39" s="630"/>
      <c r="O39" s="645"/>
      <c r="P39" s="81">
        <f t="shared" si="28"/>
        <v>0</v>
      </c>
      <c r="Q39" s="81">
        <f t="shared" si="29"/>
        <v>0</v>
      </c>
      <c r="R39" s="81">
        <f t="shared" si="30"/>
        <v>0</v>
      </c>
      <c r="S39" s="81">
        <f t="shared" si="26"/>
        <v>0</v>
      </c>
      <c r="T39" s="85">
        <f t="shared" si="27"/>
        <v>0</v>
      </c>
      <c r="U39" s="191"/>
      <c r="V39" s="195">
        <f t="shared" si="6"/>
        <v>0</v>
      </c>
    </row>
    <row r="40" spans="1:22" x14ac:dyDescent="0.25">
      <c r="A40" s="14" t="s">
        <v>37</v>
      </c>
      <c r="B40" s="20" t="s">
        <v>38</v>
      </c>
      <c r="C40" s="71">
        <v>3200000</v>
      </c>
      <c r="D40" s="71">
        <v>3200000</v>
      </c>
      <c r="E40" s="69">
        <v>3200000</v>
      </c>
      <c r="F40" s="69">
        <v>3232000</v>
      </c>
      <c r="G40" s="69"/>
      <c r="H40" s="81">
        <v>1787010</v>
      </c>
      <c r="I40" s="81">
        <v>2522015</v>
      </c>
      <c r="J40" s="81">
        <v>3231020</v>
      </c>
      <c r="K40" s="69"/>
      <c r="L40" s="630">
        <f t="shared" ref="L40:L44" si="34">IF(H40&gt;0,H40/C40,0)</f>
        <v>0.55844062500000002</v>
      </c>
      <c r="M40" s="630">
        <f t="shared" ref="M40:M44" si="35">IF(I40&gt;0,I40/D40,0)</f>
        <v>0.78812968750000001</v>
      </c>
      <c r="N40" s="630">
        <f t="shared" ref="N40:N44" si="36">IF(J40&gt;0,J40/E40,0)</f>
        <v>1.0096937500000001</v>
      </c>
      <c r="O40" s="645"/>
      <c r="P40" s="81">
        <f t="shared" si="28"/>
        <v>0</v>
      </c>
      <c r="Q40" s="81">
        <f t="shared" si="29"/>
        <v>0</v>
      </c>
      <c r="R40" s="81">
        <f t="shared" si="30"/>
        <v>0</v>
      </c>
      <c r="S40" s="81">
        <f t="shared" si="26"/>
        <v>0</v>
      </c>
      <c r="T40" s="85">
        <f t="shared" si="27"/>
        <v>0</v>
      </c>
      <c r="U40" s="191"/>
      <c r="V40" s="195">
        <f t="shared" si="6"/>
        <v>0</v>
      </c>
    </row>
    <row r="41" spans="1:22" hidden="1" x14ac:dyDescent="0.25">
      <c r="B41" s="20" t="s">
        <v>39</v>
      </c>
      <c r="C41" s="71"/>
      <c r="D41" s="71"/>
      <c r="E41" s="69"/>
      <c r="F41" s="69"/>
      <c r="G41" s="69"/>
      <c r="H41" s="81"/>
      <c r="I41" s="81"/>
      <c r="J41" s="81"/>
      <c r="K41" s="69"/>
      <c r="L41" s="630">
        <f t="shared" si="34"/>
        <v>0</v>
      </c>
      <c r="M41" s="630">
        <f t="shared" si="35"/>
        <v>0</v>
      </c>
      <c r="N41" s="630">
        <f t="shared" si="36"/>
        <v>0</v>
      </c>
      <c r="O41" s="645"/>
      <c r="P41" s="81">
        <f t="shared" si="28"/>
        <v>0</v>
      </c>
      <c r="Q41" s="81">
        <f t="shared" si="29"/>
        <v>0</v>
      </c>
      <c r="R41" s="81">
        <f t="shared" si="30"/>
        <v>0</v>
      </c>
      <c r="S41" s="81">
        <f t="shared" si="26"/>
        <v>0</v>
      </c>
      <c r="T41" s="85">
        <f t="shared" si="27"/>
        <v>0</v>
      </c>
      <c r="U41" s="191"/>
      <c r="V41" s="195">
        <f t="shared" si="6"/>
        <v>0</v>
      </c>
    </row>
    <row r="42" spans="1:22" hidden="1" x14ac:dyDescent="0.25">
      <c r="B42" s="20" t="s">
        <v>40</v>
      </c>
      <c r="C42" s="71"/>
      <c r="D42" s="71"/>
      <c r="E42" s="69"/>
      <c r="F42" s="69"/>
      <c r="G42" s="69"/>
      <c r="H42" s="81"/>
      <c r="I42" s="81"/>
      <c r="J42" s="81"/>
      <c r="K42" s="69"/>
      <c r="L42" s="630">
        <f t="shared" si="34"/>
        <v>0</v>
      </c>
      <c r="M42" s="630">
        <f t="shared" si="35"/>
        <v>0</v>
      </c>
      <c r="N42" s="630">
        <f t="shared" si="36"/>
        <v>0</v>
      </c>
      <c r="O42" s="645"/>
      <c r="P42" s="81">
        <f t="shared" si="28"/>
        <v>0</v>
      </c>
      <c r="Q42" s="81">
        <f t="shared" si="29"/>
        <v>0</v>
      </c>
      <c r="R42" s="81">
        <f t="shared" si="30"/>
        <v>0</v>
      </c>
      <c r="S42" s="81">
        <f t="shared" si="26"/>
        <v>0</v>
      </c>
      <c r="T42" s="85">
        <f t="shared" si="27"/>
        <v>0</v>
      </c>
      <c r="U42" s="191"/>
      <c r="V42" s="195">
        <f t="shared" si="6"/>
        <v>0</v>
      </c>
    </row>
    <row r="43" spans="1:22" hidden="1" x14ac:dyDescent="0.25">
      <c r="B43" s="20" t="s">
        <v>41</v>
      </c>
      <c r="C43" s="71"/>
      <c r="D43" s="71"/>
      <c r="E43" s="69"/>
      <c r="F43" s="69"/>
      <c r="G43" s="69"/>
      <c r="H43" s="81"/>
      <c r="I43" s="81"/>
      <c r="J43" s="81"/>
      <c r="K43" s="69"/>
      <c r="L43" s="630">
        <f t="shared" si="34"/>
        <v>0</v>
      </c>
      <c r="M43" s="630">
        <f t="shared" si="35"/>
        <v>0</v>
      </c>
      <c r="N43" s="630">
        <f t="shared" si="36"/>
        <v>0</v>
      </c>
      <c r="O43" s="645"/>
      <c r="P43" s="81">
        <f t="shared" si="28"/>
        <v>0</v>
      </c>
      <c r="Q43" s="81">
        <f t="shared" si="29"/>
        <v>0</v>
      </c>
      <c r="R43" s="81">
        <f t="shared" si="30"/>
        <v>0</v>
      </c>
      <c r="S43" s="81">
        <f t="shared" si="26"/>
        <v>0</v>
      </c>
      <c r="T43" s="85">
        <f t="shared" si="27"/>
        <v>0</v>
      </c>
      <c r="U43" s="191"/>
      <c r="V43" s="195">
        <f t="shared" si="6"/>
        <v>0</v>
      </c>
    </row>
    <row r="44" spans="1:22" x14ac:dyDescent="0.25">
      <c r="A44" s="14" t="s">
        <v>42</v>
      </c>
      <c r="B44" s="20" t="s">
        <v>43</v>
      </c>
      <c r="C44" s="71">
        <v>1900000</v>
      </c>
      <c r="D44" s="71">
        <v>1900000</v>
      </c>
      <c r="E44" s="69">
        <v>1900000</v>
      </c>
      <c r="F44" s="69">
        <v>1865000</v>
      </c>
      <c r="G44" s="69"/>
      <c r="H44" s="81">
        <v>896294</v>
      </c>
      <c r="I44" s="81">
        <v>1367967</v>
      </c>
      <c r="J44" s="81">
        <v>1852582</v>
      </c>
      <c r="K44" s="69"/>
      <c r="L44" s="630">
        <f t="shared" si="34"/>
        <v>0.47173368421052631</v>
      </c>
      <c r="M44" s="630">
        <f t="shared" si="35"/>
        <v>0.71998263157894737</v>
      </c>
      <c r="N44" s="630">
        <f t="shared" si="36"/>
        <v>0.97504315789473683</v>
      </c>
      <c r="O44" s="645"/>
      <c r="P44" s="81">
        <f t="shared" si="28"/>
        <v>0</v>
      </c>
      <c r="Q44" s="81">
        <f t="shared" si="29"/>
        <v>0</v>
      </c>
      <c r="R44" s="81">
        <f t="shared" si="30"/>
        <v>0</v>
      </c>
      <c r="S44" s="81">
        <f t="shared" si="26"/>
        <v>0</v>
      </c>
      <c r="T44" s="85">
        <f t="shared" si="27"/>
        <v>0</v>
      </c>
      <c r="U44" s="191"/>
      <c r="V44" s="195">
        <f t="shared" si="6"/>
        <v>0</v>
      </c>
    </row>
    <row r="45" spans="1:22" x14ac:dyDescent="0.25">
      <c r="B45" s="20" t="s">
        <v>44</v>
      </c>
      <c r="C45" s="71"/>
      <c r="D45" s="71"/>
      <c r="E45" s="69"/>
      <c r="F45" s="69"/>
      <c r="G45" s="69"/>
      <c r="H45" s="81"/>
      <c r="I45" s="81"/>
      <c r="J45" s="81"/>
      <c r="K45" s="69"/>
      <c r="L45" s="630"/>
      <c r="M45" s="630"/>
      <c r="N45" s="630"/>
      <c r="O45" s="645"/>
      <c r="P45" s="81">
        <f t="shared" si="28"/>
        <v>0</v>
      </c>
      <c r="Q45" s="81">
        <f t="shared" si="29"/>
        <v>0</v>
      </c>
      <c r="R45" s="81">
        <f t="shared" si="30"/>
        <v>0</v>
      </c>
      <c r="S45" s="81">
        <f t="shared" si="26"/>
        <v>0</v>
      </c>
      <c r="T45" s="85">
        <f t="shared" si="27"/>
        <v>0</v>
      </c>
      <c r="U45" s="191"/>
      <c r="V45" s="195">
        <f t="shared" ref="V45:V76" si="37">+S45-E45+C45</f>
        <v>0</v>
      </c>
    </row>
    <row r="46" spans="1:22" x14ac:dyDescent="0.25">
      <c r="A46" s="14" t="s">
        <v>45</v>
      </c>
      <c r="B46" s="20" t="s">
        <v>46</v>
      </c>
      <c r="C46" s="71"/>
      <c r="D46" s="69"/>
      <c r="E46" s="69"/>
      <c r="F46" s="69"/>
      <c r="G46" s="69"/>
      <c r="H46" s="81"/>
      <c r="I46" s="81"/>
      <c r="J46" s="81"/>
      <c r="K46" s="69"/>
      <c r="L46" s="630"/>
      <c r="M46" s="630"/>
      <c r="N46" s="630"/>
      <c r="O46" s="645"/>
      <c r="P46" s="81">
        <f t="shared" si="28"/>
        <v>0</v>
      </c>
      <c r="Q46" s="81">
        <f t="shared" si="29"/>
        <v>0</v>
      </c>
      <c r="R46" s="81">
        <f t="shared" si="30"/>
        <v>0</v>
      </c>
      <c r="S46" s="81">
        <f t="shared" si="26"/>
        <v>0</v>
      </c>
      <c r="T46" s="85">
        <f t="shared" si="27"/>
        <v>0</v>
      </c>
      <c r="U46" s="191"/>
      <c r="V46" s="195">
        <f t="shared" si="37"/>
        <v>0</v>
      </c>
    </row>
    <row r="47" spans="1:22" x14ac:dyDescent="0.25">
      <c r="A47" s="14" t="s">
        <v>47</v>
      </c>
      <c r="B47" s="20" t="s">
        <v>48</v>
      </c>
      <c r="C47" s="71">
        <f>15000000*1.1</f>
        <v>16500000.000000002</v>
      </c>
      <c r="D47" s="69">
        <v>16500000</v>
      </c>
      <c r="E47" s="69">
        <v>17865710</v>
      </c>
      <c r="F47" s="69">
        <v>17253216</v>
      </c>
      <c r="G47" s="69"/>
      <c r="H47" s="81">
        <v>8780839</v>
      </c>
      <c r="I47" s="81">
        <v>11758798</v>
      </c>
      <c r="J47" s="81">
        <v>16747521</v>
      </c>
      <c r="K47" s="69"/>
      <c r="L47" s="630">
        <f t="shared" ref="L47" si="38">IF(H47&gt;0,H47/C47,0)</f>
        <v>0.53217206060606059</v>
      </c>
      <c r="M47" s="630">
        <f t="shared" ref="M47" si="39">IF(I47&gt;0,I47/D47,0)</f>
        <v>0.7126544242424242</v>
      </c>
      <c r="N47" s="630">
        <f t="shared" ref="N47" si="40">IF(J47&gt;0,J47/E47,0)</f>
        <v>0.93741144348587324</v>
      </c>
      <c r="O47" s="645"/>
      <c r="P47" s="81">
        <f t="shared" si="28"/>
        <v>-1.862645149230957E-9</v>
      </c>
      <c r="Q47" s="81">
        <f t="shared" si="29"/>
        <v>1365710</v>
      </c>
      <c r="R47" s="81">
        <f t="shared" si="30"/>
        <v>0</v>
      </c>
      <c r="S47" s="81">
        <f t="shared" si="26"/>
        <v>1365709.9999999981</v>
      </c>
      <c r="T47" s="85">
        <f t="shared" si="27"/>
        <v>8.2770303030302902E-2</v>
      </c>
      <c r="U47" s="191"/>
      <c r="V47" s="195">
        <f t="shared" si="37"/>
        <v>0</v>
      </c>
    </row>
    <row r="48" spans="1:22" x14ac:dyDescent="0.25">
      <c r="B48" s="20" t="s">
        <v>95</v>
      </c>
      <c r="C48" s="71"/>
      <c r="D48" s="69"/>
      <c r="E48" s="69"/>
      <c r="F48" s="69"/>
      <c r="G48" s="69"/>
      <c r="H48" s="81"/>
      <c r="I48" s="81"/>
      <c r="J48" s="81"/>
      <c r="K48" s="69"/>
      <c r="L48" s="630"/>
      <c r="M48" s="630"/>
      <c r="N48" s="630"/>
      <c r="O48" s="645"/>
      <c r="P48" s="81">
        <f t="shared" si="28"/>
        <v>0</v>
      </c>
      <c r="Q48" s="81">
        <f t="shared" si="29"/>
        <v>0</v>
      </c>
      <c r="R48" s="81">
        <f t="shared" si="30"/>
        <v>0</v>
      </c>
      <c r="S48" s="81">
        <f t="shared" si="26"/>
        <v>0</v>
      </c>
      <c r="T48" s="85">
        <f t="shared" si="27"/>
        <v>0</v>
      </c>
      <c r="U48" s="191"/>
      <c r="V48" s="195">
        <f t="shared" si="37"/>
        <v>0</v>
      </c>
    </row>
    <row r="49" spans="1:22" x14ac:dyDescent="0.25">
      <c r="B49" s="20" t="s">
        <v>96</v>
      </c>
      <c r="C49" s="71"/>
      <c r="D49" s="69"/>
      <c r="E49" s="69"/>
      <c r="F49" s="69"/>
      <c r="G49" s="69"/>
      <c r="H49" s="81"/>
      <c r="I49" s="81"/>
      <c r="J49" s="81"/>
      <c r="K49" s="69"/>
      <c r="L49" s="630"/>
      <c r="M49" s="630"/>
      <c r="N49" s="630"/>
      <c r="O49" s="645"/>
      <c r="P49" s="81">
        <f t="shared" si="28"/>
        <v>0</v>
      </c>
      <c r="Q49" s="81">
        <f t="shared" si="29"/>
        <v>0</v>
      </c>
      <c r="R49" s="81">
        <f t="shared" si="30"/>
        <v>0</v>
      </c>
      <c r="S49" s="81">
        <f t="shared" si="26"/>
        <v>0</v>
      </c>
      <c r="T49" s="85">
        <f t="shared" si="27"/>
        <v>0</v>
      </c>
      <c r="U49" s="191"/>
      <c r="V49" s="195">
        <f t="shared" si="37"/>
        <v>0</v>
      </c>
    </row>
    <row r="50" spans="1:22" x14ac:dyDescent="0.25">
      <c r="B50" s="20" t="s">
        <v>97</v>
      </c>
      <c r="C50" s="71"/>
      <c r="D50" s="69"/>
      <c r="E50" s="69"/>
      <c r="F50" s="69"/>
      <c r="G50" s="69"/>
      <c r="H50" s="81"/>
      <c r="I50" s="81"/>
      <c r="J50" s="81"/>
      <c r="K50" s="69"/>
      <c r="L50" s="630"/>
      <c r="M50" s="630"/>
      <c r="N50" s="630"/>
      <c r="O50" s="645"/>
      <c r="P50" s="81">
        <f t="shared" si="28"/>
        <v>0</v>
      </c>
      <c r="Q50" s="81">
        <f t="shared" si="29"/>
        <v>0</v>
      </c>
      <c r="R50" s="81">
        <f t="shared" si="30"/>
        <v>0</v>
      </c>
      <c r="S50" s="81">
        <f t="shared" si="26"/>
        <v>0</v>
      </c>
      <c r="T50" s="85">
        <f t="shared" si="27"/>
        <v>0</v>
      </c>
      <c r="U50" s="191"/>
      <c r="V50" s="195">
        <f t="shared" si="37"/>
        <v>0</v>
      </c>
    </row>
    <row r="51" spans="1:22" x14ac:dyDescent="0.25">
      <c r="A51" s="14" t="s">
        <v>49</v>
      </c>
      <c r="B51" s="20" t="s">
        <v>50</v>
      </c>
      <c r="C51" s="71">
        <v>0</v>
      </c>
      <c r="D51" s="71">
        <v>0</v>
      </c>
      <c r="E51" s="69">
        <v>0</v>
      </c>
      <c r="F51" s="69">
        <v>0</v>
      </c>
      <c r="G51" s="69"/>
      <c r="H51" s="81">
        <v>0</v>
      </c>
      <c r="I51" s="81">
        <v>0</v>
      </c>
      <c r="J51" s="81">
        <v>0</v>
      </c>
      <c r="K51" s="69"/>
      <c r="L51" s="630">
        <f t="shared" ref="L51" si="41">IF(H51&gt;0,H51/C51,0)</f>
        <v>0</v>
      </c>
      <c r="M51" s="630">
        <f t="shared" ref="M51" si="42">IF(I51&gt;0,I51/D51,0)</f>
        <v>0</v>
      </c>
      <c r="N51" s="630">
        <f t="shared" ref="N51" si="43">IF(J51&gt;0,J51/E51,0)</f>
        <v>0</v>
      </c>
      <c r="O51" s="645"/>
      <c r="P51" s="81">
        <f t="shared" si="28"/>
        <v>0</v>
      </c>
      <c r="Q51" s="81">
        <f t="shared" si="29"/>
        <v>0</v>
      </c>
      <c r="R51" s="81">
        <f t="shared" si="30"/>
        <v>0</v>
      </c>
      <c r="S51" s="81">
        <f t="shared" si="26"/>
        <v>0</v>
      </c>
      <c r="T51" s="85">
        <f t="shared" si="27"/>
        <v>0</v>
      </c>
      <c r="U51" s="191"/>
      <c r="V51" s="195">
        <f t="shared" si="37"/>
        <v>0</v>
      </c>
    </row>
    <row r="52" spans="1:22" x14ac:dyDescent="0.25">
      <c r="B52" s="20" t="s">
        <v>88</v>
      </c>
      <c r="C52" s="71"/>
      <c r="D52" s="69"/>
      <c r="E52" s="69"/>
      <c r="F52" s="69"/>
      <c r="G52" s="69"/>
      <c r="H52" s="81"/>
      <c r="I52" s="81"/>
      <c r="J52" s="81"/>
      <c r="K52" s="69"/>
      <c r="L52" s="630"/>
      <c r="M52" s="630"/>
      <c r="N52" s="630"/>
      <c r="O52" s="645"/>
      <c r="P52" s="81">
        <f t="shared" si="28"/>
        <v>0</v>
      </c>
      <c r="Q52" s="81">
        <f t="shared" si="29"/>
        <v>0</v>
      </c>
      <c r="R52" s="81">
        <f t="shared" si="30"/>
        <v>0</v>
      </c>
      <c r="S52" s="81">
        <f t="shared" si="26"/>
        <v>0</v>
      </c>
      <c r="T52" s="85">
        <f t="shared" si="27"/>
        <v>0</v>
      </c>
      <c r="U52" s="191"/>
      <c r="V52" s="195">
        <f t="shared" si="37"/>
        <v>0</v>
      </c>
    </row>
    <row r="53" spans="1:22" x14ac:dyDescent="0.25">
      <c r="B53" s="20" t="s">
        <v>51</v>
      </c>
      <c r="C53" s="71"/>
      <c r="D53" s="69"/>
      <c r="E53" s="69"/>
      <c r="F53" s="69"/>
      <c r="G53" s="69"/>
      <c r="H53" s="81"/>
      <c r="I53" s="81"/>
      <c r="J53" s="81"/>
      <c r="K53" s="69"/>
      <c r="L53" s="630"/>
      <c r="M53" s="630"/>
      <c r="N53" s="630"/>
      <c r="O53" s="645"/>
      <c r="P53" s="81">
        <f t="shared" si="28"/>
        <v>0</v>
      </c>
      <c r="Q53" s="81">
        <f t="shared" si="29"/>
        <v>0</v>
      </c>
      <c r="R53" s="81">
        <f t="shared" si="30"/>
        <v>0</v>
      </c>
      <c r="S53" s="81">
        <f t="shared" si="26"/>
        <v>0</v>
      </c>
      <c r="T53" s="85">
        <f t="shared" si="27"/>
        <v>0</v>
      </c>
      <c r="U53" s="191"/>
      <c r="V53" s="195">
        <f t="shared" si="37"/>
        <v>0</v>
      </c>
    </row>
    <row r="54" spans="1:22" x14ac:dyDescent="0.25">
      <c r="A54" s="14" t="s">
        <v>52</v>
      </c>
      <c r="B54" s="20" t="s">
        <v>53</v>
      </c>
      <c r="C54" s="71">
        <v>1500000</v>
      </c>
      <c r="D54" s="69">
        <v>1700000</v>
      </c>
      <c r="E54" s="69">
        <v>1700000</v>
      </c>
      <c r="F54" s="69">
        <v>1700000</v>
      </c>
      <c r="G54" s="69"/>
      <c r="H54" s="81">
        <v>724900</v>
      </c>
      <c r="I54" s="81">
        <v>1086100</v>
      </c>
      <c r="J54" s="81">
        <v>1447300</v>
      </c>
      <c r="K54" s="69"/>
      <c r="L54" s="630">
        <f t="shared" ref="L54" si="44">IF(H54&gt;0,H54/C54,0)</f>
        <v>0.48326666666666668</v>
      </c>
      <c r="M54" s="630">
        <f t="shared" ref="M54" si="45">IF(I54&gt;0,I54/D54,0)</f>
        <v>0.63888235294117646</v>
      </c>
      <c r="N54" s="630">
        <f t="shared" ref="N54" si="46">IF(J54&gt;0,J54/E54,0)</f>
        <v>0.85135294117647053</v>
      </c>
      <c r="O54" s="645"/>
      <c r="P54" s="81">
        <f t="shared" si="28"/>
        <v>200000</v>
      </c>
      <c r="Q54" s="81">
        <f t="shared" si="29"/>
        <v>0</v>
      </c>
      <c r="R54" s="81">
        <f t="shared" si="30"/>
        <v>0</v>
      </c>
      <c r="S54" s="81">
        <f t="shared" si="26"/>
        <v>200000</v>
      </c>
      <c r="T54" s="85">
        <f t="shared" si="27"/>
        <v>0.13333333333333333</v>
      </c>
      <c r="U54" s="191"/>
      <c r="V54" s="195">
        <f t="shared" si="37"/>
        <v>0</v>
      </c>
    </row>
    <row r="55" spans="1:22" x14ac:dyDescent="0.25">
      <c r="B55" s="20" t="s">
        <v>54</v>
      </c>
      <c r="C55" s="71"/>
      <c r="D55" s="69"/>
      <c r="E55" s="69"/>
      <c r="F55" s="69"/>
      <c r="G55" s="69"/>
      <c r="H55" s="81"/>
      <c r="I55" s="81"/>
      <c r="J55" s="81"/>
      <c r="K55" s="69"/>
      <c r="L55" s="630"/>
      <c r="M55" s="630"/>
      <c r="N55" s="630"/>
      <c r="O55" s="645"/>
      <c r="P55" s="81">
        <f t="shared" si="28"/>
        <v>0</v>
      </c>
      <c r="Q55" s="81">
        <f t="shared" si="29"/>
        <v>0</v>
      </c>
      <c r="R55" s="81">
        <f t="shared" si="30"/>
        <v>0</v>
      </c>
      <c r="S55" s="81">
        <f t="shared" si="26"/>
        <v>0</v>
      </c>
      <c r="T55" s="85">
        <f t="shared" si="27"/>
        <v>0</v>
      </c>
      <c r="U55" s="191"/>
      <c r="V55" s="195">
        <f t="shared" si="37"/>
        <v>0</v>
      </c>
    </row>
    <row r="56" spans="1:22" x14ac:dyDescent="0.25">
      <c r="A56" s="14" t="s">
        <v>55</v>
      </c>
      <c r="B56" s="20" t="s">
        <v>89</v>
      </c>
      <c r="C56" s="71">
        <v>23500000</v>
      </c>
      <c r="D56" s="69">
        <v>15175941</v>
      </c>
      <c r="E56" s="69">
        <v>21977053</v>
      </c>
      <c r="F56" s="69">
        <v>10435000</v>
      </c>
      <c r="G56" s="69"/>
      <c r="H56" s="81">
        <v>884064</v>
      </c>
      <c r="I56" s="81">
        <v>4200477</v>
      </c>
      <c r="J56" s="81">
        <v>9749768</v>
      </c>
      <c r="K56" s="69"/>
      <c r="L56" s="630">
        <f t="shared" ref="L56" si="47">IF(H56&gt;0,H56/C56,0)</f>
        <v>3.7619744680851067E-2</v>
      </c>
      <c r="M56" s="630">
        <f t="shared" ref="M56" si="48">IF(I56&gt;0,I56/D56,0)</f>
        <v>0.27678527479778686</v>
      </c>
      <c r="N56" s="630">
        <f t="shared" ref="N56" si="49">IF(J56&gt;0,J56/E56,0)</f>
        <v>0.4436340031577482</v>
      </c>
      <c r="O56" s="645"/>
      <c r="P56" s="81">
        <f t="shared" si="28"/>
        <v>-8324059</v>
      </c>
      <c r="Q56" s="81">
        <f t="shared" si="29"/>
        <v>6801112</v>
      </c>
      <c r="R56" s="81">
        <f t="shared" si="30"/>
        <v>0</v>
      </c>
      <c r="S56" s="81">
        <f t="shared" si="26"/>
        <v>-1522947</v>
      </c>
      <c r="T56" s="85">
        <f t="shared" si="27"/>
        <v>-6.4806255319148937E-2</v>
      </c>
      <c r="U56" s="191"/>
      <c r="V56" s="195">
        <f t="shared" si="37"/>
        <v>0</v>
      </c>
    </row>
    <row r="57" spans="1:22" x14ac:dyDescent="0.25">
      <c r="B57" s="20" t="s">
        <v>56</v>
      </c>
      <c r="C57" s="71"/>
      <c r="D57" s="69"/>
      <c r="E57" s="69"/>
      <c r="F57" s="69"/>
      <c r="G57" s="69"/>
      <c r="H57" s="81"/>
      <c r="I57" s="81"/>
      <c r="J57" s="81"/>
      <c r="K57" s="69"/>
      <c r="L57" s="630"/>
      <c r="M57" s="630"/>
      <c r="N57" s="630"/>
      <c r="O57" s="645"/>
      <c r="P57" s="81">
        <f t="shared" si="28"/>
        <v>0</v>
      </c>
      <c r="Q57" s="81">
        <f t="shared" si="29"/>
        <v>0</v>
      </c>
      <c r="R57" s="81">
        <f t="shared" si="30"/>
        <v>0</v>
      </c>
      <c r="S57" s="81">
        <f t="shared" si="26"/>
        <v>0</v>
      </c>
      <c r="T57" s="85">
        <f t="shared" si="27"/>
        <v>0</v>
      </c>
      <c r="U57" s="191"/>
      <c r="V57" s="195">
        <f t="shared" si="37"/>
        <v>0</v>
      </c>
    </row>
    <row r="58" spans="1:22" x14ac:dyDescent="0.25">
      <c r="A58" s="14" t="s">
        <v>57</v>
      </c>
      <c r="B58" s="20" t="s">
        <v>58</v>
      </c>
      <c r="C58" s="71">
        <v>16000000</v>
      </c>
      <c r="D58" s="71">
        <v>16000000</v>
      </c>
      <c r="E58" s="69">
        <v>16000000</v>
      </c>
      <c r="F58" s="69">
        <v>17000000</v>
      </c>
      <c r="G58" s="69"/>
      <c r="H58" s="81">
        <v>8169375</v>
      </c>
      <c r="I58" s="81">
        <v>10234524</v>
      </c>
      <c r="J58" s="81">
        <v>13245449</v>
      </c>
      <c r="K58" s="69"/>
      <c r="L58" s="630">
        <f t="shared" ref="L58:L72" si="50">IF(H58&gt;0,H58/C58,0)</f>
        <v>0.51058593750000003</v>
      </c>
      <c r="M58" s="630">
        <f t="shared" ref="M58:M72" si="51">IF(I58&gt;0,I58/D58,0)</f>
        <v>0.63965775000000002</v>
      </c>
      <c r="N58" s="630">
        <f t="shared" ref="N58:N72" si="52">IF(J58&gt;0,J58/E58,0)</f>
        <v>0.82784056250000004</v>
      </c>
      <c r="O58" s="645"/>
      <c r="P58" s="81">
        <f t="shared" si="28"/>
        <v>0</v>
      </c>
      <c r="Q58" s="81">
        <f t="shared" si="29"/>
        <v>0</v>
      </c>
      <c r="R58" s="81">
        <f t="shared" si="30"/>
        <v>0</v>
      </c>
      <c r="S58" s="81">
        <f t="shared" si="26"/>
        <v>0</v>
      </c>
      <c r="T58" s="85">
        <f t="shared" si="27"/>
        <v>0</v>
      </c>
      <c r="U58" s="191"/>
      <c r="V58" s="195">
        <f t="shared" si="37"/>
        <v>0</v>
      </c>
    </row>
    <row r="59" spans="1:22" ht="26.4" hidden="1" x14ac:dyDescent="0.25">
      <c r="A59" s="20"/>
      <c r="B59" s="20" t="s">
        <v>59</v>
      </c>
      <c r="C59" s="71"/>
      <c r="D59" s="69"/>
      <c r="E59" s="69"/>
      <c r="F59" s="69"/>
      <c r="G59" s="69"/>
      <c r="H59" s="81"/>
      <c r="I59" s="81"/>
      <c r="J59" s="81"/>
      <c r="K59" s="69"/>
      <c r="L59" s="630">
        <f t="shared" si="50"/>
        <v>0</v>
      </c>
      <c r="M59" s="630">
        <f t="shared" si="51"/>
        <v>0</v>
      </c>
      <c r="N59" s="630">
        <f t="shared" si="52"/>
        <v>0</v>
      </c>
      <c r="O59" s="645"/>
      <c r="P59" s="81">
        <f t="shared" si="28"/>
        <v>0</v>
      </c>
      <c r="Q59" s="81">
        <f t="shared" si="29"/>
        <v>0</v>
      </c>
      <c r="R59" s="81">
        <f t="shared" si="30"/>
        <v>0</v>
      </c>
      <c r="S59" s="81">
        <f t="shared" si="26"/>
        <v>0</v>
      </c>
      <c r="T59" s="85">
        <f t="shared" si="27"/>
        <v>0</v>
      </c>
      <c r="U59" s="191"/>
      <c r="V59" s="195">
        <f t="shared" si="37"/>
        <v>0</v>
      </c>
    </row>
    <row r="60" spans="1:22" x14ac:dyDescent="0.25">
      <c r="A60" s="14" t="s">
        <v>60</v>
      </c>
      <c r="B60" s="20" t="s">
        <v>61</v>
      </c>
      <c r="C60" s="71">
        <v>450000</v>
      </c>
      <c r="D60" s="71">
        <v>450000</v>
      </c>
      <c r="E60" s="69">
        <v>450000</v>
      </c>
      <c r="F60" s="69">
        <v>374000</v>
      </c>
      <c r="G60" s="69"/>
      <c r="H60" s="81">
        <v>160242</v>
      </c>
      <c r="I60" s="81">
        <v>261742</v>
      </c>
      <c r="J60" s="81">
        <v>261742</v>
      </c>
      <c r="K60" s="69"/>
      <c r="L60" s="630">
        <f t="shared" si="50"/>
        <v>0.35609333333333332</v>
      </c>
      <c r="M60" s="630">
        <f t="shared" si="51"/>
        <v>0.58164888888888888</v>
      </c>
      <c r="N60" s="630">
        <f t="shared" si="52"/>
        <v>0.58164888888888888</v>
      </c>
      <c r="O60" s="645"/>
      <c r="P60" s="81">
        <f t="shared" si="28"/>
        <v>0</v>
      </c>
      <c r="Q60" s="81">
        <f t="shared" si="29"/>
        <v>0</v>
      </c>
      <c r="R60" s="81">
        <f t="shared" si="30"/>
        <v>0</v>
      </c>
      <c r="S60" s="81">
        <f t="shared" si="26"/>
        <v>0</v>
      </c>
      <c r="T60" s="85">
        <f t="shared" si="27"/>
        <v>0</v>
      </c>
      <c r="U60" s="191"/>
      <c r="V60" s="195">
        <f t="shared" si="37"/>
        <v>0</v>
      </c>
    </row>
    <row r="61" spans="1:22" ht="66" hidden="1" x14ac:dyDescent="0.25">
      <c r="B61" s="20" t="s">
        <v>357</v>
      </c>
      <c r="C61" s="71"/>
      <c r="D61" s="69"/>
      <c r="E61" s="69"/>
      <c r="F61" s="69"/>
      <c r="G61" s="69"/>
      <c r="H61" s="81"/>
      <c r="I61" s="81"/>
      <c r="J61" s="81"/>
      <c r="K61" s="69"/>
      <c r="L61" s="630">
        <f t="shared" si="50"/>
        <v>0</v>
      </c>
      <c r="M61" s="630">
        <f t="shared" si="51"/>
        <v>0</v>
      </c>
      <c r="N61" s="630">
        <f t="shared" si="52"/>
        <v>0</v>
      </c>
      <c r="O61" s="645"/>
      <c r="P61" s="81">
        <f t="shared" si="28"/>
        <v>0</v>
      </c>
      <c r="Q61" s="81">
        <f t="shared" si="29"/>
        <v>0</v>
      </c>
      <c r="R61" s="81">
        <f t="shared" si="30"/>
        <v>0</v>
      </c>
      <c r="S61" s="81">
        <f t="shared" si="26"/>
        <v>0</v>
      </c>
      <c r="T61" s="85">
        <f t="shared" si="27"/>
        <v>0</v>
      </c>
      <c r="U61" s="191"/>
      <c r="V61" s="195">
        <f t="shared" si="37"/>
        <v>0</v>
      </c>
    </row>
    <row r="62" spans="1:22" x14ac:dyDescent="0.25">
      <c r="A62" s="34" t="s">
        <v>62</v>
      </c>
      <c r="B62" s="726" t="s">
        <v>63</v>
      </c>
      <c r="C62" s="727">
        <v>40000000</v>
      </c>
      <c r="D62" s="71">
        <v>40166000</v>
      </c>
      <c r="E62" s="69">
        <v>46227210</v>
      </c>
      <c r="F62" s="69">
        <v>51530560</v>
      </c>
      <c r="G62" s="69"/>
      <c r="H62" s="81">
        <v>22054752</v>
      </c>
      <c r="I62" s="81">
        <v>33016328</v>
      </c>
      <c r="J62" s="81">
        <v>50105446</v>
      </c>
      <c r="K62" s="69"/>
      <c r="L62" s="630">
        <f t="shared" si="50"/>
        <v>0.55136879999999999</v>
      </c>
      <c r="M62" s="630">
        <f t="shared" si="51"/>
        <v>0.82199691281183085</v>
      </c>
      <c r="N62" s="630">
        <f t="shared" si="52"/>
        <v>1.083895091224411</v>
      </c>
      <c r="O62" s="645"/>
      <c r="P62" s="81">
        <f t="shared" si="28"/>
        <v>166000</v>
      </c>
      <c r="Q62" s="81">
        <f t="shared" si="29"/>
        <v>6061210</v>
      </c>
      <c r="R62" s="81">
        <f t="shared" si="30"/>
        <v>0</v>
      </c>
      <c r="S62" s="81">
        <f t="shared" si="26"/>
        <v>6227210</v>
      </c>
      <c r="T62" s="85">
        <f t="shared" si="27"/>
        <v>0.15568024999999999</v>
      </c>
      <c r="U62" s="191"/>
      <c r="V62" s="195">
        <f t="shared" si="37"/>
        <v>0</v>
      </c>
    </row>
    <row r="63" spans="1:22" ht="39.6" hidden="1" x14ac:dyDescent="0.25">
      <c r="B63" s="20" t="s">
        <v>64</v>
      </c>
      <c r="C63" s="71"/>
      <c r="D63" s="69"/>
      <c r="E63" s="69"/>
      <c r="F63" s="69"/>
      <c r="G63" s="69"/>
      <c r="H63" s="81"/>
      <c r="I63" s="81"/>
      <c r="J63" s="81"/>
      <c r="K63" s="69"/>
      <c r="L63" s="630">
        <f t="shared" si="50"/>
        <v>0</v>
      </c>
      <c r="M63" s="630">
        <f t="shared" si="51"/>
        <v>0</v>
      </c>
      <c r="N63" s="630">
        <f t="shared" si="52"/>
        <v>0</v>
      </c>
      <c r="O63" s="645"/>
      <c r="P63" s="81">
        <f t="shared" si="28"/>
        <v>0</v>
      </c>
      <c r="Q63" s="81">
        <f t="shared" si="29"/>
        <v>0</v>
      </c>
      <c r="R63" s="81">
        <f t="shared" si="30"/>
        <v>0</v>
      </c>
      <c r="S63" s="81">
        <f t="shared" si="26"/>
        <v>0</v>
      </c>
      <c r="T63" s="85">
        <f t="shared" si="27"/>
        <v>0</v>
      </c>
      <c r="U63" s="191"/>
      <c r="V63" s="195">
        <f t="shared" si="37"/>
        <v>0</v>
      </c>
    </row>
    <row r="64" spans="1:22" x14ac:dyDescent="0.25">
      <c r="A64" s="14" t="s">
        <v>65</v>
      </c>
      <c r="B64" s="20" t="s">
        <v>66</v>
      </c>
      <c r="C64" s="71"/>
      <c r="D64" s="69"/>
      <c r="E64" s="69"/>
      <c r="F64" s="69"/>
      <c r="G64" s="69"/>
      <c r="H64" s="81"/>
      <c r="I64" s="81"/>
      <c r="J64" s="81"/>
      <c r="K64" s="69"/>
      <c r="L64" s="630">
        <f t="shared" si="50"/>
        <v>0</v>
      </c>
      <c r="M64" s="630">
        <f t="shared" si="51"/>
        <v>0</v>
      </c>
      <c r="N64" s="630">
        <f t="shared" si="52"/>
        <v>0</v>
      </c>
      <c r="O64" s="645"/>
      <c r="P64" s="81">
        <f t="shared" si="28"/>
        <v>0</v>
      </c>
      <c r="Q64" s="81">
        <f t="shared" si="29"/>
        <v>0</v>
      </c>
      <c r="R64" s="81">
        <f t="shared" si="30"/>
        <v>0</v>
      </c>
      <c r="S64" s="81">
        <f t="shared" si="26"/>
        <v>0</v>
      </c>
      <c r="T64" s="85">
        <f t="shared" si="27"/>
        <v>0</v>
      </c>
      <c r="U64" s="191"/>
      <c r="V64" s="195">
        <f t="shared" si="37"/>
        <v>0</v>
      </c>
    </row>
    <row r="65" spans="1:22" x14ac:dyDescent="0.25">
      <c r="A65" s="14" t="s">
        <v>67</v>
      </c>
      <c r="B65" s="20" t="s">
        <v>68</v>
      </c>
      <c r="C65" s="71">
        <v>300000</v>
      </c>
      <c r="D65" s="69">
        <v>634000</v>
      </c>
      <c r="E65" s="69">
        <v>634000</v>
      </c>
      <c r="F65" s="69">
        <v>554000</v>
      </c>
      <c r="G65" s="69"/>
      <c r="H65" s="81">
        <v>209295</v>
      </c>
      <c r="I65" s="81">
        <v>287490</v>
      </c>
      <c r="J65" s="81">
        <v>399410</v>
      </c>
      <c r="K65" s="69"/>
      <c r="L65" s="630">
        <f t="shared" si="50"/>
        <v>0.69764999999999999</v>
      </c>
      <c r="M65" s="630">
        <f t="shared" si="51"/>
        <v>0.45345425867507888</v>
      </c>
      <c r="N65" s="630">
        <f t="shared" si="52"/>
        <v>0.62998422712933755</v>
      </c>
      <c r="O65" s="645"/>
      <c r="P65" s="81">
        <f t="shared" si="28"/>
        <v>334000</v>
      </c>
      <c r="Q65" s="81">
        <f t="shared" si="29"/>
        <v>0</v>
      </c>
      <c r="R65" s="81">
        <f t="shared" si="30"/>
        <v>0</v>
      </c>
      <c r="S65" s="81">
        <f t="shared" si="26"/>
        <v>334000</v>
      </c>
      <c r="T65" s="85">
        <f t="shared" si="27"/>
        <v>1.1133333333333333</v>
      </c>
      <c r="U65" s="191"/>
      <c r="V65" s="195">
        <f t="shared" si="37"/>
        <v>0</v>
      </c>
    </row>
    <row r="66" spans="1:22" ht="39.6" hidden="1" x14ac:dyDescent="0.25">
      <c r="B66" s="20" t="s">
        <v>69</v>
      </c>
      <c r="C66" s="71"/>
      <c r="D66" s="69"/>
      <c r="E66" s="69"/>
      <c r="F66" s="69"/>
      <c r="G66" s="69"/>
      <c r="H66" s="81"/>
      <c r="I66" s="81"/>
      <c r="J66" s="81"/>
      <c r="K66" s="69"/>
      <c r="L66" s="630">
        <f t="shared" si="50"/>
        <v>0</v>
      </c>
      <c r="M66" s="630">
        <f t="shared" si="51"/>
        <v>0</v>
      </c>
      <c r="N66" s="630">
        <f t="shared" si="52"/>
        <v>0</v>
      </c>
      <c r="O66" s="645"/>
      <c r="P66" s="81">
        <f t="shared" si="28"/>
        <v>0</v>
      </c>
      <c r="Q66" s="81">
        <f t="shared" si="29"/>
        <v>0</v>
      </c>
      <c r="R66" s="81">
        <f t="shared" si="30"/>
        <v>0</v>
      </c>
      <c r="S66" s="81">
        <f t="shared" si="26"/>
        <v>0</v>
      </c>
      <c r="T66" s="85">
        <f t="shared" si="27"/>
        <v>0</v>
      </c>
      <c r="U66" s="191"/>
      <c r="V66" s="195">
        <f t="shared" si="37"/>
        <v>0</v>
      </c>
    </row>
    <row r="67" spans="1:22" x14ac:dyDescent="0.25">
      <c r="A67" s="14" t="s">
        <v>70</v>
      </c>
      <c r="B67" s="482" t="s">
        <v>98</v>
      </c>
      <c r="C67" s="71">
        <v>0</v>
      </c>
      <c r="D67" s="69">
        <v>300000</v>
      </c>
      <c r="E67" s="69">
        <v>300000</v>
      </c>
      <c r="F67" s="69">
        <v>33000</v>
      </c>
      <c r="G67" s="69"/>
      <c r="H67" s="81">
        <v>0</v>
      </c>
      <c r="I67" s="81">
        <v>0</v>
      </c>
      <c r="J67" s="81">
        <v>0</v>
      </c>
      <c r="K67" s="69"/>
      <c r="L67" s="630">
        <f t="shared" si="50"/>
        <v>0</v>
      </c>
      <c r="M67" s="630">
        <f t="shared" si="51"/>
        <v>0</v>
      </c>
      <c r="N67" s="630">
        <f t="shared" si="52"/>
        <v>0</v>
      </c>
      <c r="O67" s="645"/>
      <c r="P67" s="81">
        <f t="shared" si="28"/>
        <v>300000</v>
      </c>
      <c r="Q67" s="81">
        <f t="shared" si="29"/>
        <v>0</v>
      </c>
      <c r="R67" s="81">
        <f t="shared" si="30"/>
        <v>0</v>
      </c>
      <c r="S67" s="81">
        <f t="shared" si="26"/>
        <v>300000</v>
      </c>
      <c r="T67" s="85">
        <f t="shared" si="27"/>
        <v>0</v>
      </c>
      <c r="U67" s="191"/>
      <c r="V67" s="195">
        <f t="shared" si="37"/>
        <v>0</v>
      </c>
    </row>
    <row r="68" spans="1:22" ht="39.6" hidden="1" x14ac:dyDescent="0.25">
      <c r="B68" s="20" t="s">
        <v>71</v>
      </c>
      <c r="C68" s="71"/>
      <c r="D68" s="69"/>
      <c r="E68" s="69"/>
      <c r="F68" s="69"/>
      <c r="G68" s="69"/>
      <c r="H68" s="81"/>
      <c r="I68" s="81"/>
      <c r="J68" s="81"/>
      <c r="K68" s="69"/>
      <c r="L68" s="630">
        <f t="shared" si="50"/>
        <v>0</v>
      </c>
      <c r="M68" s="630">
        <f t="shared" si="51"/>
        <v>0</v>
      </c>
      <c r="N68" s="630">
        <f t="shared" si="52"/>
        <v>0</v>
      </c>
      <c r="O68" s="645"/>
      <c r="P68" s="81">
        <f t="shared" si="28"/>
        <v>0</v>
      </c>
      <c r="Q68" s="81">
        <f t="shared" si="29"/>
        <v>0</v>
      </c>
      <c r="R68" s="81">
        <f t="shared" si="30"/>
        <v>0</v>
      </c>
      <c r="S68" s="81">
        <f t="shared" si="26"/>
        <v>0</v>
      </c>
      <c r="T68" s="85">
        <f t="shared" si="27"/>
        <v>0</v>
      </c>
      <c r="U68" s="191"/>
      <c r="V68" s="195">
        <f t="shared" si="37"/>
        <v>0</v>
      </c>
    </row>
    <row r="69" spans="1:22" x14ac:dyDescent="0.25">
      <c r="A69" s="14" t="s">
        <v>72</v>
      </c>
      <c r="B69" s="20" t="s">
        <v>73</v>
      </c>
      <c r="C69" s="71"/>
      <c r="D69" s="69"/>
      <c r="E69" s="69"/>
      <c r="F69" s="69"/>
      <c r="G69" s="69"/>
      <c r="H69" s="81"/>
      <c r="I69" s="81"/>
      <c r="J69" s="81"/>
      <c r="K69" s="69"/>
      <c r="L69" s="630">
        <f t="shared" si="50"/>
        <v>0</v>
      </c>
      <c r="M69" s="630">
        <f t="shared" si="51"/>
        <v>0</v>
      </c>
      <c r="N69" s="630">
        <f t="shared" si="52"/>
        <v>0</v>
      </c>
      <c r="O69" s="645"/>
      <c r="P69" s="81">
        <f t="shared" si="28"/>
        <v>0</v>
      </c>
      <c r="Q69" s="81">
        <f t="shared" si="29"/>
        <v>0</v>
      </c>
      <c r="R69" s="81">
        <f t="shared" si="30"/>
        <v>0</v>
      </c>
      <c r="S69" s="81">
        <f t="shared" si="26"/>
        <v>0</v>
      </c>
      <c r="T69" s="85">
        <f t="shared" si="27"/>
        <v>0</v>
      </c>
      <c r="U69" s="191"/>
      <c r="V69" s="195">
        <f t="shared" si="37"/>
        <v>0</v>
      </c>
    </row>
    <row r="70" spans="1:22" x14ac:dyDescent="0.25">
      <c r="A70" s="14" t="s">
        <v>74</v>
      </c>
      <c r="B70" s="20" t="s">
        <v>75</v>
      </c>
      <c r="C70" s="71">
        <v>19254858</v>
      </c>
      <c r="D70" s="69">
        <v>20712858</v>
      </c>
      <c r="E70" s="69">
        <v>28663137</v>
      </c>
      <c r="F70" s="69">
        <v>27064079</v>
      </c>
      <c r="G70" s="69"/>
      <c r="H70" s="81">
        <v>12787439</v>
      </c>
      <c r="I70" s="81">
        <v>17266209</v>
      </c>
      <c r="J70" s="81">
        <v>24733324</v>
      </c>
      <c r="K70" s="69"/>
      <c r="L70" s="630">
        <f t="shared" si="50"/>
        <v>0.66411494699155926</v>
      </c>
      <c r="M70" s="630">
        <f t="shared" si="51"/>
        <v>0.83359857920138303</v>
      </c>
      <c r="N70" s="630">
        <f t="shared" si="52"/>
        <v>0.86289661874762691</v>
      </c>
      <c r="O70" s="645"/>
      <c r="P70" s="81">
        <f t="shared" si="28"/>
        <v>1458000</v>
      </c>
      <c r="Q70" s="81">
        <f t="shared" si="29"/>
        <v>7950279</v>
      </c>
      <c r="R70" s="81">
        <f t="shared" si="30"/>
        <v>0</v>
      </c>
      <c r="S70" s="81">
        <f t="shared" si="26"/>
        <v>9408279</v>
      </c>
      <c r="T70" s="85">
        <f t="shared" si="27"/>
        <v>0.48861845670323822</v>
      </c>
      <c r="U70" s="191"/>
      <c r="V70" s="195">
        <f t="shared" si="37"/>
        <v>0</v>
      </c>
    </row>
    <row r="71" spans="1:22" x14ac:dyDescent="0.25">
      <c r="B71" s="20" t="s">
        <v>76</v>
      </c>
      <c r="C71" s="71"/>
      <c r="D71" s="69"/>
      <c r="E71" s="69"/>
      <c r="F71" s="69"/>
      <c r="G71" s="69"/>
      <c r="H71" s="81"/>
      <c r="I71" s="81"/>
      <c r="J71" s="81"/>
      <c r="K71" s="69"/>
      <c r="L71" s="630">
        <f t="shared" si="50"/>
        <v>0</v>
      </c>
      <c r="M71" s="630">
        <f t="shared" si="51"/>
        <v>0</v>
      </c>
      <c r="N71" s="630">
        <f t="shared" si="52"/>
        <v>0</v>
      </c>
      <c r="O71" s="645"/>
      <c r="P71" s="81">
        <f t="shared" si="28"/>
        <v>0</v>
      </c>
      <c r="Q71" s="81">
        <f t="shared" si="29"/>
        <v>0</v>
      </c>
      <c r="R71" s="81">
        <f t="shared" si="30"/>
        <v>0</v>
      </c>
      <c r="S71" s="81">
        <f t="shared" si="26"/>
        <v>0</v>
      </c>
      <c r="T71" s="85">
        <f t="shared" si="27"/>
        <v>0</v>
      </c>
      <c r="U71" s="191"/>
      <c r="V71" s="195">
        <f t="shared" si="37"/>
        <v>0</v>
      </c>
    </row>
    <row r="72" spans="1:22" x14ac:dyDescent="0.25">
      <c r="A72" s="14" t="s">
        <v>77</v>
      </c>
      <c r="B72" s="20" t="s">
        <v>78</v>
      </c>
      <c r="C72" s="71">
        <v>186308796</v>
      </c>
      <c r="D72" s="69">
        <v>171256828</v>
      </c>
      <c r="E72" s="69">
        <v>165004860</v>
      </c>
      <c r="F72" s="69">
        <v>125486230</v>
      </c>
      <c r="G72" s="69"/>
      <c r="H72" s="81">
        <v>99009000</v>
      </c>
      <c r="I72" s="81">
        <v>99087000</v>
      </c>
      <c r="J72" s="81">
        <v>125398000</v>
      </c>
      <c r="K72" s="69"/>
      <c r="L72" s="630">
        <f t="shared" si="50"/>
        <v>0.53142418461015661</v>
      </c>
      <c r="M72" s="630">
        <f t="shared" si="51"/>
        <v>0.57858714982155335</v>
      </c>
      <c r="N72" s="630">
        <f t="shared" si="52"/>
        <v>0.75996549434968153</v>
      </c>
      <c r="O72" s="645"/>
      <c r="P72" s="81">
        <f t="shared" si="28"/>
        <v>-15051968</v>
      </c>
      <c r="Q72" s="81">
        <f t="shared" si="29"/>
        <v>-6251968</v>
      </c>
      <c r="R72" s="81">
        <f t="shared" si="30"/>
        <v>0</v>
      </c>
      <c r="S72" s="81">
        <f t="shared" si="26"/>
        <v>-21303936</v>
      </c>
      <c r="T72" s="85">
        <f t="shared" si="27"/>
        <v>-0.11434745142145623</v>
      </c>
      <c r="U72" s="191"/>
      <c r="V72" s="195">
        <f t="shared" si="37"/>
        <v>0</v>
      </c>
    </row>
    <row r="73" spans="1:22" ht="26.4" x14ac:dyDescent="0.25">
      <c r="B73" s="20" t="s">
        <v>106</v>
      </c>
      <c r="C73" s="71"/>
      <c r="D73" s="69"/>
      <c r="E73" s="69"/>
      <c r="F73" s="69"/>
      <c r="G73" s="69"/>
      <c r="H73" s="81"/>
      <c r="I73" s="81"/>
      <c r="J73" s="81"/>
      <c r="K73" s="69"/>
      <c r="L73" s="630"/>
      <c r="M73" s="630"/>
      <c r="N73" s="630"/>
      <c r="O73" s="645"/>
      <c r="P73" s="81">
        <f t="shared" si="28"/>
        <v>0</v>
      </c>
      <c r="Q73" s="81">
        <f t="shared" si="29"/>
        <v>0</v>
      </c>
      <c r="R73" s="81">
        <f t="shared" si="30"/>
        <v>0</v>
      </c>
      <c r="S73" s="81">
        <f t="shared" si="26"/>
        <v>0</v>
      </c>
      <c r="T73" s="85">
        <f t="shared" si="27"/>
        <v>0</v>
      </c>
      <c r="U73" s="191"/>
      <c r="V73" s="195">
        <f t="shared" si="37"/>
        <v>0</v>
      </c>
    </row>
    <row r="74" spans="1:22" x14ac:dyDescent="0.25">
      <c r="A74" s="14" t="s">
        <v>79</v>
      </c>
      <c r="B74" s="20" t="s">
        <v>80</v>
      </c>
      <c r="C74" s="71">
        <v>0</v>
      </c>
      <c r="D74" s="69">
        <v>135</v>
      </c>
      <c r="E74" s="69">
        <v>135</v>
      </c>
      <c r="F74" s="69">
        <v>0</v>
      </c>
      <c r="G74" s="69"/>
      <c r="H74" s="81">
        <v>0</v>
      </c>
      <c r="I74" s="81">
        <v>0</v>
      </c>
      <c r="J74" s="81">
        <v>0</v>
      </c>
      <c r="K74" s="69"/>
      <c r="L74" s="630">
        <f t="shared" ref="L74:L78" si="53">IF(H74&gt;0,H74/C74,0)</f>
        <v>0</v>
      </c>
      <c r="M74" s="630">
        <f t="shared" ref="M74:M78" si="54">IF(I74&gt;0,I74/D74,0)</f>
        <v>0</v>
      </c>
      <c r="N74" s="630">
        <f t="shared" ref="N74:N78" si="55">IF(J74&gt;0,J74/E74,0)</f>
        <v>0</v>
      </c>
      <c r="O74" s="645"/>
      <c r="P74" s="81">
        <f t="shared" si="28"/>
        <v>135</v>
      </c>
      <c r="Q74" s="81">
        <f t="shared" si="29"/>
        <v>0</v>
      </c>
      <c r="R74" s="81">
        <f t="shared" si="30"/>
        <v>0</v>
      </c>
      <c r="S74" s="81">
        <f t="shared" si="26"/>
        <v>135</v>
      </c>
      <c r="T74" s="85">
        <f t="shared" si="27"/>
        <v>0</v>
      </c>
      <c r="U74" s="191"/>
      <c r="V74" s="195">
        <f t="shared" si="37"/>
        <v>0</v>
      </c>
    </row>
    <row r="75" spans="1:22" ht="26.4" hidden="1" x14ac:dyDescent="0.25">
      <c r="B75" s="20" t="s">
        <v>81</v>
      </c>
      <c r="C75" s="71"/>
      <c r="D75" s="69"/>
      <c r="E75" s="69"/>
      <c r="F75" s="69"/>
      <c r="G75" s="69"/>
      <c r="H75" s="81"/>
      <c r="I75" s="81"/>
      <c r="J75" s="81"/>
      <c r="K75" s="69"/>
      <c r="L75" s="630">
        <f t="shared" si="53"/>
        <v>0</v>
      </c>
      <c r="M75" s="630">
        <f t="shared" si="54"/>
        <v>0</v>
      </c>
      <c r="N75" s="630">
        <f t="shared" si="55"/>
        <v>0</v>
      </c>
      <c r="O75" s="645"/>
      <c r="P75" s="81">
        <f t="shared" si="28"/>
        <v>0</v>
      </c>
      <c r="Q75" s="81">
        <f t="shared" si="29"/>
        <v>0</v>
      </c>
      <c r="R75" s="81">
        <f t="shared" si="30"/>
        <v>0</v>
      </c>
      <c r="S75" s="81">
        <f t="shared" si="26"/>
        <v>0</v>
      </c>
      <c r="T75" s="85">
        <f t="shared" si="27"/>
        <v>0</v>
      </c>
      <c r="U75" s="191"/>
      <c r="V75" s="195">
        <f t="shared" si="37"/>
        <v>0</v>
      </c>
    </row>
    <row r="76" spans="1:22" x14ac:dyDescent="0.25">
      <c r="A76" s="14" t="s">
        <v>82</v>
      </c>
      <c r="B76" s="20" t="s">
        <v>83</v>
      </c>
      <c r="C76" s="71">
        <v>0</v>
      </c>
      <c r="D76" s="69">
        <v>0</v>
      </c>
      <c r="E76" s="69">
        <v>0</v>
      </c>
      <c r="F76" s="69">
        <v>0</v>
      </c>
      <c r="G76" s="69"/>
      <c r="H76" s="81">
        <v>0</v>
      </c>
      <c r="I76" s="81">
        <v>0</v>
      </c>
      <c r="J76" s="81">
        <v>0</v>
      </c>
      <c r="K76" s="69"/>
      <c r="L76" s="630">
        <f t="shared" si="53"/>
        <v>0</v>
      </c>
      <c r="M76" s="630">
        <f t="shared" si="54"/>
        <v>0</v>
      </c>
      <c r="N76" s="630">
        <f t="shared" si="55"/>
        <v>0</v>
      </c>
      <c r="O76" s="645"/>
      <c r="P76" s="81">
        <f t="shared" si="28"/>
        <v>0</v>
      </c>
      <c r="Q76" s="81">
        <f t="shared" si="29"/>
        <v>0</v>
      </c>
      <c r="R76" s="81">
        <f t="shared" si="30"/>
        <v>0</v>
      </c>
      <c r="S76" s="81">
        <f t="shared" si="26"/>
        <v>0</v>
      </c>
      <c r="T76" s="85">
        <f t="shared" si="27"/>
        <v>0</v>
      </c>
      <c r="U76" s="191"/>
      <c r="V76" s="195">
        <f t="shared" si="37"/>
        <v>0</v>
      </c>
    </row>
    <row r="77" spans="1:22" x14ac:dyDescent="0.25">
      <c r="B77" s="20" t="s">
        <v>84</v>
      </c>
      <c r="C77" s="71"/>
      <c r="D77" s="69"/>
      <c r="E77" s="69"/>
      <c r="F77" s="69"/>
      <c r="G77" s="69"/>
      <c r="H77" s="81"/>
      <c r="I77" s="81"/>
      <c r="J77" s="81"/>
      <c r="K77" s="69"/>
      <c r="L77" s="630">
        <f t="shared" si="53"/>
        <v>0</v>
      </c>
      <c r="M77" s="630">
        <f t="shared" si="54"/>
        <v>0</v>
      </c>
      <c r="N77" s="630">
        <f t="shared" si="55"/>
        <v>0</v>
      </c>
      <c r="O77" s="645"/>
      <c r="P77" s="81">
        <f t="shared" si="28"/>
        <v>0</v>
      </c>
      <c r="Q77" s="81">
        <f t="shared" si="29"/>
        <v>0</v>
      </c>
      <c r="R77" s="81">
        <f t="shared" si="30"/>
        <v>0</v>
      </c>
      <c r="S77" s="81">
        <f t="shared" si="26"/>
        <v>0</v>
      </c>
      <c r="T77" s="85">
        <f t="shared" si="27"/>
        <v>0</v>
      </c>
      <c r="U77" s="191"/>
      <c r="V77" s="195">
        <f t="shared" ref="V77:V104" si="56">+S77-E77+C77</f>
        <v>0</v>
      </c>
    </row>
    <row r="78" spans="1:22" x14ac:dyDescent="0.25">
      <c r="A78" s="14" t="s">
        <v>85</v>
      </c>
      <c r="B78" s="20" t="s">
        <v>86</v>
      </c>
      <c r="C78" s="71">
        <v>4000000</v>
      </c>
      <c r="D78" s="69">
        <v>4000000</v>
      </c>
      <c r="E78" s="69">
        <v>3378458</v>
      </c>
      <c r="F78" s="69">
        <v>2253000</v>
      </c>
      <c r="G78" s="69"/>
      <c r="H78" s="81">
        <v>967561</v>
      </c>
      <c r="I78" s="81">
        <v>1718635</v>
      </c>
      <c r="J78" s="81">
        <v>2183742</v>
      </c>
      <c r="K78" s="69"/>
      <c r="L78" s="630">
        <f t="shared" si="53"/>
        <v>0.24189025</v>
      </c>
      <c r="M78" s="630">
        <f t="shared" si="54"/>
        <v>0.42965874999999998</v>
      </c>
      <c r="N78" s="630">
        <f t="shared" si="55"/>
        <v>0.64637239829531701</v>
      </c>
      <c r="O78" s="645"/>
      <c r="P78" s="81">
        <f t="shared" si="28"/>
        <v>0</v>
      </c>
      <c r="Q78" s="81">
        <f t="shared" si="29"/>
        <v>-621542</v>
      </c>
      <c r="R78" s="81">
        <f t="shared" si="30"/>
        <v>0</v>
      </c>
      <c r="S78" s="81">
        <f t="shared" si="26"/>
        <v>-621542</v>
      </c>
      <c r="T78" s="85">
        <f t="shared" si="27"/>
        <v>-0.15538550000000001</v>
      </c>
      <c r="U78" s="191"/>
      <c r="V78" s="195">
        <f t="shared" si="56"/>
        <v>0</v>
      </c>
    </row>
    <row r="79" spans="1:22" ht="41.4" x14ac:dyDescent="0.25">
      <c r="B79" s="586" t="s">
        <v>90</v>
      </c>
      <c r="C79" s="71"/>
      <c r="D79" s="69"/>
      <c r="E79" s="69"/>
      <c r="F79" s="69"/>
      <c r="G79" s="69"/>
      <c r="H79" s="81"/>
      <c r="I79" s="81"/>
      <c r="J79" s="81"/>
      <c r="K79" s="69"/>
      <c r="L79" s="630"/>
      <c r="M79" s="630"/>
      <c r="N79" s="630"/>
      <c r="O79" s="645"/>
      <c r="P79" s="81">
        <f t="shared" si="28"/>
        <v>0</v>
      </c>
      <c r="Q79" s="81">
        <f t="shared" si="29"/>
        <v>0</v>
      </c>
      <c r="R79" s="81">
        <f t="shared" si="30"/>
        <v>0</v>
      </c>
      <c r="S79" s="81">
        <f t="shared" si="26"/>
        <v>0</v>
      </c>
      <c r="T79" s="85">
        <f t="shared" si="27"/>
        <v>0</v>
      </c>
      <c r="U79" s="191"/>
      <c r="V79" s="195">
        <f t="shared" si="56"/>
        <v>0</v>
      </c>
    </row>
    <row r="80" spans="1:22" x14ac:dyDescent="0.25">
      <c r="A80" s="29"/>
      <c r="B80" s="21"/>
      <c r="C80" s="71"/>
      <c r="D80" s="69"/>
      <c r="E80" s="69"/>
      <c r="F80" s="69"/>
      <c r="G80" s="69"/>
      <c r="H80" s="81"/>
      <c r="I80" s="81"/>
      <c r="J80" s="81"/>
      <c r="K80" s="69"/>
      <c r="L80" s="630"/>
      <c r="M80" s="630"/>
      <c r="N80" s="630"/>
      <c r="O80" s="645"/>
      <c r="P80" s="81"/>
      <c r="Q80" s="81"/>
      <c r="R80" s="81"/>
      <c r="S80" s="81"/>
      <c r="T80" s="85"/>
      <c r="U80" s="191"/>
      <c r="V80" s="195">
        <f t="shared" si="56"/>
        <v>0</v>
      </c>
    </row>
    <row r="81" spans="1:22" x14ac:dyDescent="0.25">
      <c r="A81" s="4" t="s">
        <v>107</v>
      </c>
      <c r="B81" s="3" t="s">
        <v>108</v>
      </c>
      <c r="C81" s="66">
        <f t="shared" ref="C81" si="57">SUM(C82:C105)</f>
        <v>15000000</v>
      </c>
      <c r="D81" s="66">
        <f>SUM(D82:D105)</f>
        <v>15012540</v>
      </c>
      <c r="E81" s="66">
        <f>SUM(E82:E105)</f>
        <v>15012540</v>
      </c>
      <c r="F81" s="66">
        <f>SUM(F82:F105)</f>
        <v>15000000</v>
      </c>
      <c r="G81" s="66"/>
      <c r="H81" s="83">
        <f>SUM(H82:H105)</f>
        <v>5890794</v>
      </c>
      <c r="I81" s="83">
        <f>SUM(I82:I105)</f>
        <v>8972294</v>
      </c>
      <c r="J81" s="83">
        <f>SUM(J82:J105)</f>
        <v>11964794</v>
      </c>
      <c r="K81" s="66"/>
      <c r="L81" s="631">
        <f t="shared" ref="L81:L92" si="58">IF(H81&gt;0,H81/C81,0)</f>
        <v>0.3927196</v>
      </c>
      <c r="M81" s="631">
        <f t="shared" ref="M81:M92" si="59">IF(I81&gt;0,I81/D81,0)</f>
        <v>0.59765329517856403</v>
      </c>
      <c r="N81" s="631">
        <f t="shared" ref="N81:N92" si="60">IF(J81&gt;0,J81/E81,0)</f>
        <v>0.79698665249185019</v>
      </c>
      <c r="O81" s="646"/>
      <c r="P81" s="83">
        <f t="shared" ref="P81:R82" si="61">IF(D81&gt;0,+D81-C81,0)</f>
        <v>12540</v>
      </c>
      <c r="Q81" s="83">
        <f t="shared" si="61"/>
        <v>0</v>
      </c>
      <c r="R81" s="83">
        <f t="shared" si="61"/>
        <v>-12540</v>
      </c>
      <c r="S81" s="83">
        <f t="shared" ref="S81:S103" si="62">+P81*P$8+Q81*Q$8+Q81*G$8</f>
        <v>12540</v>
      </c>
      <c r="T81" s="85">
        <f t="shared" ref="T81:T104" si="63">IF(C81=0,0,+S81/C81)</f>
        <v>8.3600000000000005E-4</v>
      </c>
      <c r="U81" s="193"/>
      <c r="V81" s="195">
        <f t="shared" si="56"/>
        <v>0</v>
      </c>
    </row>
    <row r="82" spans="1:22" x14ac:dyDescent="0.25">
      <c r="A82" s="14" t="s">
        <v>109</v>
      </c>
      <c r="B82" s="20" t="s">
        <v>110</v>
      </c>
      <c r="C82" s="71">
        <v>0</v>
      </c>
      <c r="D82" s="69">
        <v>12540</v>
      </c>
      <c r="E82" s="269">
        <v>12540</v>
      </c>
      <c r="F82" s="69">
        <v>0</v>
      </c>
      <c r="G82" s="69"/>
      <c r="H82" s="81">
        <v>0</v>
      </c>
      <c r="I82" s="81">
        <v>0</v>
      </c>
      <c r="J82" s="81">
        <v>0</v>
      </c>
      <c r="K82" s="69"/>
      <c r="L82" s="630">
        <f t="shared" si="58"/>
        <v>0</v>
      </c>
      <c r="M82" s="630">
        <f t="shared" si="59"/>
        <v>0</v>
      </c>
      <c r="N82" s="630">
        <f t="shared" si="60"/>
        <v>0</v>
      </c>
      <c r="O82" s="645"/>
      <c r="P82" s="81">
        <f t="shared" si="61"/>
        <v>12540</v>
      </c>
      <c r="Q82" s="81">
        <f t="shared" si="61"/>
        <v>0</v>
      </c>
      <c r="R82" s="81">
        <f t="shared" si="61"/>
        <v>0</v>
      </c>
      <c r="S82" s="81">
        <f t="shared" si="62"/>
        <v>12540</v>
      </c>
      <c r="T82" s="85">
        <f t="shared" si="63"/>
        <v>0</v>
      </c>
      <c r="U82" s="191"/>
      <c r="V82" s="195">
        <f t="shared" si="56"/>
        <v>0</v>
      </c>
    </row>
    <row r="83" spans="1:22" ht="41.4" x14ac:dyDescent="0.25">
      <c r="B83" s="586" t="s">
        <v>360</v>
      </c>
      <c r="C83" s="71"/>
      <c r="D83" s="69"/>
      <c r="E83" s="69"/>
      <c r="F83" s="69"/>
      <c r="G83" s="69"/>
      <c r="H83" s="81">
        <v>0</v>
      </c>
      <c r="I83" s="81">
        <v>0</v>
      </c>
      <c r="J83" s="81"/>
      <c r="K83" s="69"/>
      <c r="L83" s="630">
        <f t="shared" si="58"/>
        <v>0</v>
      </c>
      <c r="M83" s="630">
        <f t="shared" si="59"/>
        <v>0</v>
      </c>
      <c r="N83" s="630">
        <f t="shared" si="60"/>
        <v>0</v>
      </c>
      <c r="O83" s="645"/>
      <c r="P83" s="81">
        <f t="shared" ref="P83:P104" si="64">+(D83-C83)*P$8</f>
        <v>0</v>
      </c>
      <c r="Q83" s="81">
        <f t="shared" ref="Q83:Q104" si="65">+(E83-D83)*Q$8</f>
        <v>0</v>
      </c>
      <c r="R83" s="81">
        <f t="shared" ref="R83:R104" si="66">+(F83-E83)*R$8</f>
        <v>0</v>
      </c>
      <c r="S83" s="81">
        <f t="shared" si="62"/>
        <v>0</v>
      </c>
      <c r="T83" s="85">
        <f t="shared" si="63"/>
        <v>0</v>
      </c>
      <c r="U83" s="191"/>
      <c r="V83" s="195">
        <f t="shared" si="56"/>
        <v>0</v>
      </c>
    </row>
    <row r="84" spans="1:22" x14ac:dyDescent="0.25">
      <c r="A84" s="14" t="s">
        <v>111</v>
      </c>
      <c r="B84" s="20" t="s">
        <v>112</v>
      </c>
      <c r="C84" s="71">
        <v>0</v>
      </c>
      <c r="D84" s="69">
        <v>0</v>
      </c>
      <c r="E84" s="69"/>
      <c r="F84" s="69">
        <v>0</v>
      </c>
      <c r="G84" s="69"/>
      <c r="H84" s="81">
        <v>0</v>
      </c>
      <c r="I84" s="81"/>
      <c r="J84" s="81">
        <v>0</v>
      </c>
      <c r="K84" s="69"/>
      <c r="L84" s="630">
        <f t="shared" si="58"/>
        <v>0</v>
      </c>
      <c r="M84" s="630">
        <f t="shared" si="59"/>
        <v>0</v>
      </c>
      <c r="N84" s="630">
        <f t="shared" si="60"/>
        <v>0</v>
      </c>
      <c r="O84" s="645"/>
      <c r="P84" s="81">
        <f t="shared" si="64"/>
        <v>0</v>
      </c>
      <c r="Q84" s="81">
        <f t="shared" si="65"/>
        <v>0</v>
      </c>
      <c r="R84" s="81">
        <f t="shared" si="66"/>
        <v>0</v>
      </c>
      <c r="S84" s="81">
        <f t="shared" si="62"/>
        <v>0</v>
      </c>
      <c r="T84" s="85">
        <f t="shared" si="63"/>
        <v>0</v>
      </c>
      <c r="U84" s="191"/>
      <c r="V84" s="195">
        <f t="shared" si="56"/>
        <v>0</v>
      </c>
    </row>
    <row r="85" spans="1:22" x14ac:dyDescent="0.25">
      <c r="B85" s="20" t="s">
        <v>113</v>
      </c>
      <c r="C85" s="71"/>
      <c r="D85" s="69"/>
      <c r="E85" s="69"/>
      <c r="F85" s="69"/>
      <c r="G85" s="69"/>
      <c r="H85" s="81"/>
      <c r="I85" s="81"/>
      <c r="J85" s="81"/>
      <c r="K85" s="69"/>
      <c r="L85" s="630">
        <f t="shared" si="58"/>
        <v>0</v>
      </c>
      <c r="M85" s="630">
        <f t="shared" si="59"/>
        <v>0</v>
      </c>
      <c r="N85" s="630">
        <f t="shared" si="60"/>
        <v>0</v>
      </c>
      <c r="O85" s="645"/>
      <c r="P85" s="81">
        <f t="shared" si="64"/>
        <v>0</v>
      </c>
      <c r="Q85" s="81">
        <f t="shared" si="65"/>
        <v>0</v>
      </c>
      <c r="R85" s="81">
        <f t="shared" si="66"/>
        <v>0</v>
      </c>
      <c r="S85" s="81">
        <f t="shared" si="62"/>
        <v>0</v>
      </c>
      <c r="T85" s="85">
        <f t="shared" si="63"/>
        <v>0</v>
      </c>
      <c r="U85" s="191"/>
      <c r="V85" s="195">
        <f t="shared" si="56"/>
        <v>0</v>
      </c>
    </row>
    <row r="86" spans="1:22" x14ac:dyDescent="0.25">
      <c r="B86" s="20" t="s">
        <v>114</v>
      </c>
      <c r="C86" s="71"/>
      <c r="D86" s="69"/>
      <c r="E86" s="69"/>
      <c r="F86" s="69"/>
      <c r="G86" s="69"/>
      <c r="H86" s="81">
        <v>0</v>
      </c>
      <c r="I86" s="81"/>
      <c r="J86" s="81"/>
      <c r="K86" s="69"/>
      <c r="L86" s="630">
        <f t="shared" si="58"/>
        <v>0</v>
      </c>
      <c r="M86" s="630">
        <f t="shared" si="59"/>
        <v>0</v>
      </c>
      <c r="N86" s="630">
        <f t="shared" si="60"/>
        <v>0</v>
      </c>
      <c r="O86" s="645"/>
      <c r="P86" s="81">
        <f t="shared" si="64"/>
        <v>0</v>
      </c>
      <c r="Q86" s="81">
        <f t="shared" si="65"/>
        <v>0</v>
      </c>
      <c r="R86" s="81">
        <f t="shared" si="66"/>
        <v>0</v>
      </c>
      <c r="S86" s="81">
        <f t="shared" si="62"/>
        <v>0</v>
      </c>
      <c r="T86" s="85">
        <f t="shared" si="63"/>
        <v>0</v>
      </c>
      <c r="U86" s="191"/>
      <c r="V86" s="195">
        <f t="shared" si="56"/>
        <v>0</v>
      </c>
    </row>
    <row r="87" spans="1:22" x14ac:dyDescent="0.25">
      <c r="B87" s="20" t="s">
        <v>115</v>
      </c>
      <c r="C87" s="71"/>
      <c r="D87" s="69"/>
      <c r="E87" s="69"/>
      <c r="F87" s="69"/>
      <c r="G87" s="69"/>
      <c r="H87" s="81">
        <v>0</v>
      </c>
      <c r="I87" s="81">
        <v>0</v>
      </c>
      <c r="J87" s="81"/>
      <c r="K87" s="69"/>
      <c r="L87" s="630">
        <f t="shared" si="58"/>
        <v>0</v>
      </c>
      <c r="M87" s="630">
        <f t="shared" si="59"/>
        <v>0</v>
      </c>
      <c r="N87" s="630">
        <f t="shared" si="60"/>
        <v>0</v>
      </c>
      <c r="O87" s="645"/>
      <c r="P87" s="81">
        <f t="shared" si="64"/>
        <v>0</v>
      </c>
      <c r="Q87" s="81">
        <f t="shared" si="65"/>
        <v>0</v>
      </c>
      <c r="R87" s="81">
        <f t="shared" si="66"/>
        <v>0</v>
      </c>
      <c r="S87" s="81">
        <f t="shared" si="62"/>
        <v>0</v>
      </c>
      <c r="T87" s="85">
        <f t="shared" si="63"/>
        <v>0</v>
      </c>
      <c r="U87" s="191"/>
      <c r="V87" s="195">
        <f t="shared" si="56"/>
        <v>0</v>
      </c>
    </row>
    <row r="88" spans="1:22" x14ac:dyDescent="0.25">
      <c r="A88" s="14" t="s">
        <v>116</v>
      </c>
      <c r="B88" s="20" t="s">
        <v>117</v>
      </c>
      <c r="C88" s="71">
        <v>0</v>
      </c>
      <c r="D88" s="69">
        <v>0</v>
      </c>
      <c r="E88" s="69">
        <v>0</v>
      </c>
      <c r="F88" s="69">
        <v>0</v>
      </c>
      <c r="G88" s="69"/>
      <c r="H88" s="81">
        <v>0</v>
      </c>
      <c r="I88" s="81">
        <v>0</v>
      </c>
      <c r="J88" s="81">
        <v>0</v>
      </c>
      <c r="K88" s="69"/>
      <c r="L88" s="630">
        <f t="shared" si="58"/>
        <v>0</v>
      </c>
      <c r="M88" s="630">
        <f t="shared" si="59"/>
        <v>0</v>
      </c>
      <c r="N88" s="630">
        <f t="shared" si="60"/>
        <v>0</v>
      </c>
      <c r="O88" s="645"/>
      <c r="P88" s="81">
        <f t="shared" si="64"/>
        <v>0</v>
      </c>
      <c r="Q88" s="81">
        <f t="shared" si="65"/>
        <v>0</v>
      </c>
      <c r="R88" s="81">
        <f t="shared" si="66"/>
        <v>0</v>
      </c>
      <c r="S88" s="81">
        <f t="shared" si="62"/>
        <v>0</v>
      </c>
      <c r="T88" s="85">
        <f t="shared" si="63"/>
        <v>0</v>
      </c>
      <c r="U88" s="191"/>
      <c r="V88" s="195">
        <f t="shared" si="56"/>
        <v>0</v>
      </c>
    </row>
    <row r="89" spans="1:22" x14ac:dyDescent="0.25">
      <c r="B89" s="20" t="s">
        <v>118</v>
      </c>
      <c r="C89" s="71"/>
      <c r="D89" s="69"/>
      <c r="E89" s="69"/>
      <c r="F89" s="69"/>
      <c r="G89" s="69"/>
      <c r="H89" s="81"/>
      <c r="I89" s="81"/>
      <c r="J89" s="81"/>
      <c r="K89" s="69"/>
      <c r="L89" s="630">
        <f t="shared" si="58"/>
        <v>0</v>
      </c>
      <c r="M89" s="630">
        <f t="shared" si="59"/>
        <v>0</v>
      </c>
      <c r="N89" s="630">
        <f t="shared" si="60"/>
        <v>0</v>
      </c>
      <c r="O89" s="645"/>
      <c r="P89" s="81">
        <f t="shared" si="64"/>
        <v>0</v>
      </c>
      <c r="Q89" s="81">
        <f t="shared" si="65"/>
        <v>0</v>
      </c>
      <c r="R89" s="81">
        <f t="shared" si="66"/>
        <v>0</v>
      </c>
      <c r="S89" s="81">
        <f t="shared" si="62"/>
        <v>0</v>
      </c>
      <c r="T89" s="85">
        <f t="shared" si="63"/>
        <v>0</v>
      </c>
      <c r="U89" s="191"/>
      <c r="V89" s="195">
        <f t="shared" si="56"/>
        <v>0</v>
      </c>
    </row>
    <row r="90" spans="1:22" x14ac:dyDescent="0.25">
      <c r="A90" s="14" t="s">
        <v>119</v>
      </c>
      <c r="B90" s="20" t="s">
        <v>120</v>
      </c>
      <c r="C90" s="71">
        <v>0</v>
      </c>
      <c r="D90" s="69">
        <v>0</v>
      </c>
      <c r="E90" s="69">
        <v>0</v>
      </c>
      <c r="F90" s="69">
        <v>0</v>
      </c>
      <c r="G90" s="69"/>
      <c r="H90" s="81"/>
      <c r="I90" s="81">
        <v>0</v>
      </c>
      <c r="J90" s="81">
        <v>0</v>
      </c>
      <c r="K90" s="69"/>
      <c r="L90" s="630">
        <f t="shared" si="58"/>
        <v>0</v>
      </c>
      <c r="M90" s="630">
        <f t="shared" si="59"/>
        <v>0</v>
      </c>
      <c r="N90" s="630">
        <f t="shared" si="60"/>
        <v>0</v>
      </c>
      <c r="O90" s="645"/>
      <c r="P90" s="81">
        <f t="shared" si="64"/>
        <v>0</v>
      </c>
      <c r="Q90" s="81">
        <f t="shared" si="65"/>
        <v>0</v>
      </c>
      <c r="R90" s="81">
        <f t="shared" si="66"/>
        <v>0</v>
      </c>
      <c r="S90" s="81">
        <f t="shared" si="62"/>
        <v>0</v>
      </c>
      <c r="T90" s="85">
        <f t="shared" si="63"/>
        <v>0</v>
      </c>
      <c r="U90" s="191"/>
      <c r="V90" s="195">
        <f t="shared" si="56"/>
        <v>0</v>
      </c>
    </row>
    <row r="91" spans="1:22" x14ac:dyDescent="0.25">
      <c r="B91" s="20" t="s">
        <v>121</v>
      </c>
      <c r="C91" s="71"/>
      <c r="D91" s="69"/>
      <c r="E91" s="69"/>
      <c r="F91" s="69"/>
      <c r="G91" s="69"/>
      <c r="H91" s="81">
        <v>0</v>
      </c>
      <c r="I91" s="81">
        <v>0</v>
      </c>
      <c r="J91" s="81"/>
      <c r="K91" s="69"/>
      <c r="L91" s="630">
        <f t="shared" si="58"/>
        <v>0</v>
      </c>
      <c r="M91" s="630">
        <f t="shared" si="59"/>
        <v>0</v>
      </c>
      <c r="N91" s="630">
        <f t="shared" si="60"/>
        <v>0</v>
      </c>
      <c r="O91" s="645"/>
      <c r="P91" s="81">
        <f t="shared" si="64"/>
        <v>0</v>
      </c>
      <c r="Q91" s="81">
        <f t="shared" si="65"/>
        <v>0</v>
      </c>
      <c r="R91" s="81">
        <f t="shared" si="66"/>
        <v>0</v>
      </c>
      <c r="S91" s="81">
        <f t="shared" si="62"/>
        <v>0</v>
      </c>
      <c r="T91" s="85">
        <f t="shared" si="63"/>
        <v>0</v>
      </c>
      <c r="U91" s="191"/>
      <c r="V91" s="195">
        <f t="shared" si="56"/>
        <v>0</v>
      </c>
    </row>
    <row r="92" spans="1:22" x14ac:dyDescent="0.25">
      <c r="A92" s="14" t="s">
        <v>122</v>
      </c>
      <c r="B92" s="20" t="s">
        <v>123</v>
      </c>
      <c r="C92" s="71">
        <v>15000000</v>
      </c>
      <c r="D92" s="69">
        <v>15000000</v>
      </c>
      <c r="E92" s="69">
        <v>15000000</v>
      </c>
      <c r="F92" s="69">
        <v>15000000</v>
      </c>
      <c r="G92" s="69"/>
      <c r="H92" s="81">
        <v>5890794</v>
      </c>
      <c r="I92" s="81">
        <v>8972294</v>
      </c>
      <c r="J92" s="81">
        <v>11964794</v>
      </c>
      <c r="K92" s="69"/>
      <c r="L92" s="630">
        <f t="shared" si="58"/>
        <v>0.3927196</v>
      </c>
      <c r="M92" s="630">
        <f t="shared" si="59"/>
        <v>0.5981529333333333</v>
      </c>
      <c r="N92" s="630">
        <f t="shared" si="60"/>
        <v>0.79765293333333331</v>
      </c>
      <c r="O92" s="645"/>
      <c r="P92" s="81">
        <f t="shared" si="64"/>
        <v>0</v>
      </c>
      <c r="Q92" s="81">
        <f t="shared" si="65"/>
        <v>0</v>
      </c>
      <c r="R92" s="81">
        <f t="shared" si="66"/>
        <v>0</v>
      </c>
      <c r="S92" s="81">
        <f t="shared" si="62"/>
        <v>0</v>
      </c>
      <c r="T92" s="85">
        <f t="shared" si="63"/>
        <v>0</v>
      </c>
      <c r="U92" s="191"/>
      <c r="V92" s="195">
        <f t="shared" si="56"/>
        <v>0</v>
      </c>
    </row>
    <row r="93" spans="1:22" ht="21" x14ac:dyDescent="0.25">
      <c r="B93" s="586" t="s">
        <v>124</v>
      </c>
      <c r="C93" s="587"/>
      <c r="D93" s="588"/>
      <c r="E93" s="69"/>
      <c r="F93" s="69"/>
      <c r="G93" s="69"/>
      <c r="H93" s="81"/>
      <c r="I93" s="81"/>
      <c r="J93" s="81"/>
      <c r="K93" s="69"/>
      <c r="L93" s="630"/>
      <c r="M93" s="630"/>
      <c r="N93" s="630"/>
      <c r="O93" s="645"/>
      <c r="P93" s="81">
        <f t="shared" si="64"/>
        <v>0</v>
      </c>
      <c r="Q93" s="81">
        <f t="shared" si="65"/>
        <v>0</v>
      </c>
      <c r="R93" s="81">
        <f t="shared" si="66"/>
        <v>0</v>
      </c>
      <c r="S93" s="81">
        <f t="shared" si="62"/>
        <v>0</v>
      </c>
      <c r="T93" s="85">
        <f t="shared" si="63"/>
        <v>0</v>
      </c>
      <c r="U93" s="191"/>
      <c r="V93" s="195">
        <f t="shared" si="56"/>
        <v>0</v>
      </c>
    </row>
    <row r="94" spans="1:22" x14ac:dyDescent="0.25">
      <c r="B94" s="20" t="s">
        <v>125</v>
      </c>
      <c r="C94" s="71"/>
      <c r="D94" s="69"/>
      <c r="E94" s="69"/>
      <c r="F94" s="69"/>
      <c r="G94" s="69"/>
      <c r="H94" s="81"/>
      <c r="I94" s="81"/>
      <c r="J94" s="81"/>
      <c r="K94" s="69"/>
      <c r="L94" s="630"/>
      <c r="M94" s="630"/>
      <c r="N94" s="630"/>
      <c r="O94" s="645"/>
      <c r="P94" s="81">
        <f t="shared" si="64"/>
        <v>0</v>
      </c>
      <c r="Q94" s="81">
        <f t="shared" si="65"/>
        <v>0</v>
      </c>
      <c r="R94" s="81">
        <f t="shared" si="66"/>
        <v>0</v>
      </c>
      <c r="S94" s="81">
        <f t="shared" si="62"/>
        <v>0</v>
      </c>
      <c r="T94" s="85">
        <f t="shared" si="63"/>
        <v>0</v>
      </c>
      <c r="U94" s="191"/>
      <c r="V94" s="195">
        <f t="shared" si="56"/>
        <v>0</v>
      </c>
    </row>
    <row r="95" spans="1:22" x14ac:dyDescent="0.25">
      <c r="B95" s="20" t="s">
        <v>126</v>
      </c>
      <c r="C95" s="71"/>
      <c r="D95" s="69"/>
      <c r="E95" s="69"/>
      <c r="F95" s="69"/>
      <c r="G95" s="69"/>
      <c r="H95" s="81"/>
      <c r="I95" s="81"/>
      <c r="J95" s="81"/>
      <c r="K95" s="69"/>
      <c r="L95" s="630"/>
      <c r="M95" s="630"/>
      <c r="N95" s="630"/>
      <c r="O95" s="645"/>
      <c r="P95" s="81">
        <f t="shared" si="64"/>
        <v>0</v>
      </c>
      <c r="Q95" s="81">
        <f t="shared" si="65"/>
        <v>0</v>
      </c>
      <c r="R95" s="81">
        <f t="shared" si="66"/>
        <v>0</v>
      </c>
      <c r="S95" s="81">
        <f t="shared" si="62"/>
        <v>0</v>
      </c>
      <c r="T95" s="85">
        <f t="shared" si="63"/>
        <v>0</v>
      </c>
      <c r="U95" s="191"/>
      <c r="V95" s="195">
        <f t="shared" si="56"/>
        <v>0</v>
      </c>
    </row>
    <row r="96" spans="1:22" x14ac:dyDescent="0.25">
      <c r="B96" s="20" t="s">
        <v>127</v>
      </c>
      <c r="C96" s="71"/>
      <c r="D96" s="69"/>
      <c r="E96" s="69"/>
      <c r="F96" s="69"/>
      <c r="G96" s="69"/>
      <c r="H96" s="81"/>
      <c r="I96" s="81"/>
      <c r="J96" s="81"/>
      <c r="K96" s="69"/>
      <c r="L96" s="630"/>
      <c r="M96" s="630"/>
      <c r="N96" s="630"/>
      <c r="O96" s="645"/>
      <c r="P96" s="81">
        <f t="shared" si="64"/>
        <v>0</v>
      </c>
      <c r="Q96" s="81">
        <f t="shared" si="65"/>
        <v>0</v>
      </c>
      <c r="R96" s="81">
        <f t="shared" si="66"/>
        <v>0</v>
      </c>
      <c r="S96" s="81">
        <f t="shared" si="62"/>
        <v>0</v>
      </c>
      <c r="T96" s="85">
        <f t="shared" si="63"/>
        <v>0</v>
      </c>
      <c r="U96" s="191"/>
      <c r="V96" s="195">
        <f t="shared" si="56"/>
        <v>0</v>
      </c>
    </row>
    <row r="97" spans="1:22" x14ac:dyDescent="0.25">
      <c r="B97" s="20" t="s">
        <v>128</v>
      </c>
      <c r="C97" s="71"/>
      <c r="D97" s="69"/>
      <c r="E97" s="69"/>
      <c r="F97" s="69"/>
      <c r="G97" s="69"/>
      <c r="H97" s="81"/>
      <c r="I97" s="81"/>
      <c r="J97" s="81"/>
      <c r="K97" s="69"/>
      <c r="L97" s="630"/>
      <c r="M97" s="630"/>
      <c r="N97" s="630"/>
      <c r="O97" s="645"/>
      <c r="P97" s="81">
        <f t="shared" si="64"/>
        <v>0</v>
      </c>
      <c r="Q97" s="81">
        <f t="shared" si="65"/>
        <v>0</v>
      </c>
      <c r="R97" s="81">
        <f t="shared" si="66"/>
        <v>0</v>
      </c>
      <c r="S97" s="81">
        <f t="shared" si="62"/>
        <v>0</v>
      </c>
      <c r="T97" s="85">
        <f t="shared" si="63"/>
        <v>0</v>
      </c>
      <c r="U97" s="191"/>
      <c r="V97" s="195">
        <f t="shared" si="56"/>
        <v>0</v>
      </c>
    </row>
    <row r="98" spans="1:22" x14ac:dyDescent="0.25">
      <c r="B98" s="20" t="s">
        <v>129</v>
      </c>
      <c r="C98" s="71"/>
      <c r="D98" s="69"/>
      <c r="E98" s="69"/>
      <c r="F98" s="69"/>
      <c r="G98" s="69"/>
      <c r="H98" s="81"/>
      <c r="I98" s="81"/>
      <c r="J98" s="81"/>
      <c r="K98" s="69"/>
      <c r="L98" s="630"/>
      <c r="M98" s="630"/>
      <c r="N98" s="630"/>
      <c r="O98" s="645"/>
      <c r="P98" s="81">
        <f t="shared" si="64"/>
        <v>0</v>
      </c>
      <c r="Q98" s="81">
        <f t="shared" si="65"/>
        <v>0</v>
      </c>
      <c r="R98" s="81">
        <f t="shared" si="66"/>
        <v>0</v>
      </c>
      <c r="S98" s="81">
        <f t="shared" si="62"/>
        <v>0</v>
      </c>
      <c r="T98" s="85">
        <f t="shared" si="63"/>
        <v>0</v>
      </c>
      <c r="U98" s="191"/>
      <c r="V98" s="195">
        <f t="shared" si="56"/>
        <v>0</v>
      </c>
    </row>
    <row r="99" spans="1:22" x14ac:dyDescent="0.25">
      <c r="B99" s="20" t="s">
        <v>130</v>
      </c>
      <c r="C99" s="71"/>
      <c r="D99" s="69"/>
      <c r="E99" s="69"/>
      <c r="F99" s="69"/>
      <c r="G99" s="69"/>
      <c r="H99" s="81"/>
      <c r="I99" s="81"/>
      <c r="J99" s="81"/>
      <c r="K99" s="69"/>
      <c r="L99" s="630"/>
      <c r="M99" s="630"/>
      <c r="N99" s="630"/>
      <c r="O99" s="645"/>
      <c r="P99" s="81">
        <f t="shared" si="64"/>
        <v>0</v>
      </c>
      <c r="Q99" s="81">
        <f t="shared" si="65"/>
        <v>0</v>
      </c>
      <c r="R99" s="81">
        <f t="shared" si="66"/>
        <v>0</v>
      </c>
      <c r="S99" s="81">
        <f t="shared" si="62"/>
        <v>0</v>
      </c>
      <c r="T99" s="85">
        <f t="shared" si="63"/>
        <v>0</v>
      </c>
      <c r="U99" s="191"/>
      <c r="V99" s="195">
        <f t="shared" si="56"/>
        <v>0</v>
      </c>
    </row>
    <row r="100" spans="1:22" x14ac:dyDescent="0.25">
      <c r="B100" s="20" t="s">
        <v>131</v>
      </c>
      <c r="C100" s="71"/>
      <c r="D100" s="69"/>
      <c r="E100" s="69"/>
      <c r="F100" s="69"/>
      <c r="G100" s="69"/>
      <c r="H100" s="81"/>
      <c r="I100" s="81"/>
      <c r="J100" s="81"/>
      <c r="K100" s="69"/>
      <c r="L100" s="630"/>
      <c r="M100" s="630"/>
      <c r="N100" s="630"/>
      <c r="O100" s="645"/>
      <c r="P100" s="81">
        <f t="shared" si="64"/>
        <v>0</v>
      </c>
      <c r="Q100" s="81">
        <f t="shared" si="65"/>
        <v>0</v>
      </c>
      <c r="R100" s="81">
        <f t="shared" si="66"/>
        <v>0</v>
      </c>
      <c r="S100" s="81">
        <f t="shared" si="62"/>
        <v>0</v>
      </c>
      <c r="T100" s="85">
        <f t="shared" si="63"/>
        <v>0</v>
      </c>
      <c r="U100" s="191"/>
      <c r="V100" s="195">
        <f t="shared" si="56"/>
        <v>0</v>
      </c>
    </row>
    <row r="101" spans="1:22" x14ac:dyDescent="0.25">
      <c r="B101" s="20" t="s">
        <v>132</v>
      </c>
      <c r="C101" s="71"/>
      <c r="D101" s="69"/>
      <c r="E101" s="69"/>
      <c r="F101" s="69"/>
      <c r="G101" s="69"/>
      <c r="H101" s="81"/>
      <c r="I101" s="81"/>
      <c r="J101" s="81"/>
      <c r="K101" s="69"/>
      <c r="L101" s="630"/>
      <c r="M101" s="630"/>
      <c r="N101" s="630"/>
      <c r="O101" s="645"/>
      <c r="P101" s="81">
        <f t="shared" si="64"/>
        <v>0</v>
      </c>
      <c r="Q101" s="81">
        <f t="shared" si="65"/>
        <v>0</v>
      </c>
      <c r="R101" s="81">
        <f t="shared" si="66"/>
        <v>0</v>
      </c>
      <c r="S101" s="81">
        <f t="shared" si="62"/>
        <v>0</v>
      </c>
      <c r="T101" s="85">
        <f t="shared" si="63"/>
        <v>0</v>
      </c>
      <c r="U101" s="191"/>
      <c r="V101" s="195">
        <f t="shared" si="56"/>
        <v>0</v>
      </c>
    </row>
    <row r="102" spans="1:22" x14ac:dyDescent="0.25">
      <c r="B102" s="20" t="s">
        <v>133</v>
      </c>
      <c r="C102" s="71"/>
      <c r="D102" s="69"/>
      <c r="E102" s="69"/>
      <c r="F102" s="69"/>
      <c r="G102" s="69"/>
      <c r="H102" s="81"/>
      <c r="I102" s="81"/>
      <c r="J102" s="81"/>
      <c r="K102" s="69"/>
      <c r="L102" s="630"/>
      <c r="M102" s="630"/>
      <c r="N102" s="630"/>
      <c r="O102" s="645"/>
      <c r="P102" s="81">
        <f t="shared" si="64"/>
        <v>0</v>
      </c>
      <c r="Q102" s="81">
        <f t="shared" si="65"/>
        <v>0</v>
      </c>
      <c r="R102" s="81">
        <f t="shared" si="66"/>
        <v>0</v>
      </c>
      <c r="S102" s="81">
        <f t="shared" si="62"/>
        <v>0</v>
      </c>
      <c r="T102" s="85">
        <f t="shared" si="63"/>
        <v>0</v>
      </c>
      <c r="U102" s="191"/>
      <c r="V102" s="195">
        <f t="shared" si="56"/>
        <v>0</v>
      </c>
    </row>
    <row r="103" spans="1:22" ht="26.4" x14ac:dyDescent="0.25">
      <c r="B103" s="20" t="s">
        <v>134</v>
      </c>
      <c r="C103" s="71"/>
      <c r="D103" s="69"/>
      <c r="E103" s="69"/>
      <c r="F103" s="69"/>
      <c r="G103" s="69"/>
      <c r="H103" s="81"/>
      <c r="I103" s="81"/>
      <c r="J103" s="81"/>
      <c r="K103" s="69"/>
      <c r="L103" s="630"/>
      <c r="M103" s="630"/>
      <c r="N103" s="630"/>
      <c r="O103" s="645"/>
      <c r="P103" s="81">
        <f t="shared" si="64"/>
        <v>0</v>
      </c>
      <c r="Q103" s="81">
        <f t="shared" si="65"/>
        <v>0</v>
      </c>
      <c r="R103" s="81">
        <f t="shared" si="66"/>
        <v>0</v>
      </c>
      <c r="S103" s="81">
        <f t="shared" si="62"/>
        <v>0</v>
      </c>
      <c r="T103" s="85">
        <f t="shared" si="63"/>
        <v>0</v>
      </c>
      <c r="U103" s="191"/>
      <c r="V103" s="195">
        <f t="shared" si="56"/>
        <v>0</v>
      </c>
    </row>
    <row r="104" spans="1:22" ht="26.4" hidden="1" x14ac:dyDescent="0.25">
      <c r="B104" s="20" t="s">
        <v>135</v>
      </c>
      <c r="C104" s="71"/>
      <c r="D104" s="69"/>
      <c r="E104" s="69"/>
      <c r="F104" s="69"/>
      <c r="G104" s="69"/>
      <c r="H104" s="81"/>
      <c r="I104" s="81"/>
      <c r="J104" s="81"/>
      <c r="K104" s="69"/>
      <c r="L104" s="630"/>
      <c r="M104" s="630"/>
      <c r="N104" s="630"/>
      <c r="O104" s="645"/>
      <c r="P104" s="81">
        <f t="shared" si="64"/>
        <v>0</v>
      </c>
      <c r="Q104" s="81">
        <f t="shared" si="65"/>
        <v>0</v>
      </c>
      <c r="R104" s="81">
        <f t="shared" si="66"/>
        <v>0</v>
      </c>
      <c r="S104" s="81">
        <f t="shared" ref="S104" si="67">SUM(P104:R104)</f>
        <v>0</v>
      </c>
      <c r="T104" s="85">
        <f t="shared" si="63"/>
        <v>0</v>
      </c>
      <c r="U104" s="191"/>
      <c r="V104" s="195">
        <f t="shared" si="56"/>
        <v>0</v>
      </c>
    </row>
    <row r="105" spans="1:22" x14ac:dyDescent="0.25">
      <c r="C105" s="71"/>
      <c r="D105" s="69"/>
      <c r="E105" s="69"/>
      <c r="F105" s="69"/>
      <c r="G105" s="69"/>
      <c r="H105" s="81"/>
      <c r="I105" s="81"/>
      <c r="J105" s="81"/>
      <c r="K105" s="69"/>
      <c r="L105" s="630"/>
      <c r="M105" s="630"/>
      <c r="N105" s="630"/>
      <c r="O105" s="645"/>
      <c r="P105" s="81"/>
      <c r="Q105" s="81"/>
      <c r="R105" s="81"/>
      <c r="S105" s="81"/>
      <c r="T105" s="85"/>
      <c r="U105" s="191"/>
      <c r="V105" s="195"/>
    </row>
    <row r="106" spans="1:22" x14ac:dyDescent="0.25">
      <c r="A106" s="4" t="s">
        <v>136</v>
      </c>
      <c r="B106" s="3" t="s">
        <v>137</v>
      </c>
      <c r="C106" s="66">
        <f>SUM(C107:C119)</f>
        <v>152600000</v>
      </c>
      <c r="D106" s="66">
        <f>SUM(D107:D119)</f>
        <v>164026133</v>
      </c>
      <c r="E106" s="66">
        <f t="shared" ref="E106:F106" si="68">SUM(E107:E118)</f>
        <v>167046133</v>
      </c>
      <c r="F106" s="66">
        <f t="shared" si="68"/>
        <v>164848644</v>
      </c>
      <c r="G106" s="66"/>
      <c r="H106" s="83">
        <f>SUM(H107:H119)</f>
        <v>89465409</v>
      </c>
      <c r="I106" s="83">
        <f>SUM(I107:I118)</f>
        <v>122182084</v>
      </c>
      <c r="J106" s="83">
        <f>SUM(J107:J118)</f>
        <v>144767924</v>
      </c>
      <c r="K106" s="66"/>
      <c r="L106" s="631">
        <f t="shared" ref="L106:L118" si="69">IF(H106&gt;0,H106/C106,0)</f>
        <v>0.58627397771952816</v>
      </c>
      <c r="M106" s="631">
        <f t="shared" ref="M106:M118" si="70">IF(I106&gt;0,I106/D106,0)</f>
        <v>0.74489401027335078</v>
      </c>
      <c r="N106" s="631">
        <f t="shared" ref="N106:N118" si="71">IF(J106&gt;0,J106/E106,0)</f>
        <v>0.86663439254831476</v>
      </c>
      <c r="O106" s="646"/>
      <c r="P106" s="83">
        <f>IF(D106&gt;0,+D106-C106,0)</f>
        <v>11426133</v>
      </c>
      <c r="Q106" s="83">
        <f>IF(E106&gt;0,+E106-D106,0)</f>
        <v>3020000</v>
      </c>
      <c r="R106" s="83">
        <f>IF(F106&gt;0,+F106-E106,0)</f>
        <v>-2197489</v>
      </c>
      <c r="S106" s="83">
        <f t="shared" ref="S106:S118" si="72">+P106*P$8+Q106*Q$8+Q106*G$8</f>
        <v>14446133</v>
      </c>
      <c r="T106" s="85">
        <f t="shared" ref="T106:T118" si="73">IF(C106=0,0,+S106/C106)</f>
        <v>9.4666664482306678E-2</v>
      </c>
      <c r="U106" s="193"/>
      <c r="V106" s="195">
        <f t="shared" ref="V106:V137" si="74">+S106-E106+C106</f>
        <v>0</v>
      </c>
    </row>
    <row r="107" spans="1:22" x14ac:dyDescent="0.25">
      <c r="A107" s="14" t="s">
        <v>138</v>
      </c>
      <c r="B107" s="20" t="s">
        <v>139</v>
      </c>
      <c r="C107" s="71"/>
      <c r="D107" s="69"/>
      <c r="E107" s="69"/>
      <c r="F107" s="69">
        <v>1435840</v>
      </c>
      <c r="G107" s="69"/>
      <c r="H107" s="81"/>
      <c r="I107" s="81"/>
      <c r="J107" s="81">
        <v>1435840</v>
      </c>
      <c r="K107" s="69"/>
      <c r="L107" s="630">
        <f t="shared" si="69"/>
        <v>0</v>
      </c>
      <c r="M107" s="630">
        <f t="shared" si="70"/>
        <v>0</v>
      </c>
      <c r="N107" s="630" t="e">
        <f t="shared" si="71"/>
        <v>#DIV/0!</v>
      </c>
      <c r="O107" s="645"/>
      <c r="P107" s="81">
        <f t="shared" ref="P107:P118" si="75">+(D107-C107)*P$8</f>
        <v>0</v>
      </c>
      <c r="Q107" s="81">
        <f t="shared" ref="Q107:Q118" si="76">+(E107-D107)*Q$8</f>
        <v>0</v>
      </c>
      <c r="R107" s="81">
        <f t="shared" ref="R107:R118" si="77">+(F107-E107)*R$8</f>
        <v>0</v>
      </c>
      <c r="S107" s="81">
        <f t="shared" si="72"/>
        <v>0</v>
      </c>
      <c r="T107" s="85">
        <f t="shared" si="73"/>
        <v>0</v>
      </c>
      <c r="U107" s="191"/>
      <c r="V107" s="195">
        <f t="shared" si="74"/>
        <v>0</v>
      </c>
    </row>
    <row r="108" spans="1:22" hidden="1" x14ac:dyDescent="0.25">
      <c r="B108" s="20" t="s">
        <v>140</v>
      </c>
      <c r="C108" s="71"/>
      <c r="D108" s="69"/>
      <c r="E108" s="69"/>
      <c r="F108" s="69"/>
      <c r="G108" s="69"/>
      <c r="H108" s="81"/>
      <c r="I108" s="81">
        <v>0</v>
      </c>
      <c r="J108" s="81"/>
      <c r="K108" s="69"/>
      <c r="L108" s="630">
        <f t="shared" si="69"/>
        <v>0</v>
      </c>
      <c r="M108" s="630">
        <f t="shared" si="70"/>
        <v>0</v>
      </c>
      <c r="N108" s="630">
        <f t="shared" si="71"/>
        <v>0</v>
      </c>
      <c r="O108" s="645"/>
      <c r="P108" s="81">
        <f t="shared" si="75"/>
        <v>0</v>
      </c>
      <c r="Q108" s="81">
        <f t="shared" si="76"/>
        <v>0</v>
      </c>
      <c r="R108" s="81">
        <f t="shared" si="77"/>
        <v>0</v>
      </c>
      <c r="S108" s="81">
        <f t="shared" si="72"/>
        <v>0</v>
      </c>
      <c r="T108" s="85">
        <f t="shared" si="73"/>
        <v>0</v>
      </c>
      <c r="U108" s="191"/>
      <c r="V108" s="195">
        <f t="shared" si="74"/>
        <v>0</v>
      </c>
    </row>
    <row r="109" spans="1:22" ht="26.4" x14ac:dyDescent="0.25">
      <c r="A109" s="14" t="s">
        <v>141</v>
      </c>
      <c r="B109" s="20" t="s">
        <v>143</v>
      </c>
      <c r="C109" s="71"/>
      <c r="D109" s="69"/>
      <c r="E109" s="69"/>
      <c r="F109" s="69"/>
      <c r="G109" s="69"/>
      <c r="H109" s="81"/>
      <c r="I109" s="81"/>
      <c r="J109" s="81"/>
      <c r="K109" s="69"/>
      <c r="L109" s="630">
        <f t="shared" si="69"/>
        <v>0</v>
      </c>
      <c r="M109" s="630">
        <f t="shared" si="70"/>
        <v>0</v>
      </c>
      <c r="N109" s="630">
        <f t="shared" si="71"/>
        <v>0</v>
      </c>
      <c r="O109" s="645"/>
      <c r="P109" s="81">
        <f t="shared" si="75"/>
        <v>0</v>
      </c>
      <c r="Q109" s="81">
        <f t="shared" si="76"/>
        <v>0</v>
      </c>
      <c r="R109" s="81">
        <f t="shared" si="77"/>
        <v>0</v>
      </c>
      <c r="S109" s="81">
        <f t="shared" si="72"/>
        <v>0</v>
      </c>
      <c r="T109" s="85">
        <f t="shared" si="73"/>
        <v>0</v>
      </c>
      <c r="U109" s="191"/>
      <c r="V109" s="195">
        <f t="shared" si="74"/>
        <v>0</v>
      </c>
    </row>
    <row r="110" spans="1:22" ht="26.4" x14ac:dyDescent="0.25">
      <c r="A110" s="14" t="s">
        <v>142</v>
      </c>
      <c r="B110" s="20" t="s">
        <v>144</v>
      </c>
      <c r="C110" s="71"/>
      <c r="D110" s="69"/>
      <c r="E110" s="69"/>
      <c r="F110" s="69"/>
      <c r="G110" s="69"/>
      <c r="H110" s="81"/>
      <c r="I110" s="81"/>
      <c r="J110" s="81"/>
      <c r="K110" s="69"/>
      <c r="L110" s="630">
        <f t="shared" si="69"/>
        <v>0</v>
      </c>
      <c r="M110" s="630">
        <f t="shared" si="70"/>
        <v>0</v>
      </c>
      <c r="N110" s="630">
        <f t="shared" si="71"/>
        <v>0</v>
      </c>
      <c r="O110" s="645"/>
      <c r="P110" s="81">
        <f t="shared" si="75"/>
        <v>0</v>
      </c>
      <c r="Q110" s="81">
        <f t="shared" si="76"/>
        <v>0</v>
      </c>
      <c r="R110" s="81">
        <f t="shared" si="77"/>
        <v>0</v>
      </c>
      <c r="S110" s="81">
        <f t="shared" si="72"/>
        <v>0</v>
      </c>
      <c r="T110" s="85">
        <f t="shared" si="73"/>
        <v>0</v>
      </c>
      <c r="U110" s="191"/>
      <c r="V110" s="195">
        <f t="shared" si="74"/>
        <v>0</v>
      </c>
    </row>
    <row r="111" spans="1:22" ht="26.4" x14ac:dyDescent="0.25">
      <c r="A111" s="14" t="s">
        <v>145</v>
      </c>
      <c r="B111" s="20" t="s">
        <v>146</v>
      </c>
      <c r="C111" s="71"/>
      <c r="D111" s="69"/>
      <c r="E111" s="69"/>
      <c r="F111" s="69"/>
      <c r="G111" s="69"/>
      <c r="H111" s="81"/>
      <c r="I111" s="81"/>
      <c r="J111" s="81"/>
      <c r="K111" s="69"/>
      <c r="L111" s="630">
        <f t="shared" si="69"/>
        <v>0</v>
      </c>
      <c r="M111" s="630">
        <f t="shared" si="70"/>
        <v>0</v>
      </c>
      <c r="N111" s="630">
        <f t="shared" si="71"/>
        <v>0</v>
      </c>
      <c r="O111" s="645"/>
      <c r="P111" s="81">
        <f t="shared" si="75"/>
        <v>0</v>
      </c>
      <c r="Q111" s="81">
        <f t="shared" si="76"/>
        <v>0</v>
      </c>
      <c r="R111" s="81">
        <f t="shared" si="77"/>
        <v>0</v>
      </c>
      <c r="S111" s="81">
        <f t="shared" si="72"/>
        <v>0</v>
      </c>
      <c r="T111" s="85">
        <f t="shared" si="73"/>
        <v>0</v>
      </c>
      <c r="U111" s="191"/>
      <c r="V111" s="195">
        <f t="shared" si="74"/>
        <v>0</v>
      </c>
    </row>
    <row r="112" spans="1:22" x14ac:dyDescent="0.25">
      <c r="A112" s="14" t="s">
        <v>147</v>
      </c>
      <c r="B112" s="20" t="s">
        <v>148</v>
      </c>
      <c r="C112" s="71">
        <v>1000000</v>
      </c>
      <c r="D112" s="69">
        <v>1000000</v>
      </c>
      <c r="E112" s="69">
        <v>500000</v>
      </c>
      <c r="F112" s="69">
        <v>530720</v>
      </c>
      <c r="G112" s="69"/>
      <c r="H112" s="81">
        <v>240000</v>
      </c>
      <c r="I112" s="81">
        <v>450000</v>
      </c>
      <c r="J112" s="81">
        <v>450000</v>
      </c>
      <c r="K112" s="69"/>
      <c r="L112" s="630">
        <f t="shared" si="69"/>
        <v>0.24</v>
      </c>
      <c r="M112" s="630">
        <f t="shared" si="70"/>
        <v>0.45</v>
      </c>
      <c r="N112" s="630">
        <f t="shared" si="71"/>
        <v>0.9</v>
      </c>
      <c r="O112" s="645"/>
      <c r="P112" s="81">
        <f t="shared" si="75"/>
        <v>0</v>
      </c>
      <c r="Q112" s="81">
        <f t="shared" si="76"/>
        <v>-500000</v>
      </c>
      <c r="R112" s="81">
        <f t="shared" si="77"/>
        <v>0</v>
      </c>
      <c r="S112" s="81">
        <f t="shared" si="72"/>
        <v>-500000</v>
      </c>
      <c r="T112" s="85">
        <f t="shared" si="73"/>
        <v>-0.5</v>
      </c>
      <c r="U112" s="191"/>
      <c r="V112" s="195">
        <f t="shared" si="74"/>
        <v>0</v>
      </c>
    </row>
    <row r="113" spans="1:22" ht="39.6" hidden="1" x14ac:dyDescent="0.25">
      <c r="B113" s="20" t="s">
        <v>149</v>
      </c>
      <c r="C113" s="71"/>
      <c r="D113" s="69"/>
      <c r="E113" s="69"/>
      <c r="F113" s="69"/>
      <c r="G113" s="69"/>
      <c r="H113" s="81"/>
      <c r="I113" s="81"/>
      <c r="J113" s="81"/>
      <c r="K113" s="69"/>
      <c r="L113" s="630">
        <f t="shared" si="69"/>
        <v>0</v>
      </c>
      <c r="M113" s="630">
        <f t="shared" si="70"/>
        <v>0</v>
      </c>
      <c r="N113" s="630">
        <f t="shared" si="71"/>
        <v>0</v>
      </c>
      <c r="O113" s="645"/>
      <c r="P113" s="81">
        <f t="shared" si="75"/>
        <v>0</v>
      </c>
      <c r="Q113" s="81">
        <f t="shared" si="76"/>
        <v>0</v>
      </c>
      <c r="R113" s="81">
        <f t="shared" si="77"/>
        <v>0</v>
      </c>
      <c r="S113" s="81">
        <f t="shared" si="72"/>
        <v>0</v>
      </c>
      <c r="T113" s="85">
        <f t="shared" si="73"/>
        <v>0</v>
      </c>
      <c r="U113" s="191"/>
      <c r="V113" s="195">
        <f t="shared" si="74"/>
        <v>0</v>
      </c>
    </row>
    <row r="114" spans="1:22" ht="52.8" hidden="1" x14ac:dyDescent="0.25">
      <c r="A114" s="14" t="s">
        <v>150</v>
      </c>
      <c r="B114" s="20" t="s">
        <v>151</v>
      </c>
      <c r="C114" s="71">
        <v>0</v>
      </c>
      <c r="D114" s="69">
        <f>+C114</f>
        <v>0</v>
      </c>
      <c r="E114" s="69"/>
      <c r="F114" s="69"/>
      <c r="G114" s="69"/>
      <c r="H114" s="81"/>
      <c r="I114" s="81">
        <v>0</v>
      </c>
      <c r="J114" s="81"/>
      <c r="K114" s="69"/>
      <c r="L114" s="630">
        <f t="shared" si="69"/>
        <v>0</v>
      </c>
      <c r="M114" s="630">
        <f t="shared" si="70"/>
        <v>0</v>
      </c>
      <c r="N114" s="630">
        <f t="shared" si="71"/>
        <v>0</v>
      </c>
      <c r="O114" s="645"/>
      <c r="P114" s="81">
        <f t="shared" si="75"/>
        <v>0</v>
      </c>
      <c r="Q114" s="81">
        <f t="shared" si="76"/>
        <v>0</v>
      </c>
      <c r="R114" s="81">
        <f t="shared" si="77"/>
        <v>0</v>
      </c>
      <c r="S114" s="81">
        <f t="shared" si="72"/>
        <v>0</v>
      </c>
      <c r="T114" s="85">
        <f t="shared" si="73"/>
        <v>0</v>
      </c>
      <c r="U114" s="191"/>
      <c r="V114" s="195">
        <f t="shared" si="74"/>
        <v>0</v>
      </c>
    </row>
    <row r="115" spans="1:22" ht="34.799999999999997" x14ac:dyDescent="0.25">
      <c r="A115" s="14" t="s">
        <v>152</v>
      </c>
      <c r="B115" s="585" t="s">
        <v>153</v>
      </c>
      <c r="C115" s="71"/>
      <c r="D115" s="69"/>
      <c r="E115" s="69"/>
      <c r="F115" s="69"/>
      <c r="G115" s="69"/>
      <c r="H115" s="81"/>
      <c r="I115" s="81"/>
      <c r="J115" s="81"/>
      <c r="K115" s="69"/>
      <c r="L115" s="630">
        <f t="shared" si="69"/>
        <v>0</v>
      </c>
      <c r="M115" s="630">
        <f t="shared" si="70"/>
        <v>0</v>
      </c>
      <c r="N115" s="630">
        <f t="shared" si="71"/>
        <v>0</v>
      </c>
      <c r="O115" s="645"/>
      <c r="P115" s="81">
        <f t="shared" si="75"/>
        <v>0</v>
      </c>
      <c r="Q115" s="81">
        <f t="shared" si="76"/>
        <v>0</v>
      </c>
      <c r="R115" s="81">
        <f t="shared" si="77"/>
        <v>0</v>
      </c>
      <c r="S115" s="81">
        <f t="shared" si="72"/>
        <v>0</v>
      </c>
      <c r="T115" s="85">
        <f t="shared" si="73"/>
        <v>0</v>
      </c>
      <c r="U115" s="191"/>
      <c r="V115" s="195">
        <f t="shared" si="74"/>
        <v>0</v>
      </c>
    </row>
    <row r="116" spans="1:22" x14ac:dyDescent="0.25">
      <c r="A116" s="43" t="s">
        <v>363</v>
      </c>
      <c r="B116" s="20" t="s">
        <v>361</v>
      </c>
      <c r="C116" s="71">
        <v>131600000</v>
      </c>
      <c r="D116" s="69">
        <v>143026133</v>
      </c>
      <c r="E116" s="69">
        <v>146546133</v>
      </c>
      <c r="F116" s="69">
        <v>142882084</v>
      </c>
      <c r="G116" s="69"/>
      <c r="H116" s="81">
        <v>89225409</v>
      </c>
      <c r="I116" s="81">
        <v>121732084</v>
      </c>
      <c r="J116" s="81">
        <v>142882084</v>
      </c>
      <c r="K116" s="69"/>
      <c r="L116" s="630">
        <f t="shared" si="69"/>
        <v>0.67800462765957448</v>
      </c>
      <c r="M116" s="630">
        <f t="shared" si="70"/>
        <v>0.85111777440001124</v>
      </c>
      <c r="N116" s="630">
        <f t="shared" si="71"/>
        <v>0.97499729999699136</v>
      </c>
      <c r="O116" s="645"/>
      <c r="P116" s="81">
        <f t="shared" si="75"/>
        <v>11426133</v>
      </c>
      <c r="Q116" s="81">
        <f t="shared" si="76"/>
        <v>3520000</v>
      </c>
      <c r="R116" s="81">
        <f t="shared" si="77"/>
        <v>0</v>
      </c>
      <c r="S116" s="81">
        <f t="shared" si="72"/>
        <v>14946133</v>
      </c>
      <c r="T116" s="85">
        <f t="shared" si="73"/>
        <v>0.11357243920972644</v>
      </c>
      <c r="U116" s="191"/>
      <c r="V116" s="195">
        <f t="shared" si="74"/>
        <v>0</v>
      </c>
    </row>
    <row r="117" spans="1:22" x14ac:dyDescent="0.25">
      <c r="B117" s="20" t="s">
        <v>362</v>
      </c>
      <c r="C117" s="71"/>
      <c r="D117" s="69"/>
      <c r="E117" s="69"/>
      <c r="F117" s="69"/>
      <c r="G117" s="69"/>
      <c r="H117" s="81"/>
      <c r="I117" s="81"/>
      <c r="J117" s="81"/>
      <c r="K117" s="69"/>
      <c r="L117" s="630">
        <f t="shared" si="69"/>
        <v>0</v>
      </c>
      <c r="M117" s="630">
        <f t="shared" si="70"/>
        <v>0</v>
      </c>
      <c r="N117" s="630">
        <f t="shared" si="71"/>
        <v>0</v>
      </c>
      <c r="O117" s="645"/>
      <c r="P117" s="81">
        <f t="shared" si="75"/>
        <v>0</v>
      </c>
      <c r="Q117" s="81">
        <f t="shared" si="76"/>
        <v>0</v>
      </c>
      <c r="R117" s="81">
        <f t="shared" si="77"/>
        <v>0</v>
      </c>
      <c r="S117" s="81">
        <f t="shared" si="72"/>
        <v>0</v>
      </c>
      <c r="T117" s="85">
        <f t="shared" si="73"/>
        <v>0</v>
      </c>
      <c r="U117" s="191"/>
      <c r="V117" s="195">
        <f t="shared" si="74"/>
        <v>0</v>
      </c>
    </row>
    <row r="118" spans="1:22" x14ac:dyDescent="0.25">
      <c r="A118" s="43" t="s">
        <v>381</v>
      </c>
      <c r="B118" s="482" t="s">
        <v>483</v>
      </c>
      <c r="C118" s="71">
        <v>20000000</v>
      </c>
      <c r="D118" s="69">
        <v>20000000</v>
      </c>
      <c r="E118" s="175">
        <v>20000000</v>
      </c>
      <c r="F118" s="69">
        <v>20000000</v>
      </c>
      <c r="G118" s="69"/>
      <c r="H118" s="81">
        <v>0</v>
      </c>
      <c r="I118" s="81">
        <v>0</v>
      </c>
      <c r="J118" s="81">
        <v>0</v>
      </c>
      <c r="K118" s="69"/>
      <c r="L118" s="630">
        <f t="shared" si="69"/>
        <v>0</v>
      </c>
      <c r="M118" s="630">
        <f t="shared" si="70"/>
        <v>0</v>
      </c>
      <c r="N118" s="630">
        <f t="shared" si="71"/>
        <v>0</v>
      </c>
      <c r="O118" s="645"/>
      <c r="P118" s="81">
        <f t="shared" si="75"/>
        <v>0</v>
      </c>
      <c r="Q118" s="81">
        <f t="shared" si="76"/>
        <v>0</v>
      </c>
      <c r="R118" s="81">
        <f t="shared" si="77"/>
        <v>0</v>
      </c>
      <c r="S118" s="81">
        <f t="shared" si="72"/>
        <v>0</v>
      </c>
      <c r="T118" s="85">
        <f t="shared" si="73"/>
        <v>0</v>
      </c>
      <c r="U118" s="191"/>
      <c r="V118" s="195">
        <f t="shared" si="74"/>
        <v>0</v>
      </c>
    </row>
    <row r="119" spans="1:22" x14ac:dyDescent="0.25">
      <c r="A119" s="43"/>
      <c r="B119" s="20"/>
      <c r="C119" s="71"/>
      <c r="D119" s="69"/>
      <c r="E119" s="175"/>
      <c r="F119" s="69"/>
      <c r="G119" s="69"/>
      <c r="H119" s="81"/>
      <c r="I119" s="81"/>
      <c r="J119" s="81"/>
      <c r="K119" s="69"/>
      <c r="L119" s="630"/>
      <c r="M119" s="630"/>
      <c r="N119" s="630"/>
      <c r="O119" s="645"/>
      <c r="P119" s="81"/>
      <c r="Q119" s="81"/>
      <c r="R119" s="81"/>
      <c r="S119" s="81"/>
      <c r="T119" s="85"/>
      <c r="U119" s="191"/>
      <c r="V119" s="195">
        <f t="shared" si="74"/>
        <v>0</v>
      </c>
    </row>
    <row r="120" spans="1:22" x14ac:dyDescent="0.25">
      <c r="A120" s="4" t="s">
        <v>154</v>
      </c>
      <c r="B120" s="3" t="s">
        <v>155</v>
      </c>
      <c r="C120" s="66">
        <f>SUM(C121:C128)</f>
        <v>244165354</v>
      </c>
      <c r="D120" s="66">
        <f>SUM(D121:D128)</f>
        <v>196087098</v>
      </c>
      <c r="E120" s="66">
        <f>SUM(E121:E127)</f>
        <v>177462297</v>
      </c>
      <c r="F120" s="66">
        <f>SUM(F121:F127)</f>
        <v>163533381</v>
      </c>
      <c r="G120" s="66"/>
      <c r="H120" s="83">
        <f>SUM(H121:H128)</f>
        <v>26035281</v>
      </c>
      <c r="I120" s="83">
        <f>SUM(I121:I127)</f>
        <v>29670109</v>
      </c>
      <c r="J120" s="83">
        <f>SUM(J121:J127)</f>
        <v>157888187</v>
      </c>
      <c r="K120" s="66"/>
      <c r="L120" s="631">
        <f t="shared" ref="L120:L127" si="78">IF(H120&gt;0,H120/C120,0)</f>
        <v>0.10662971045433416</v>
      </c>
      <c r="M120" s="631">
        <f t="shared" ref="M120:M127" si="79">IF(I120&gt;0,I120/D120,0)</f>
        <v>0.15131086798989701</v>
      </c>
      <c r="N120" s="631">
        <f t="shared" ref="N120:N127" si="80">IF(J120&gt;0,J120/E120,0)</f>
        <v>0.88969989495853308</v>
      </c>
      <c r="O120" s="646"/>
      <c r="P120" s="83">
        <f>IF(D120&gt;0,+D120-C120,0)</f>
        <v>-48078256</v>
      </c>
      <c r="Q120" s="83">
        <f>IF(E120&gt;0,+E120-D120,0)</f>
        <v>-18624801</v>
      </c>
      <c r="R120" s="83">
        <f>IF(F120&gt;0,+F120-E120,0)</f>
        <v>-13928916</v>
      </c>
      <c r="S120" s="83">
        <f t="shared" ref="S120:S127" si="81">+P120*P$8+Q120*Q$8+Q120*G$8</f>
        <v>-66703057</v>
      </c>
      <c r="T120" s="85">
        <f t="shared" ref="T120:T127" si="82">IF(C120=0,0,+S120/C120)</f>
        <v>-0.27318805025876031</v>
      </c>
      <c r="U120" s="193"/>
      <c r="V120" s="195">
        <f t="shared" si="74"/>
        <v>0</v>
      </c>
    </row>
    <row r="121" spans="1:22" x14ac:dyDescent="0.25">
      <c r="A121" s="14" t="s">
        <v>156</v>
      </c>
      <c r="B121" s="20" t="s">
        <v>157</v>
      </c>
      <c r="C121" s="71"/>
      <c r="D121" s="69"/>
      <c r="E121" s="69"/>
      <c r="F121" s="69"/>
      <c r="G121" s="69"/>
      <c r="H121" s="81"/>
      <c r="I121" s="81"/>
      <c r="J121" s="81"/>
      <c r="K121" s="69"/>
      <c r="L121" s="630">
        <f t="shared" si="78"/>
        <v>0</v>
      </c>
      <c r="M121" s="630">
        <f t="shared" si="79"/>
        <v>0</v>
      </c>
      <c r="N121" s="630">
        <f t="shared" si="80"/>
        <v>0</v>
      </c>
      <c r="O121" s="645"/>
      <c r="P121" s="81">
        <f t="shared" ref="P121:R127" si="83">+(D121-C121)*P$8</f>
        <v>0</v>
      </c>
      <c r="Q121" s="81">
        <f t="shared" si="83"/>
        <v>0</v>
      </c>
      <c r="R121" s="81">
        <f t="shared" si="83"/>
        <v>0</v>
      </c>
      <c r="S121" s="81">
        <f t="shared" si="81"/>
        <v>0</v>
      </c>
      <c r="T121" s="85">
        <f t="shared" si="82"/>
        <v>0</v>
      </c>
      <c r="U121" s="191"/>
      <c r="V121" s="195">
        <f t="shared" si="74"/>
        <v>0</v>
      </c>
    </row>
    <row r="122" spans="1:22" x14ac:dyDescent="0.25">
      <c r="A122" s="14" t="s">
        <v>158</v>
      </c>
      <c r="B122" s="20" t="s">
        <v>159</v>
      </c>
      <c r="C122" s="71">
        <v>244165354</v>
      </c>
      <c r="D122" s="71">
        <v>181396598</v>
      </c>
      <c r="E122" s="175">
        <v>159984741</v>
      </c>
      <c r="F122" s="69">
        <v>125957332</v>
      </c>
      <c r="G122" s="69"/>
      <c r="H122" s="81">
        <v>11400000</v>
      </c>
      <c r="I122" s="81">
        <v>13524465</v>
      </c>
      <c r="J122" s="81">
        <v>120765457</v>
      </c>
      <c r="K122" s="69"/>
      <c r="L122" s="630">
        <f t="shared" si="78"/>
        <v>4.66896708039913E-2</v>
      </c>
      <c r="M122" s="630">
        <f t="shared" si="79"/>
        <v>7.4557434643840459E-2</v>
      </c>
      <c r="N122" s="630">
        <f t="shared" si="80"/>
        <v>0.75485609593229896</v>
      </c>
      <c r="O122" s="645"/>
      <c r="P122" s="81">
        <f t="shared" si="83"/>
        <v>-62768756</v>
      </c>
      <c r="Q122" s="81">
        <f t="shared" si="83"/>
        <v>-21411857</v>
      </c>
      <c r="R122" s="81">
        <f t="shared" si="83"/>
        <v>0</v>
      </c>
      <c r="S122" s="81">
        <f t="shared" si="81"/>
        <v>-84180613</v>
      </c>
      <c r="T122" s="85">
        <f t="shared" si="82"/>
        <v>-0.34476886921475353</v>
      </c>
      <c r="U122" s="191"/>
      <c r="V122" s="195">
        <f t="shared" si="74"/>
        <v>0</v>
      </c>
    </row>
    <row r="123" spans="1:22" hidden="1" x14ac:dyDescent="0.25">
      <c r="B123" s="20" t="s">
        <v>160</v>
      </c>
      <c r="C123" s="71"/>
      <c r="D123" s="71"/>
      <c r="E123" s="69"/>
      <c r="F123" s="69"/>
      <c r="G123" s="69"/>
      <c r="H123" s="81"/>
      <c r="I123" s="81"/>
      <c r="J123" s="81"/>
      <c r="K123" s="69"/>
      <c r="L123" s="630">
        <f t="shared" si="78"/>
        <v>0</v>
      </c>
      <c r="M123" s="630">
        <f t="shared" si="79"/>
        <v>0</v>
      </c>
      <c r="N123" s="630">
        <f t="shared" si="80"/>
        <v>0</v>
      </c>
      <c r="O123" s="645"/>
      <c r="P123" s="81">
        <f t="shared" si="83"/>
        <v>0</v>
      </c>
      <c r="Q123" s="81">
        <f t="shared" si="83"/>
        <v>0</v>
      </c>
      <c r="R123" s="81">
        <f t="shared" si="83"/>
        <v>0</v>
      </c>
      <c r="S123" s="81">
        <f t="shared" si="81"/>
        <v>0</v>
      </c>
      <c r="T123" s="85">
        <f t="shared" si="82"/>
        <v>0</v>
      </c>
      <c r="U123" s="191"/>
      <c r="V123" s="195">
        <f t="shared" si="74"/>
        <v>0</v>
      </c>
    </row>
    <row r="124" spans="1:22" x14ac:dyDescent="0.25">
      <c r="A124" s="14" t="s">
        <v>161</v>
      </c>
      <c r="B124" s="20" t="s">
        <v>162</v>
      </c>
      <c r="C124" s="71">
        <v>0</v>
      </c>
      <c r="D124" s="71">
        <v>10150000</v>
      </c>
      <c r="E124" s="69">
        <v>10150000</v>
      </c>
      <c r="F124" s="69">
        <v>10150000</v>
      </c>
      <c r="G124" s="69"/>
      <c r="H124" s="81">
        <v>10150000</v>
      </c>
      <c r="I124" s="81">
        <v>10150000</v>
      </c>
      <c r="J124" s="81">
        <v>10150000</v>
      </c>
      <c r="K124" s="69"/>
      <c r="L124" s="630" t="e">
        <f t="shared" si="78"/>
        <v>#DIV/0!</v>
      </c>
      <c r="M124" s="630">
        <f t="shared" si="79"/>
        <v>1</v>
      </c>
      <c r="N124" s="630">
        <f t="shared" si="80"/>
        <v>1</v>
      </c>
      <c r="O124" s="645"/>
      <c r="P124" s="81">
        <f t="shared" si="83"/>
        <v>10150000</v>
      </c>
      <c r="Q124" s="81">
        <f t="shared" si="83"/>
        <v>0</v>
      </c>
      <c r="R124" s="81">
        <f t="shared" si="83"/>
        <v>0</v>
      </c>
      <c r="S124" s="81">
        <f t="shared" si="81"/>
        <v>10150000</v>
      </c>
      <c r="T124" s="85">
        <f t="shared" si="82"/>
        <v>0</v>
      </c>
      <c r="U124" s="191"/>
      <c r="V124" s="195">
        <f t="shared" si="74"/>
        <v>0</v>
      </c>
    </row>
    <row r="125" spans="1:22" x14ac:dyDescent="0.25">
      <c r="A125" s="14" t="s">
        <v>163</v>
      </c>
      <c r="B125" s="20" t="s">
        <v>164</v>
      </c>
      <c r="C125" s="71">
        <v>0</v>
      </c>
      <c r="D125" s="71">
        <v>1400000</v>
      </c>
      <c r="E125" s="69">
        <v>3611855</v>
      </c>
      <c r="F125" s="69">
        <v>17735731</v>
      </c>
      <c r="G125" s="69"/>
      <c r="H125" s="81">
        <v>1373843</v>
      </c>
      <c r="I125" s="81">
        <v>2563105</v>
      </c>
      <c r="J125" s="81">
        <v>17282412</v>
      </c>
      <c r="K125" s="69"/>
      <c r="L125" s="630" t="e">
        <f t="shared" si="78"/>
        <v>#DIV/0!</v>
      </c>
      <c r="M125" s="630">
        <f t="shared" si="79"/>
        <v>1.8307892857142858</v>
      </c>
      <c r="N125" s="630">
        <f t="shared" si="80"/>
        <v>4.7849130156110915</v>
      </c>
      <c r="O125" s="645"/>
      <c r="P125" s="81">
        <f t="shared" si="83"/>
        <v>1400000</v>
      </c>
      <c r="Q125" s="81">
        <f t="shared" si="83"/>
        <v>2211855</v>
      </c>
      <c r="R125" s="81">
        <f t="shared" si="83"/>
        <v>0</v>
      </c>
      <c r="S125" s="81">
        <f t="shared" si="81"/>
        <v>3611855</v>
      </c>
      <c r="T125" s="85">
        <f t="shared" si="82"/>
        <v>0</v>
      </c>
      <c r="U125" s="191"/>
      <c r="V125" s="195">
        <f t="shared" si="74"/>
        <v>0</v>
      </c>
    </row>
    <row r="126" spans="1:22" x14ac:dyDescent="0.25">
      <c r="A126" s="14" t="s">
        <v>165</v>
      </c>
      <c r="B126" s="20" t="s">
        <v>166</v>
      </c>
      <c r="C126" s="71">
        <v>0</v>
      </c>
      <c r="D126" s="71">
        <v>3140500</v>
      </c>
      <c r="E126" s="69">
        <v>3715701</v>
      </c>
      <c r="F126" s="69">
        <v>9690318</v>
      </c>
      <c r="G126" s="69"/>
      <c r="H126" s="81">
        <v>3111438</v>
      </c>
      <c r="I126" s="81">
        <v>3432539</v>
      </c>
      <c r="J126" s="81">
        <v>9690318</v>
      </c>
      <c r="K126" s="69"/>
      <c r="L126" s="630" t="e">
        <f t="shared" si="78"/>
        <v>#DIV/0!</v>
      </c>
      <c r="M126" s="630">
        <f t="shared" si="79"/>
        <v>1.0929912434325744</v>
      </c>
      <c r="N126" s="630">
        <f t="shared" si="80"/>
        <v>2.6079380445304938</v>
      </c>
      <c r="O126" s="645"/>
      <c r="P126" s="81">
        <f t="shared" si="83"/>
        <v>3140500</v>
      </c>
      <c r="Q126" s="81">
        <f t="shared" si="83"/>
        <v>575201</v>
      </c>
      <c r="R126" s="81">
        <f t="shared" si="83"/>
        <v>0</v>
      </c>
      <c r="S126" s="81">
        <f t="shared" si="81"/>
        <v>3715701</v>
      </c>
      <c r="T126" s="85">
        <f t="shared" si="82"/>
        <v>0</v>
      </c>
      <c r="U126" s="191"/>
      <c r="V126" s="195">
        <f t="shared" si="74"/>
        <v>0</v>
      </c>
    </row>
    <row r="127" spans="1:22" x14ac:dyDescent="0.25">
      <c r="A127" s="14" t="s">
        <v>167</v>
      </c>
      <c r="B127" s="20" t="s">
        <v>168</v>
      </c>
      <c r="C127" s="71"/>
      <c r="D127" s="69"/>
      <c r="E127" s="69"/>
      <c r="F127" s="69"/>
      <c r="G127" s="69"/>
      <c r="H127" s="81"/>
      <c r="I127" s="81"/>
      <c r="J127" s="81"/>
      <c r="K127" s="69"/>
      <c r="L127" s="630">
        <f t="shared" si="78"/>
        <v>0</v>
      </c>
      <c r="M127" s="630">
        <f t="shared" si="79"/>
        <v>0</v>
      </c>
      <c r="N127" s="630">
        <f t="shared" si="80"/>
        <v>0</v>
      </c>
      <c r="O127" s="645"/>
      <c r="P127" s="81">
        <f t="shared" si="83"/>
        <v>0</v>
      </c>
      <c r="Q127" s="81">
        <f t="shared" si="83"/>
        <v>0</v>
      </c>
      <c r="R127" s="81">
        <f t="shared" si="83"/>
        <v>0</v>
      </c>
      <c r="S127" s="81">
        <f t="shared" si="81"/>
        <v>0</v>
      </c>
      <c r="T127" s="85">
        <f t="shared" si="82"/>
        <v>0</v>
      </c>
      <c r="U127" s="191"/>
      <c r="V127" s="195">
        <f t="shared" si="74"/>
        <v>0</v>
      </c>
    </row>
    <row r="128" spans="1:22" x14ac:dyDescent="0.25">
      <c r="C128" s="71"/>
      <c r="D128" s="69"/>
      <c r="E128" s="69"/>
      <c r="F128" s="69"/>
      <c r="G128" s="69"/>
      <c r="H128" s="81"/>
      <c r="I128" s="81"/>
      <c r="J128" s="81"/>
      <c r="K128" s="69"/>
      <c r="L128" s="630"/>
      <c r="M128" s="630"/>
      <c r="N128" s="630"/>
      <c r="O128" s="645"/>
      <c r="P128" s="81"/>
      <c r="Q128" s="81"/>
      <c r="R128" s="81"/>
      <c r="S128" s="81"/>
      <c r="T128" s="85"/>
      <c r="U128" s="191"/>
      <c r="V128" s="195">
        <f t="shared" si="74"/>
        <v>0</v>
      </c>
    </row>
    <row r="129" spans="1:22" x14ac:dyDescent="0.25">
      <c r="A129" s="4" t="s">
        <v>169</v>
      </c>
      <c r="B129" s="3" t="s">
        <v>170</v>
      </c>
      <c r="C129" s="66">
        <f>SUM(C130:C134)</f>
        <v>20637500</v>
      </c>
      <c r="D129" s="66">
        <f>SUM(D130:D134)</f>
        <v>93343475</v>
      </c>
      <c r="E129" s="66">
        <f t="shared" ref="E129:F129" si="84">SUM(E130:E133)</f>
        <v>113343475</v>
      </c>
      <c r="F129" s="66">
        <f t="shared" si="84"/>
        <v>142956591</v>
      </c>
      <c r="G129" s="66"/>
      <c r="H129" s="83">
        <f>SUM(H130:H134)</f>
        <v>34861301</v>
      </c>
      <c r="I129" s="83">
        <f>SUM(I130:I133)</f>
        <v>78545085</v>
      </c>
      <c r="J129" s="83">
        <f>SUM(J130:J133)</f>
        <v>139263466</v>
      </c>
      <c r="K129" s="66"/>
      <c r="L129" s="631">
        <f t="shared" ref="L129:L133" si="85">IF(H129&gt;0,H129/C129,0)</f>
        <v>1.6892211265899455</v>
      </c>
      <c r="M129" s="631">
        <f t="shared" ref="M129:M133" si="86">IF(I129&gt;0,I129/D129,0)</f>
        <v>0.84146304816699824</v>
      </c>
      <c r="N129" s="631">
        <f t="shared" ref="N129:N133" si="87">IF(J129&gt;0,J129/E129,0)</f>
        <v>1.2286853389663586</v>
      </c>
      <c r="O129" s="646"/>
      <c r="P129" s="83">
        <f>IF(D129&gt;0,+D129-C129,0)</f>
        <v>72705975</v>
      </c>
      <c r="Q129" s="83">
        <f>IF(E129&gt;0,+E129-D129,0)</f>
        <v>20000000</v>
      </c>
      <c r="R129" s="83">
        <f>IF(F129&gt;0,+F129-E129,0)</f>
        <v>29613116</v>
      </c>
      <c r="S129" s="83">
        <f t="shared" ref="S129:S133" si="88">+P129*P$8+Q129*Q$8+Q129*G$8</f>
        <v>92705975</v>
      </c>
      <c r="T129" s="85">
        <f>IF(C129=0,0,+S129/C129)</f>
        <v>4.4921126589945484</v>
      </c>
      <c r="U129" s="193"/>
      <c r="V129" s="195">
        <f t="shared" si="74"/>
        <v>0</v>
      </c>
    </row>
    <row r="130" spans="1:22" x14ac:dyDescent="0.25">
      <c r="A130" s="14" t="s">
        <v>171</v>
      </c>
      <c r="B130" s="20" t="s">
        <v>172</v>
      </c>
      <c r="C130" s="71">
        <v>16250000</v>
      </c>
      <c r="D130" s="69">
        <v>73904007</v>
      </c>
      <c r="E130" s="143">
        <v>93904007</v>
      </c>
      <c r="F130" s="69">
        <v>115224506</v>
      </c>
      <c r="G130" s="69"/>
      <c r="H130" s="81">
        <v>28231566</v>
      </c>
      <c r="I130" s="81">
        <v>63644541</v>
      </c>
      <c r="J130" s="81">
        <v>112104630</v>
      </c>
      <c r="K130" s="69"/>
      <c r="L130" s="630">
        <f t="shared" si="85"/>
        <v>1.7373271384615385</v>
      </c>
      <c r="M130" s="630">
        <f t="shared" si="86"/>
        <v>0.86117848792691309</v>
      </c>
      <c r="N130" s="630">
        <f t="shared" si="87"/>
        <v>1.1938215799459975</v>
      </c>
      <c r="O130" s="645"/>
      <c r="P130" s="81">
        <f t="shared" ref="P130:R133" si="89">+(D130-C130)*P$8</f>
        <v>57654007</v>
      </c>
      <c r="Q130" s="81">
        <f t="shared" si="89"/>
        <v>20000000</v>
      </c>
      <c r="R130" s="81">
        <f t="shared" si="89"/>
        <v>0</v>
      </c>
      <c r="S130" s="81">
        <f t="shared" si="88"/>
        <v>77654007</v>
      </c>
      <c r="T130" s="85">
        <f>IF(C130=0,0,+S130/C130)</f>
        <v>4.7787081230769228</v>
      </c>
      <c r="U130" s="191"/>
      <c r="V130" s="195">
        <f t="shared" si="74"/>
        <v>0</v>
      </c>
    </row>
    <row r="131" spans="1:22" hidden="1" x14ac:dyDescent="0.25">
      <c r="A131" s="14" t="s">
        <v>173</v>
      </c>
      <c r="B131" s="20" t="s">
        <v>174</v>
      </c>
      <c r="C131" s="71"/>
      <c r="D131" s="69"/>
      <c r="E131" s="69"/>
      <c r="F131" s="69"/>
      <c r="G131" s="69"/>
      <c r="H131" s="81"/>
      <c r="I131" s="81"/>
      <c r="J131" s="81"/>
      <c r="K131" s="69"/>
      <c r="L131" s="630">
        <f t="shared" si="85"/>
        <v>0</v>
      </c>
      <c r="M131" s="630">
        <f t="shared" si="86"/>
        <v>0</v>
      </c>
      <c r="N131" s="630">
        <f t="shared" si="87"/>
        <v>0</v>
      </c>
      <c r="O131" s="645"/>
      <c r="P131" s="81">
        <f t="shared" si="89"/>
        <v>0</v>
      </c>
      <c r="Q131" s="81">
        <f t="shared" si="89"/>
        <v>0</v>
      </c>
      <c r="R131" s="81">
        <f t="shared" si="89"/>
        <v>0</v>
      </c>
      <c r="S131" s="81">
        <f t="shared" si="88"/>
        <v>0</v>
      </c>
      <c r="T131" s="85">
        <f>IF(C131=0,0,+S131/C131)</f>
        <v>0</v>
      </c>
      <c r="U131" s="191"/>
      <c r="V131" s="195">
        <f t="shared" si="74"/>
        <v>0</v>
      </c>
    </row>
    <row r="132" spans="1:22" hidden="1" x14ac:dyDescent="0.25">
      <c r="A132" s="14" t="s">
        <v>175</v>
      </c>
      <c r="B132" s="20" t="s">
        <v>176</v>
      </c>
      <c r="C132" s="71">
        <v>0</v>
      </c>
      <c r="D132" s="69"/>
      <c r="E132" s="69"/>
      <c r="F132" s="69"/>
      <c r="G132" s="69"/>
      <c r="H132" s="81"/>
      <c r="I132" s="81"/>
      <c r="J132" s="81"/>
      <c r="K132" s="69"/>
      <c r="L132" s="630">
        <f t="shared" si="85"/>
        <v>0</v>
      </c>
      <c r="M132" s="630">
        <f t="shared" si="86"/>
        <v>0</v>
      </c>
      <c r="N132" s="630">
        <f t="shared" si="87"/>
        <v>0</v>
      </c>
      <c r="O132" s="645"/>
      <c r="P132" s="81">
        <f t="shared" si="89"/>
        <v>0</v>
      </c>
      <c r="Q132" s="81">
        <f t="shared" si="89"/>
        <v>0</v>
      </c>
      <c r="R132" s="81">
        <f t="shared" si="89"/>
        <v>0</v>
      </c>
      <c r="S132" s="81">
        <f t="shared" si="88"/>
        <v>0</v>
      </c>
      <c r="T132" s="85">
        <f>IF(C132=0,0,+S132/C132)</f>
        <v>0</v>
      </c>
      <c r="U132" s="191"/>
      <c r="V132" s="195">
        <f t="shared" si="74"/>
        <v>0</v>
      </c>
    </row>
    <row r="133" spans="1:22" x14ac:dyDescent="0.25">
      <c r="A133" s="14" t="s">
        <v>177</v>
      </c>
      <c r="B133" s="20" t="s">
        <v>178</v>
      </c>
      <c r="C133" s="71">
        <v>4387500</v>
      </c>
      <c r="D133" s="69">
        <v>19439468</v>
      </c>
      <c r="E133" s="69">
        <v>19439468</v>
      </c>
      <c r="F133" s="69">
        <v>27732085</v>
      </c>
      <c r="G133" s="69"/>
      <c r="H133" s="81">
        <v>6629735</v>
      </c>
      <c r="I133" s="81">
        <v>14900544</v>
      </c>
      <c r="J133" s="81">
        <v>27158836</v>
      </c>
      <c r="K133" s="69"/>
      <c r="L133" s="630">
        <f t="shared" si="85"/>
        <v>1.5110507122507122</v>
      </c>
      <c r="M133" s="630">
        <f t="shared" si="86"/>
        <v>0.76650986539343569</v>
      </c>
      <c r="N133" s="630">
        <f t="shared" si="87"/>
        <v>1.3970976983526504</v>
      </c>
      <c r="O133" s="645"/>
      <c r="P133" s="81">
        <f t="shared" si="89"/>
        <v>15051968</v>
      </c>
      <c r="Q133" s="81">
        <f t="shared" si="89"/>
        <v>0</v>
      </c>
      <c r="R133" s="81">
        <f t="shared" si="89"/>
        <v>0</v>
      </c>
      <c r="S133" s="81">
        <f t="shared" si="88"/>
        <v>15051968</v>
      </c>
      <c r="T133" s="85">
        <f>IF(C133=0,0,+S133/C133)</f>
        <v>3.4306479772079772</v>
      </c>
      <c r="U133" s="191"/>
      <c r="V133" s="195">
        <f t="shared" si="74"/>
        <v>0</v>
      </c>
    </row>
    <row r="134" spans="1:22" x14ac:dyDescent="0.25">
      <c r="C134" s="71"/>
      <c r="D134" s="69"/>
      <c r="E134" s="69"/>
      <c r="F134" s="69"/>
      <c r="G134" s="69"/>
      <c r="H134" s="81"/>
      <c r="I134" s="81"/>
      <c r="J134" s="81"/>
      <c r="K134" s="69"/>
      <c r="L134" s="630"/>
      <c r="M134" s="630"/>
      <c r="N134" s="630"/>
      <c r="O134" s="645"/>
      <c r="P134" s="81"/>
      <c r="Q134" s="81"/>
      <c r="R134" s="81"/>
      <c r="S134" s="81"/>
      <c r="T134" s="85"/>
      <c r="U134" s="191"/>
      <c r="V134" s="195">
        <f t="shared" si="74"/>
        <v>0</v>
      </c>
    </row>
    <row r="135" spans="1:22" x14ac:dyDescent="0.25">
      <c r="A135" s="4" t="s">
        <v>179</v>
      </c>
      <c r="B135" s="3" t="s">
        <v>180</v>
      </c>
      <c r="C135" s="66"/>
      <c r="D135" s="66">
        <f>SUM(D136:D143)</f>
        <v>0</v>
      </c>
      <c r="E135" s="66">
        <f>SUM(E136:E143)</f>
        <v>0</v>
      </c>
      <c r="F135" s="72"/>
      <c r="G135" s="72"/>
      <c r="H135" s="83">
        <f>SUM(H136:H143)</f>
        <v>0</v>
      </c>
      <c r="I135" s="83">
        <f>SUM(I136:I143)</f>
        <v>0</v>
      </c>
      <c r="J135" s="83"/>
      <c r="K135" s="72"/>
      <c r="L135" s="631">
        <f t="shared" ref="L135:L141" si="90">IF(H135&gt;0,H135/C135,0)</f>
        <v>0</v>
      </c>
      <c r="M135" s="631">
        <f t="shared" ref="M135:M141" si="91">IF(I135&gt;0,I135/D135,0)</f>
        <v>0</v>
      </c>
      <c r="N135" s="631">
        <f t="shared" ref="N135:N141" si="92">IF(J135&gt;0,J135/E135,0)</f>
        <v>0</v>
      </c>
      <c r="O135" s="647"/>
      <c r="P135" s="83">
        <f>IF(D135&gt;0,+D135-C135,0)</f>
        <v>0</v>
      </c>
      <c r="Q135" s="83">
        <f>IF(E135&gt;0,+E135-D135,0)</f>
        <v>0</v>
      </c>
      <c r="R135" s="83">
        <f>IF(F135&gt;0,+F135-E135,0)</f>
        <v>0</v>
      </c>
      <c r="S135" s="83">
        <f t="shared" ref="S135:S143" si="93">+P135*P$8+Q135*Q$8+Q135*G$8</f>
        <v>0</v>
      </c>
      <c r="T135" s="85">
        <f t="shared" ref="T135:T143" si="94">IF(C135=0,0,+S135/C135)</f>
        <v>0</v>
      </c>
      <c r="U135" s="194"/>
      <c r="V135" s="195">
        <f t="shared" si="74"/>
        <v>0</v>
      </c>
    </row>
    <row r="136" spans="1:22" ht="23.4" hidden="1" x14ac:dyDescent="0.25">
      <c r="A136" s="14" t="s">
        <v>181</v>
      </c>
      <c r="B136" s="585" t="s">
        <v>182</v>
      </c>
      <c r="C136" s="71"/>
      <c r="D136" s="69"/>
      <c r="E136" s="69"/>
      <c r="F136" s="69"/>
      <c r="G136" s="69"/>
      <c r="H136" s="81"/>
      <c r="I136" s="81"/>
      <c r="J136" s="81"/>
      <c r="K136" s="69"/>
      <c r="L136" s="630">
        <f t="shared" si="90"/>
        <v>0</v>
      </c>
      <c r="M136" s="630">
        <f t="shared" si="91"/>
        <v>0</v>
      </c>
      <c r="N136" s="630">
        <f t="shared" si="92"/>
        <v>0</v>
      </c>
      <c r="O136" s="645"/>
      <c r="P136" s="81">
        <f t="shared" ref="P136:R143" si="95">+(D136-C136)*P$8</f>
        <v>0</v>
      </c>
      <c r="Q136" s="81">
        <f t="shared" si="95"/>
        <v>0</v>
      </c>
      <c r="R136" s="81">
        <f t="shared" si="95"/>
        <v>0</v>
      </c>
      <c r="S136" s="81">
        <f t="shared" si="93"/>
        <v>0</v>
      </c>
      <c r="T136" s="85">
        <f t="shared" si="94"/>
        <v>0</v>
      </c>
      <c r="U136" s="191"/>
      <c r="V136" s="195">
        <f t="shared" si="74"/>
        <v>0</v>
      </c>
    </row>
    <row r="137" spans="1:22" ht="23.4" hidden="1" x14ac:dyDescent="0.25">
      <c r="A137" s="14" t="s">
        <v>183</v>
      </c>
      <c r="B137" s="585" t="s">
        <v>184</v>
      </c>
      <c r="C137" s="71"/>
      <c r="D137" s="69"/>
      <c r="E137" s="69"/>
      <c r="F137" s="69"/>
      <c r="G137" s="69"/>
      <c r="H137" s="81"/>
      <c r="I137" s="81"/>
      <c r="J137" s="81"/>
      <c r="K137" s="69"/>
      <c r="L137" s="630">
        <f t="shared" si="90"/>
        <v>0</v>
      </c>
      <c r="M137" s="630">
        <f t="shared" si="91"/>
        <v>0</v>
      </c>
      <c r="N137" s="630">
        <f t="shared" si="92"/>
        <v>0</v>
      </c>
      <c r="O137" s="645"/>
      <c r="P137" s="81">
        <f t="shared" si="95"/>
        <v>0</v>
      </c>
      <c r="Q137" s="81">
        <f t="shared" si="95"/>
        <v>0</v>
      </c>
      <c r="R137" s="81">
        <f t="shared" si="95"/>
        <v>0</v>
      </c>
      <c r="S137" s="81">
        <f t="shared" si="93"/>
        <v>0</v>
      </c>
      <c r="T137" s="85">
        <f t="shared" si="94"/>
        <v>0</v>
      </c>
      <c r="U137" s="191"/>
      <c r="V137" s="195">
        <f t="shared" si="74"/>
        <v>0</v>
      </c>
    </row>
    <row r="138" spans="1:22" ht="23.4" hidden="1" x14ac:dyDescent="0.25">
      <c r="A138" s="14" t="s">
        <v>185</v>
      </c>
      <c r="B138" s="585" t="s">
        <v>186</v>
      </c>
      <c r="C138" s="71"/>
      <c r="D138" s="69"/>
      <c r="E138" s="69"/>
      <c r="F138" s="69"/>
      <c r="G138" s="69"/>
      <c r="H138" s="81"/>
      <c r="I138" s="81"/>
      <c r="J138" s="81"/>
      <c r="K138" s="69"/>
      <c r="L138" s="630">
        <f t="shared" si="90"/>
        <v>0</v>
      </c>
      <c r="M138" s="630">
        <f t="shared" si="91"/>
        <v>0</v>
      </c>
      <c r="N138" s="630">
        <f t="shared" si="92"/>
        <v>0</v>
      </c>
      <c r="O138" s="645"/>
      <c r="P138" s="81">
        <f t="shared" si="95"/>
        <v>0</v>
      </c>
      <c r="Q138" s="81">
        <f t="shared" si="95"/>
        <v>0</v>
      </c>
      <c r="R138" s="81">
        <f t="shared" si="95"/>
        <v>0</v>
      </c>
      <c r="S138" s="81">
        <f t="shared" si="93"/>
        <v>0</v>
      </c>
      <c r="T138" s="85">
        <f t="shared" si="94"/>
        <v>0</v>
      </c>
      <c r="U138" s="191"/>
      <c r="V138" s="195">
        <f t="shared" ref="V138:V168" si="96">+S138-E138+C138</f>
        <v>0</v>
      </c>
    </row>
    <row r="139" spans="1:22" hidden="1" x14ac:dyDescent="0.25">
      <c r="A139" s="14" t="s">
        <v>187</v>
      </c>
      <c r="B139" s="585" t="s">
        <v>188</v>
      </c>
      <c r="C139" s="71"/>
      <c r="D139" s="69"/>
      <c r="E139" s="69"/>
      <c r="F139" s="69"/>
      <c r="G139" s="69"/>
      <c r="H139" s="81"/>
      <c r="I139" s="81"/>
      <c r="J139" s="81"/>
      <c r="K139" s="69"/>
      <c r="L139" s="630">
        <f t="shared" si="90"/>
        <v>0</v>
      </c>
      <c r="M139" s="630">
        <f t="shared" si="91"/>
        <v>0</v>
      </c>
      <c r="N139" s="630">
        <f t="shared" si="92"/>
        <v>0</v>
      </c>
      <c r="O139" s="645"/>
      <c r="P139" s="81">
        <f t="shared" si="95"/>
        <v>0</v>
      </c>
      <c r="Q139" s="81">
        <f t="shared" si="95"/>
        <v>0</v>
      </c>
      <c r="R139" s="81">
        <f t="shared" si="95"/>
        <v>0</v>
      </c>
      <c r="S139" s="81">
        <f t="shared" si="93"/>
        <v>0</v>
      </c>
      <c r="T139" s="85">
        <f t="shared" si="94"/>
        <v>0</v>
      </c>
      <c r="U139" s="191"/>
      <c r="V139" s="195">
        <f t="shared" si="96"/>
        <v>0</v>
      </c>
    </row>
    <row r="140" spans="1:22" ht="23.4" hidden="1" x14ac:dyDescent="0.25">
      <c r="A140" s="14" t="s">
        <v>189</v>
      </c>
      <c r="B140" s="585" t="s">
        <v>190</v>
      </c>
      <c r="C140" s="71"/>
      <c r="D140" s="69">
        <v>0</v>
      </c>
      <c r="E140" s="69">
        <v>0</v>
      </c>
      <c r="F140" s="69"/>
      <c r="G140" s="69"/>
      <c r="H140" s="81">
        <v>0</v>
      </c>
      <c r="I140" s="81">
        <v>0</v>
      </c>
      <c r="J140" s="81"/>
      <c r="K140" s="69"/>
      <c r="L140" s="630">
        <f t="shared" si="90"/>
        <v>0</v>
      </c>
      <c r="M140" s="630">
        <f t="shared" si="91"/>
        <v>0</v>
      </c>
      <c r="N140" s="630">
        <f t="shared" si="92"/>
        <v>0</v>
      </c>
      <c r="O140" s="645"/>
      <c r="P140" s="81">
        <f t="shared" si="95"/>
        <v>0</v>
      </c>
      <c r="Q140" s="81">
        <f t="shared" si="95"/>
        <v>0</v>
      </c>
      <c r="R140" s="81">
        <f t="shared" si="95"/>
        <v>0</v>
      </c>
      <c r="S140" s="81">
        <f t="shared" si="93"/>
        <v>0</v>
      </c>
      <c r="T140" s="85">
        <f t="shared" si="94"/>
        <v>0</v>
      </c>
      <c r="U140" s="191"/>
      <c r="V140" s="195">
        <f t="shared" si="96"/>
        <v>0</v>
      </c>
    </row>
    <row r="141" spans="1:22" ht="26.4" x14ac:dyDescent="0.25">
      <c r="A141" s="14" t="s">
        <v>191</v>
      </c>
      <c r="B141" s="20" t="s">
        <v>192</v>
      </c>
      <c r="C141" s="71"/>
      <c r="D141" s="69"/>
      <c r="E141" s="69"/>
      <c r="F141" s="69"/>
      <c r="G141" s="69"/>
      <c r="H141" s="81"/>
      <c r="I141" s="81"/>
      <c r="J141" s="81"/>
      <c r="K141" s="69"/>
      <c r="L141" s="630">
        <f t="shared" si="90"/>
        <v>0</v>
      </c>
      <c r="M141" s="630">
        <f t="shared" si="91"/>
        <v>0</v>
      </c>
      <c r="N141" s="630">
        <f t="shared" si="92"/>
        <v>0</v>
      </c>
      <c r="O141" s="645"/>
      <c r="P141" s="81">
        <f t="shared" si="95"/>
        <v>0</v>
      </c>
      <c r="Q141" s="81">
        <f t="shared" si="95"/>
        <v>0</v>
      </c>
      <c r="R141" s="81">
        <f t="shared" si="95"/>
        <v>0</v>
      </c>
      <c r="S141" s="81">
        <f t="shared" si="93"/>
        <v>0</v>
      </c>
      <c r="T141" s="85">
        <f t="shared" si="94"/>
        <v>0</v>
      </c>
      <c r="U141" s="191"/>
      <c r="V141" s="195">
        <f t="shared" si="96"/>
        <v>0</v>
      </c>
    </row>
    <row r="142" spans="1:22" x14ac:dyDescent="0.25">
      <c r="A142" s="14" t="s">
        <v>193</v>
      </c>
      <c r="B142" s="20" t="s">
        <v>194</v>
      </c>
      <c r="C142" s="71"/>
      <c r="D142" s="69"/>
      <c r="E142" s="69"/>
      <c r="F142" s="69"/>
      <c r="G142" s="69"/>
      <c r="H142" s="81"/>
      <c r="I142" s="81"/>
      <c r="J142" s="81"/>
      <c r="K142" s="69"/>
      <c r="L142" s="630"/>
      <c r="M142" s="630"/>
      <c r="N142" s="630" t="e">
        <f t="shared" ref="N142:N143" si="97">+J142/E142</f>
        <v>#DIV/0!</v>
      </c>
      <c r="O142" s="645"/>
      <c r="P142" s="81">
        <f t="shared" si="95"/>
        <v>0</v>
      </c>
      <c r="Q142" s="81">
        <f t="shared" si="95"/>
        <v>0</v>
      </c>
      <c r="R142" s="81">
        <f t="shared" si="95"/>
        <v>0</v>
      </c>
      <c r="S142" s="81">
        <f t="shared" si="93"/>
        <v>0</v>
      </c>
      <c r="T142" s="85">
        <f t="shared" si="94"/>
        <v>0</v>
      </c>
      <c r="U142" s="191"/>
      <c r="V142" s="195">
        <f t="shared" si="96"/>
        <v>0</v>
      </c>
    </row>
    <row r="143" spans="1:22" x14ac:dyDescent="0.25">
      <c r="A143" s="14" t="s">
        <v>195</v>
      </c>
      <c r="B143" s="20" t="s">
        <v>196</v>
      </c>
      <c r="C143" s="71"/>
      <c r="D143" s="69"/>
      <c r="E143" s="69"/>
      <c r="F143" s="69"/>
      <c r="G143" s="69"/>
      <c r="H143" s="81"/>
      <c r="I143" s="81"/>
      <c r="J143" s="81"/>
      <c r="K143" s="69"/>
      <c r="L143" s="630"/>
      <c r="M143" s="630"/>
      <c r="N143" s="630" t="e">
        <f t="shared" si="97"/>
        <v>#DIV/0!</v>
      </c>
      <c r="O143" s="645"/>
      <c r="P143" s="81">
        <f t="shared" si="95"/>
        <v>0</v>
      </c>
      <c r="Q143" s="81">
        <f t="shared" si="95"/>
        <v>0</v>
      </c>
      <c r="R143" s="81">
        <f t="shared" si="95"/>
        <v>0</v>
      </c>
      <c r="S143" s="81">
        <f t="shared" si="93"/>
        <v>0</v>
      </c>
      <c r="T143" s="85">
        <f t="shared" si="94"/>
        <v>0</v>
      </c>
      <c r="U143" s="191"/>
      <c r="V143" s="195">
        <f t="shared" si="96"/>
        <v>0</v>
      </c>
    </row>
    <row r="144" spans="1:22" x14ac:dyDescent="0.25">
      <c r="C144" s="71"/>
      <c r="D144" s="69"/>
      <c r="E144" s="69"/>
      <c r="F144" s="69"/>
      <c r="G144" s="69"/>
      <c r="H144" s="81"/>
      <c r="I144" s="81"/>
      <c r="J144" s="81"/>
      <c r="K144" s="69"/>
      <c r="L144" s="630"/>
      <c r="M144" s="630"/>
      <c r="N144" s="630"/>
      <c r="O144" s="645"/>
      <c r="P144" s="81"/>
      <c r="Q144" s="81"/>
      <c r="R144" s="81"/>
      <c r="S144" s="81"/>
      <c r="T144" s="85"/>
      <c r="U144" s="191"/>
      <c r="V144" s="195">
        <f t="shared" si="96"/>
        <v>0</v>
      </c>
    </row>
    <row r="145" spans="1:22" x14ac:dyDescent="0.25">
      <c r="A145" s="4" t="s">
        <v>197</v>
      </c>
      <c r="B145" s="3" t="s">
        <v>198</v>
      </c>
      <c r="C145" s="66">
        <f>+C146+C166</f>
        <v>613063055</v>
      </c>
      <c r="D145" s="66">
        <f t="shared" ref="D145:E145" si="98">+D146+D166</f>
        <v>613552299</v>
      </c>
      <c r="E145" s="66">
        <f t="shared" si="98"/>
        <v>613552299</v>
      </c>
      <c r="F145" s="66">
        <f t="shared" ref="F145" si="99">SUM(F146:F166)</f>
        <v>613552299</v>
      </c>
      <c r="G145" s="66"/>
      <c r="H145" s="66">
        <f>+H146+H166</f>
        <v>317649005</v>
      </c>
      <c r="I145" s="66">
        <f t="shared" ref="I145" si="100">+I146+I166</f>
        <v>441460373</v>
      </c>
      <c r="J145" s="66">
        <f t="shared" ref="J145" si="101">+J146+J166</f>
        <v>584287458</v>
      </c>
      <c r="K145" s="66"/>
      <c r="L145" s="631">
        <f t="shared" ref="L145:L161" si="102">IF(H145&gt;0,H145/C145,0)</f>
        <v>0.51813431328038517</v>
      </c>
      <c r="M145" s="631">
        <f t="shared" ref="M145:M161" si="103">IF(I145&gt;0,I145/D145,0)</f>
        <v>0.71951547361083235</v>
      </c>
      <c r="N145" s="631">
        <f t="shared" ref="N145:N161" si="104">IF(J145&gt;0,J145/E145,0)</f>
        <v>0.95230261373366643</v>
      </c>
      <c r="O145" s="646"/>
      <c r="P145" s="83">
        <f>IF(D145&gt;0,+D145-C145,0)</f>
        <v>489244</v>
      </c>
      <c r="Q145" s="83">
        <f>IF(E145&gt;0,+E145-D145,0)</f>
        <v>0</v>
      </c>
      <c r="R145" s="83">
        <f>IF(F145&gt;0,+F145-E145,0)</f>
        <v>0</v>
      </c>
      <c r="S145" s="83">
        <f t="shared" ref="S145:S159" si="105">+P145*P$8+Q145*Q$8+Q145*G$8</f>
        <v>489244</v>
      </c>
      <c r="T145" s="85">
        <f t="shared" ref="T145:T159" si="106">IF(C145=0,0,+S145/C145)</f>
        <v>7.9803210454428702E-4</v>
      </c>
      <c r="U145" s="193"/>
      <c r="V145" s="195">
        <f t="shared" si="96"/>
        <v>0</v>
      </c>
    </row>
    <row r="146" spans="1:22" x14ac:dyDescent="0.25">
      <c r="A146" s="709" t="s">
        <v>199</v>
      </c>
      <c r="B146" s="710" t="s">
        <v>200</v>
      </c>
      <c r="C146" s="71">
        <f>+C147+C153+C158+C159+C161+C163+C164+C165</f>
        <v>613063055</v>
      </c>
      <c r="D146" s="71">
        <f>+D147+D153+D158+D159+D161+D163+D164+D165</f>
        <v>613552299</v>
      </c>
      <c r="E146" s="71">
        <f>+E147+E153+E158+E159+E161+E163+E164+E165</f>
        <v>613552299</v>
      </c>
      <c r="F146" s="69"/>
      <c r="G146" s="69"/>
      <c r="H146" s="71">
        <f>+H147+H153+H158+H159+H161+H163+H164+H165</f>
        <v>317649005</v>
      </c>
      <c r="I146" s="71">
        <f t="shared" ref="I146" si="107">+I147+I153+I158+I159+I161+I163+I164+I165</f>
        <v>441460373</v>
      </c>
      <c r="J146" s="71">
        <f t="shared" ref="J146" si="108">+J147+J153+J158+J159+J161+J163+J164+J165</f>
        <v>584287458</v>
      </c>
      <c r="K146" s="69"/>
      <c r="L146" s="661">
        <f t="shared" si="102"/>
        <v>0.51813431328038517</v>
      </c>
      <c r="M146" s="661">
        <f t="shared" si="103"/>
        <v>0.71951547361083235</v>
      </c>
      <c r="N146" s="661">
        <f t="shared" si="104"/>
        <v>0.95230261373366643</v>
      </c>
      <c r="O146" s="645"/>
      <c r="P146" s="81">
        <f t="shared" ref="P146:P159" si="109">+(D146-C146)*P$8</f>
        <v>489244</v>
      </c>
      <c r="Q146" s="81">
        <f t="shared" ref="Q146:Q159" si="110">+(E146-D146)*Q$8</f>
        <v>0</v>
      </c>
      <c r="R146" s="81">
        <f t="shared" ref="R146:R159" si="111">+(F146-E146)*R$8</f>
        <v>0</v>
      </c>
      <c r="S146" s="81">
        <f t="shared" si="105"/>
        <v>489244</v>
      </c>
      <c r="T146" s="85">
        <f t="shared" si="106"/>
        <v>7.9803210454428702E-4</v>
      </c>
      <c r="U146" s="191"/>
      <c r="V146" s="195">
        <f t="shared" si="96"/>
        <v>0</v>
      </c>
    </row>
    <row r="147" spans="1:22" x14ac:dyDescent="0.25">
      <c r="A147" s="14" t="s">
        <v>201</v>
      </c>
      <c r="B147" s="20" t="s">
        <v>202</v>
      </c>
      <c r="C147" s="71">
        <f>+C148+C149+C151</f>
        <v>0</v>
      </c>
      <c r="D147" s="69">
        <f t="shared" ref="D147" si="112">+D148+D149+D151</f>
        <v>0</v>
      </c>
      <c r="E147" s="69">
        <v>0</v>
      </c>
      <c r="F147" s="69"/>
      <c r="G147" s="69"/>
      <c r="H147" s="71">
        <f t="shared" ref="H147:J147" si="113">+H148+H149+H151</f>
        <v>0</v>
      </c>
      <c r="I147" s="71">
        <f t="shared" si="113"/>
        <v>0</v>
      </c>
      <c r="J147" s="71">
        <f t="shared" si="113"/>
        <v>0</v>
      </c>
      <c r="K147" s="69"/>
      <c r="L147" s="661">
        <f t="shared" si="102"/>
        <v>0</v>
      </c>
      <c r="M147" s="661">
        <f t="shared" si="103"/>
        <v>0</v>
      </c>
      <c r="N147" s="661">
        <f t="shared" si="104"/>
        <v>0</v>
      </c>
      <c r="O147" s="645"/>
      <c r="P147" s="81">
        <f t="shared" si="109"/>
        <v>0</v>
      </c>
      <c r="Q147" s="81">
        <f t="shared" si="110"/>
        <v>0</v>
      </c>
      <c r="R147" s="81">
        <f t="shared" si="111"/>
        <v>0</v>
      </c>
      <c r="S147" s="81">
        <f t="shared" si="105"/>
        <v>0</v>
      </c>
      <c r="T147" s="85">
        <f t="shared" si="106"/>
        <v>0</v>
      </c>
      <c r="U147" s="191"/>
      <c r="V147" s="195">
        <f t="shared" si="96"/>
        <v>0</v>
      </c>
    </row>
    <row r="148" spans="1:22" x14ac:dyDescent="0.25">
      <c r="A148" s="14" t="s">
        <v>203</v>
      </c>
      <c r="B148" s="20" t="s">
        <v>204</v>
      </c>
      <c r="C148" s="71"/>
      <c r="D148" s="69"/>
      <c r="E148" s="69"/>
      <c r="F148" s="69"/>
      <c r="G148" s="69"/>
      <c r="H148" s="81"/>
      <c r="I148" s="81"/>
      <c r="J148" s="81"/>
      <c r="K148" s="69"/>
      <c r="L148" s="661">
        <f t="shared" si="102"/>
        <v>0</v>
      </c>
      <c r="M148" s="661">
        <f t="shared" si="103"/>
        <v>0</v>
      </c>
      <c r="N148" s="661">
        <f t="shared" si="104"/>
        <v>0</v>
      </c>
      <c r="O148" s="645"/>
      <c r="P148" s="81">
        <f t="shared" si="109"/>
        <v>0</v>
      </c>
      <c r="Q148" s="81">
        <f t="shared" si="110"/>
        <v>0</v>
      </c>
      <c r="R148" s="81">
        <f t="shared" si="111"/>
        <v>0</v>
      </c>
      <c r="S148" s="81">
        <f t="shared" si="105"/>
        <v>0</v>
      </c>
      <c r="T148" s="85">
        <f t="shared" si="106"/>
        <v>0</v>
      </c>
      <c r="U148" s="191"/>
      <c r="V148" s="195">
        <f t="shared" si="96"/>
        <v>0</v>
      </c>
    </row>
    <row r="149" spans="1:22" ht="26.4" x14ac:dyDescent="0.25">
      <c r="A149" s="14" t="s">
        <v>205</v>
      </c>
      <c r="B149" s="20" t="s">
        <v>206</v>
      </c>
      <c r="C149" s="71"/>
      <c r="D149" s="69"/>
      <c r="E149" s="69"/>
      <c r="F149" s="69"/>
      <c r="G149" s="69"/>
      <c r="H149" s="81"/>
      <c r="I149" s="81"/>
      <c r="J149" s="81"/>
      <c r="K149" s="69"/>
      <c r="L149" s="661">
        <f t="shared" si="102"/>
        <v>0</v>
      </c>
      <c r="M149" s="661">
        <f t="shared" si="103"/>
        <v>0</v>
      </c>
      <c r="N149" s="661">
        <f t="shared" si="104"/>
        <v>0</v>
      </c>
      <c r="O149" s="645"/>
      <c r="P149" s="81">
        <f t="shared" si="109"/>
        <v>0</v>
      </c>
      <c r="Q149" s="81">
        <f t="shared" si="110"/>
        <v>0</v>
      </c>
      <c r="R149" s="81">
        <f t="shared" si="111"/>
        <v>0</v>
      </c>
      <c r="S149" s="81">
        <f t="shared" si="105"/>
        <v>0</v>
      </c>
      <c r="T149" s="85">
        <f t="shared" si="106"/>
        <v>0</v>
      </c>
      <c r="U149" s="191"/>
      <c r="V149" s="195">
        <f t="shared" si="96"/>
        <v>0</v>
      </c>
    </row>
    <row r="150" spans="1:22" ht="26.4" x14ac:dyDescent="0.25">
      <c r="B150" s="20" t="s">
        <v>207</v>
      </c>
      <c r="C150" s="71"/>
      <c r="D150" s="69"/>
      <c r="E150" s="69"/>
      <c r="F150" s="69"/>
      <c r="G150" s="69"/>
      <c r="H150" s="81"/>
      <c r="I150" s="81"/>
      <c r="J150" s="81"/>
      <c r="K150" s="69"/>
      <c r="L150" s="661">
        <f t="shared" si="102"/>
        <v>0</v>
      </c>
      <c r="M150" s="661">
        <f t="shared" si="103"/>
        <v>0</v>
      </c>
      <c r="N150" s="661">
        <f t="shared" si="104"/>
        <v>0</v>
      </c>
      <c r="O150" s="645"/>
      <c r="P150" s="81">
        <f t="shared" si="109"/>
        <v>0</v>
      </c>
      <c r="Q150" s="81">
        <f t="shared" si="110"/>
        <v>0</v>
      </c>
      <c r="R150" s="81">
        <f t="shared" si="111"/>
        <v>0</v>
      </c>
      <c r="S150" s="81">
        <f t="shared" si="105"/>
        <v>0</v>
      </c>
      <c r="T150" s="85">
        <f t="shared" si="106"/>
        <v>0</v>
      </c>
      <c r="U150" s="191"/>
      <c r="V150" s="195">
        <f t="shared" si="96"/>
        <v>0</v>
      </c>
    </row>
    <row r="151" spans="1:22" x14ac:dyDescent="0.25">
      <c r="A151" s="14" t="s">
        <v>208</v>
      </c>
      <c r="B151" s="20" t="s">
        <v>209</v>
      </c>
      <c r="C151" s="71"/>
      <c r="D151" s="69"/>
      <c r="E151" s="69"/>
      <c r="F151" s="69"/>
      <c r="G151" s="69"/>
      <c r="H151" s="81"/>
      <c r="I151" s="81"/>
      <c r="J151" s="81"/>
      <c r="K151" s="69"/>
      <c r="L151" s="661">
        <f t="shared" si="102"/>
        <v>0</v>
      </c>
      <c r="M151" s="661">
        <f t="shared" si="103"/>
        <v>0</v>
      </c>
      <c r="N151" s="661">
        <f t="shared" si="104"/>
        <v>0</v>
      </c>
      <c r="O151" s="645"/>
      <c r="P151" s="81">
        <f t="shared" si="109"/>
        <v>0</v>
      </c>
      <c r="Q151" s="81">
        <f t="shared" si="110"/>
        <v>0</v>
      </c>
      <c r="R151" s="81">
        <f t="shared" si="111"/>
        <v>0</v>
      </c>
      <c r="S151" s="81">
        <f t="shared" si="105"/>
        <v>0</v>
      </c>
      <c r="T151" s="85">
        <f t="shared" si="106"/>
        <v>0</v>
      </c>
      <c r="U151" s="191"/>
      <c r="V151" s="195">
        <f t="shared" si="96"/>
        <v>0</v>
      </c>
    </row>
    <row r="152" spans="1:22" ht="26.4" x14ac:dyDescent="0.25">
      <c r="B152" s="20" t="s">
        <v>210</v>
      </c>
      <c r="C152" s="71"/>
      <c r="D152" s="69"/>
      <c r="E152" s="69"/>
      <c r="F152" s="69"/>
      <c r="G152" s="69"/>
      <c r="H152" s="81"/>
      <c r="I152" s="81"/>
      <c r="J152" s="81"/>
      <c r="K152" s="69"/>
      <c r="L152" s="661">
        <f t="shared" si="102"/>
        <v>0</v>
      </c>
      <c r="M152" s="661">
        <f t="shared" si="103"/>
        <v>0</v>
      </c>
      <c r="N152" s="661">
        <f t="shared" si="104"/>
        <v>0</v>
      </c>
      <c r="O152" s="645"/>
      <c r="P152" s="81">
        <f t="shared" si="109"/>
        <v>0</v>
      </c>
      <c r="Q152" s="81">
        <f t="shared" si="110"/>
        <v>0</v>
      </c>
      <c r="R152" s="81">
        <f t="shared" si="111"/>
        <v>0</v>
      </c>
      <c r="S152" s="81">
        <f t="shared" si="105"/>
        <v>0</v>
      </c>
      <c r="T152" s="85">
        <f t="shared" si="106"/>
        <v>0</v>
      </c>
      <c r="U152" s="191"/>
      <c r="V152" s="195">
        <f t="shared" si="96"/>
        <v>0</v>
      </c>
    </row>
    <row r="153" spans="1:22" x14ac:dyDescent="0.25">
      <c r="A153" s="14" t="s">
        <v>211</v>
      </c>
      <c r="B153" s="20" t="s">
        <v>212</v>
      </c>
      <c r="C153" s="71">
        <f>+C154+C155+C156+C157</f>
        <v>0</v>
      </c>
      <c r="D153" s="71">
        <f t="shared" ref="D153" si="114">+D154+D155+D156+D157</f>
        <v>0</v>
      </c>
      <c r="E153" s="71">
        <v>0</v>
      </c>
      <c r="F153" s="69"/>
      <c r="G153" s="69"/>
      <c r="H153" s="71">
        <f t="shared" ref="H153:J153" si="115">+H154+H155+H156+H157</f>
        <v>0</v>
      </c>
      <c r="I153" s="71">
        <f t="shared" si="115"/>
        <v>0</v>
      </c>
      <c r="J153" s="71">
        <f t="shared" si="115"/>
        <v>0</v>
      </c>
      <c r="K153" s="69"/>
      <c r="L153" s="661">
        <f t="shared" si="102"/>
        <v>0</v>
      </c>
      <c r="M153" s="661">
        <f t="shared" si="103"/>
        <v>0</v>
      </c>
      <c r="N153" s="661">
        <f t="shared" si="104"/>
        <v>0</v>
      </c>
      <c r="O153" s="645"/>
      <c r="P153" s="81">
        <f t="shared" si="109"/>
        <v>0</v>
      </c>
      <c r="Q153" s="81">
        <f t="shared" si="110"/>
        <v>0</v>
      </c>
      <c r="R153" s="81">
        <f t="shared" si="111"/>
        <v>0</v>
      </c>
      <c r="S153" s="81">
        <f t="shared" si="105"/>
        <v>0</v>
      </c>
      <c r="T153" s="85">
        <f t="shared" si="106"/>
        <v>0</v>
      </c>
      <c r="U153" s="191"/>
      <c r="V153" s="195">
        <f t="shared" si="96"/>
        <v>0</v>
      </c>
    </row>
    <row r="154" spans="1:22" x14ac:dyDescent="0.25">
      <c r="A154" s="14" t="s">
        <v>213</v>
      </c>
      <c r="B154" s="20" t="s">
        <v>214</v>
      </c>
      <c r="C154" s="71"/>
      <c r="D154" s="69"/>
      <c r="E154" s="69"/>
      <c r="F154" s="69"/>
      <c r="G154" s="69"/>
      <c r="H154" s="81"/>
      <c r="I154" s="81"/>
      <c r="J154" s="81"/>
      <c r="K154" s="69"/>
      <c r="L154" s="661">
        <f t="shared" si="102"/>
        <v>0</v>
      </c>
      <c r="M154" s="661">
        <f t="shared" si="103"/>
        <v>0</v>
      </c>
      <c r="N154" s="661">
        <f t="shared" si="104"/>
        <v>0</v>
      </c>
      <c r="O154" s="645"/>
      <c r="P154" s="81">
        <f t="shared" si="109"/>
        <v>0</v>
      </c>
      <c r="Q154" s="81">
        <f t="shared" si="110"/>
        <v>0</v>
      </c>
      <c r="R154" s="81">
        <f t="shared" si="111"/>
        <v>0</v>
      </c>
      <c r="S154" s="81">
        <f t="shared" si="105"/>
        <v>0</v>
      </c>
      <c r="T154" s="85">
        <f t="shared" si="106"/>
        <v>0</v>
      </c>
      <c r="U154" s="191"/>
      <c r="V154" s="195">
        <f t="shared" si="96"/>
        <v>0</v>
      </c>
    </row>
    <row r="155" spans="1:22" x14ac:dyDescent="0.25">
      <c r="A155" s="14" t="s">
        <v>215</v>
      </c>
      <c r="B155" s="20" t="s">
        <v>217</v>
      </c>
      <c r="C155" s="71"/>
      <c r="D155" s="69"/>
      <c r="E155" s="69"/>
      <c r="F155" s="69"/>
      <c r="G155" s="69"/>
      <c r="H155" s="81"/>
      <c r="I155" s="81"/>
      <c r="J155" s="81"/>
      <c r="K155" s="69"/>
      <c r="L155" s="661">
        <f t="shared" si="102"/>
        <v>0</v>
      </c>
      <c r="M155" s="661">
        <f t="shared" si="103"/>
        <v>0</v>
      </c>
      <c r="N155" s="661">
        <f t="shared" si="104"/>
        <v>0</v>
      </c>
      <c r="O155" s="645"/>
      <c r="P155" s="81">
        <f t="shared" si="109"/>
        <v>0</v>
      </c>
      <c r="Q155" s="81">
        <f t="shared" si="110"/>
        <v>0</v>
      </c>
      <c r="R155" s="81">
        <f t="shared" si="111"/>
        <v>0</v>
      </c>
      <c r="S155" s="81">
        <f t="shared" si="105"/>
        <v>0</v>
      </c>
      <c r="T155" s="85">
        <f t="shared" si="106"/>
        <v>0</v>
      </c>
      <c r="U155" s="191"/>
      <c r="V155" s="195">
        <f t="shared" si="96"/>
        <v>0</v>
      </c>
    </row>
    <row r="156" spans="1:22" x14ac:dyDescent="0.25">
      <c r="A156" s="14" t="s">
        <v>216</v>
      </c>
      <c r="B156" s="20" t="s">
        <v>218</v>
      </c>
      <c r="C156" s="71"/>
      <c r="D156" s="69"/>
      <c r="E156" s="69"/>
      <c r="F156" s="69"/>
      <c r="G156" s="69"/>
      <c r="H156" s="81"/>
      <c r="I156" s="81"/>
      <c r="J156" s="81"/>
      <c r="K156" s="69"/>
      <c r="L156" s="661">
        <f t="shared" si="102"/>
        <v>0</v>
      </c>
      <c r="M156" s="661">
        <f t="shared" si="103"/>
        <v>0</v>
      </c>
      <c r="N156" s="661">
        <f t="shared" si="104"/>
        <v>0</v>
      </c>
      <c r="O156" s="645"/>
      <c r="P156" s="81">
        <f t="shared" si="109"/>
        <v>0</v>
      </c>
      <c r="Q156" s="81">
        <f t="shared" si="110"/>
        <v>0</v>
      </c>
      <c r="R156" s="81">
        <f t="shared" si="111"/>
        <v>0</v>
      </c>
      <c r="S156" s="81">
        <f t="shared" si="105"/>
        <v>0</v>
      </c>
      <c r="T156" s="85">
        <f t="shared" si="106"/>
        <v>0</v>
      </c>
      <c r="U156" s="191"/>
      <c r="V156" s="195">
        <f t="shared" si="96"/>
        <v>0</v>
      </c>
    </row>
    <row r="157" spans="1:22" x14ac:dyDescent="0.25">
      <c r="A157" s="14" t="s">
        <v>219</v>
      </c>
      <c r="B157" s="20" t="s">
        <v>220</v>
      </c>
      <c r="C157" s="71"/>
      <c r="D157" s="69"/>
      <c r="E157" s="69"/>
      <c r="F157" s="69"/>
      <c r="G157" s="69"/>
      <c r="H157" s="81"/>
      <c r="I157" s="81"/>
      <c r="J157" s="81"/>
      <c r="K157" s="69"/>
      <c r="L157" s="661">
        <f t="shared" si="102"/>
        <v>0</v>
      </c>
      <c r="M157" s="661">
        <f t="shared" si="103"/>
        <v>0</v>
      </c>
      <c r="N157" s="661">
        <f t="shared" si="104"/>
        <v>0</v>
      </c>
      <c r="O157" s="645"/>
      <c r="P157" s="81">
        <f t="shared" si="109"/>
        <v>0</v>
      </c>
      <c r="Q157" s="81">
        <f t="shared" si="110"/>
        <v>0</v>
      </c>
      <c r="R157" s="81">
        <f t="shared" si="111"/>
        <v>0</v>
      </c>
      <c r="S157" s="81">
        <f t="shared" si="105"/>
        <v>0</v>
      </c>
      <c r="T157" s="85">
        <f t="shared" si="106"/>
        <v>0</v>
      </c>
      <c r="U157" s="191"/>
      <c r="V157" s="195">
        <f t="shared" si="96"/>
        <v>0</v>
      </c>
    </row>
    <row r="158" spans="1:22" x14ac:dyDescent="0.25">
      <c r="A158" s="14" t="s">
        <v>221</v>
      </c>
      <c r="B158" s="20" t="s">
        <v>222</v>
      </c>
      <c r="C158" s="142"/>
      <c r="D158" s="69"/>
      <c r="E158" s="69"/>
      <c r="F158" s="69"/>
      <c r="G158" s="69"/>
      <c r="H158" s="81"/>
      <c r="I158" s="81"/>
      <c r="J158" s="81"/>
      <c r="K158" s="69"/>
      <c r="L158" s="661">
        <f t="shared" si="102"/>
        <v>0</v>
      </c>
      <c r="M158" s="661">
        <f t="shared" si="103"/>
        <v>0</v>
      </c>
      <c r="N158" s="661">
        <f t="shared" si="104"/>
        <v>0</v>
      </c>
      <c r="O158" s="645"/>
      <c r="P158" s="81">
        <f t="shared" si="109"/>
        <v>0</v>
      </c>
      <c r="Q158" s="81">
        <f t="shared" si="110"/>
        <v>0</v>
      </c>
      <c r="R158" s="81">
        <f t="shared" si="111"/>
        <v>0</v>
      </c>
      <c r="S158" s="81">
        <f t="shared" si="105"/>
        <v>0</v>
      </c>
      <c r="T158" s="85">
        <f t="shared" si="106"/>
        <v>0</v>
      </c>
      <c r="U158" s="191"/>
      <c r="V158" s="195">
        <f t="shared" si="96"/>
        <v>0</v>
      </c>
    </row>
    <row r="159" spans="1:22" x14ac:dyDescent="0.25">
      <c r="A159" s="14" t="s">
        <v>223</v>
      </c>
      <c r="B159" s="20" t="s">
        <v>224</v>
      </c>
      <c r="C159" s="142">
        <v>24577456</v>
      </c>
      <c r="D159" s="142">
        <v>25066700</v>
      </c>
      <c r="E159" s="142">
        <v>25066700</v>
      </c>
      <c r="F159" s="69">
        <v>25066700</v>
      </c>
      <c r="G159" s="69"/>
      <c r="H159" s="142">
        <v>25066700</v>
      </c>
      <c r="I159" s="142">
        <v>25066700</v>
      </c>
      <c r="J159" s="81">
        <v>25066700</v>
      </c>
      <c r="K159" s="69"/>
      <c r="L159" s="661">
        <f t="shared" si="102"/>
        <v>1.0199062099836533</v>
      </c>
      <c r="M159" s="661">
        <f t="shared" si="103"/>
        <v>1</v>
      </c>
      <c r="N159" s="661">
        <f t="shared" si="104"/>
        <v>1</v>
      </c>
      <c r="O159" s="645"/>
      <c r="P159" s="81">
        <f t="shared" si="109"/>
        <v>489244</v>
      </c>
      <c r="Q159" s="81">
        <f t="shared" si="110"/>
        <v>0</v>
      </c>
      <c r="R159" s="81">
        <f t="shared" si="111"/>
        <v>0</v>
      </c>
      <c r="S159" s="81">
        <f t="shared" si="105"/>
        <v>489244</v>
      </c>
      <c r="T159" s="85">
        <f t="shared" si="106"/>
        <v>1.9906209983653313E-2</v>
      </c>
      <c r="U159" s="191"/>
      <c r="V159" s="195">
        <f t="shared" si="96"/>
        <v>0</v>
      </c>
    </row>
    <row r="160" spans="1:22" x14ac:dyDescent="0.25">
      <c r="B160" s="20" t="s">
        <v>225</v>
      </c>
      <c r="C160" s="71"/>
      <c r="D160" s="69"/>
      <c r="E160" s="69"/>
      <c r="F160" s="69"/>
      <c r="G160" s="69"/>
      <c r="H160" s="81"/>
      <c r="I160" s="81"/>
      <c r="J160" s="81"/>
      <c r="K160" s="69"/>
      <c r="L160" s="661">
        <f t="shared" si="102"/>
        <v>0</v>
      </c>
      <c r="M160" s="661">
        <f t="shared" si="103"/>
        <v>0</v>
      </c>
      <c r="N160" s="661">
        <f t="shared" si="104"/>
        <v>0</v>
      </c>
      <c r="O160" s="645"/>
      <c r="P160" s="81">
        <f t="shared" ref="P160:P166" si="116">+(D160-C160)*P$8</f>
        <v>0</v>
      </c>
      <c r="Q160" s="81">
        <f t="shared" ref="Q160:Q166" si="117">+(E160-D160)*Q$8</f>
        <v>0</v>
      </c>
      <c r="R160" s="81">
        <f t="shared" ref="R160:R166" si="118">+(F160-E160)*R$8</f>
        <v>0</v>
      </c>
      <c r="S160" s="81">
        <f t="shared" ref="S160:S166" si="119">+P160*P$8+Q160*Q$8+Q160*G$8</f>
        <v>0</v>
      </c>
      <c r="T160" s="85">
        <f t="shared" ref="T160:T166" si="120">IF(C160=0,0,+S160/C160)</f>
        <v>0</v>
      </c>
      <c r="U160" s="191"/>
      <c r="V160" s="195">
        <f t="shared" si="96"/>
        <v>0</v>
      </c>
    </row>
    <row r="161" spans="1:22" x14ac:dyDescent="0.25">
      <c r="A161" s="529" t="s">
        <v>226</v>
      </c>
      <c r="B161" s="482" t="s">
        <v>227</v>
      </c>
      <c r="C161" s="142">
        <f>+'4. Dr Gáspár HSZK'!C100+'5. Csicsergő'!C100+'6. Gólyahír'!C100+'7. Polg.Hiv.'!C102+'8. WAMKK'!C104+'9. Közp. Konyha'!C100</f>
        <v>588485599</v>
      </c>
      <c r="D161" s="143">
        <v>588485599</v>
      </c>
      <c r="E161" s="143">
        <v>588485599</v>
      </c>
      <c r="F161" s="69">
        <v>588485599</v>
      </c>
      <c r="G161" s="69"/>
      <c r="H161" s="81">
        <v>292582305</v>
      </c>
      <c r="I161" s="81">
        <v>416393673</v>
      </c>
      <c r="J161" s="81">
        <v>559220758</v>
      </c>
      <c r="K161" s="69"/>
      <c r="L161" s="661">
        <f t="shared" si="102"/>
        <v>0.49717836000945198</v>
      </c>
      <c r="M161" s="661">
        <f t="shared" si="103"/>
        <v>0.70756816089904007</v>
      </c>
      <c r="N161" s="661">
        <f t="shared" si="104"/>
        <v>0.95027093092893167</v>
      </c>
      <c r="O161" s="645"/>
      <c r="P161" s="81">
        <f t="shared" si="116"/>
        <v>0</v>
      </c>
      <c r="Q161" s="81">
        <f t="shared" si="117"/>
        <v>0</v>
      </c>
      <c r="R161" s="81">
        <f t="shared" si="118"/>
        <v>0</v>
      </c>
      <c r="S161" s="81">
        <f t="shared" si="119"/>
        <v>0</v>
      </c>
      <c r="T161" s="85">
        <f t="shared" si="120"/>
        <v>0</v>
      </c>
      <c r="U161" s="191"/>
      <c r="V161" s="195">
        <f t="shared" si="96"/>
        <v>0</v>
      </c>
    </row>
    <row r="162" spans="1:22" x14ac:dyDescent="0.25">
      <c r="B162" s="20" t="s">
        <v>228</v>
      </c>
      <c r="C162" s="71"/>
      <c r="D162" s="69"/>
      <c r="E162" s="69"/>
      <c r="F162" s="69"/>
      <c r="G162" s="69"/>
      <c r="H162" s="81"/>
      <c r="I162" s="81"/>
      <c r="J162" s="81"/>
      <c r="K162" s="69"/>
      <c r="L162" s="661">
        <f t="shared" ref="L162:L166" si="121">IF(H162&gt;0,H162/C162,0)</f>
        <v>0</v>
      </c>
      <c r="M162" s="661">
        <f t="shared" ref="M162:M166" si="122">IF(I162&gt;0,I162/D162,0)</f>
        <v>0</v>
      </c>
      <c r="N162" s="661" t="e">
        <f t="shared" ref="N162:N166" si="123">+J162/E162</f>
        <v>#DIV/0!</v>
      </c>
      <c r="O162" s="645"/>
      <c r="P162" s="81">
        <f t="shared" si="116"/>
        <v>0</v>
      </c>
      <c r="Q162" s="81">
        <f t="shared" si="117"/>
        <v>0</v>
      </c>
      <c r="R162" s="81">
        <f t="shared" si="118"/>
        <v>0</v>
      </c>
      <c r="S162" s="81">
        <f t="shared" si="119"/>
        <v>0</v>
      </c>
      <c r="T162" s="85">
        <f t="shared" si="120"/>
        <v>0</v>
      </c>
      <c r="U162" s="191"/>
      <c r="V162" s="195">
        <f t="shared" si="96"/>
        <v>0</v>
      </c>
    </row>
    <row r="163" spans="1:22" x14ac:dyDescent="0.25">
      <c r="A163" s="14" t="s">
        <v>229</v>
      </c>
      <c r="B163" s="20" t="s">
        <v>230</v>
      </c>
      <c r="C163" s="71"/>
      <c r="D163" s="69"/>
      <c r="E163" s="69"/>
      <c r="F163" s="69"/>
      <c r="G163" s="69"/>
      <c r="H163" s="81"/>
      <c r="I163" s="81"/>
      <c r="J163" s="81"/>
      <c r="K163" s="69"/>
      <c r="L163" s="661">
        <f t="shared" si="121"/>
        <v>0</v>
      </c>
      <c r="M163" s="661">
        <f t="shared" si="122"/>
        <v>0</v>
      </c>
      <c r="N163" s="661" t="e">
        <f t="shared" si="123"/>
        <v>#DIV/0!</v>
      </c>
      <c r="O163" s="645"/>
      <c r="P163" s="81">
        <f t="shared" si="116"/>
        <v>0</v>
      </c>
      <c r="Q163" s="81">
        <f t="shared" si="117"/>
        <v>0</v>
      </c>
      <c r="R163" s="81">
        <f t="shared" si="118"/>
        <v>0</v>
      </c>
      <c r="S163" s="81">
        <f t="shared" si="119"/>
        <v>0</v>
      </c>
      <c r="T163" s="85">
        <f t="shared" si="120"/>
        <v>0</v>
      </c>
      <c r="U163" s="191"/>
      <c r="V163" s="195">
        <f t="shared" si="96"/>
        <v>0</v>
      </c>
    </row>
    <row r="164" spans="1:22" x14ac:dyDescent="0.25">
      <c r="A164" s="14" t="s">
        <v>231</v>
      </c>
      <c r="B164" s="20" t="s">
        <v>232</v>
      </c>
      <c r="C164" s="71"/>
      <c r="D164" s="69"/>
      <c r="E164" s="69"/>
      <c r="F164" s="69"/>
      <c r="G164" s="69"/>
      <c r="H164" s="81"/>
      <c r="I164" s="81"/>
      <c r="J164" s="81"/>
      <c r="K164" s="69"/>
      <c r="L164" s="661">
        <f t="shared" si="121"/>
        <v>0</v>
      </c>
      <c r="M164" s="661">
        <f t="shared" si="122"/>
        <v>0</v>
      </c>
      <c r="N164" s="661" t="e">
        <f t="shared" si="123"/>
        <v>#DIV/0!</v>
      </c>
      <c r="O164" s="645"/>
      <c r="P164" s="81">
        <f t="shared" si="116"/>
        <v>0</v>
      </c>
      <c r="Q164" s="81">
        <f t="shared" si="117"/>
        <v>0</v>
      </c>
      <c r="R164" s="81">
        <f t="shared" si="118"/>
        <v>0</v>
      </c>
      <c r="S164" s="81">
        <f t="shared" si="119"/>
        <v>0</v>
      </c>
      <c r="T164" s="85">
        <f t="shared" si="120"/>
        <v>0</v>
      </c>
      <c r="U164" s="191"/>
      <c r="V164" s="195">
        <f t="shared" si="96"/>
        <v>0</v>
      </c>
    </row>
    <row r="165" spans="1:22" x14ac:dyDescent="0.25">
      <c r="A165" s="14" t="s">
        <v>233</v>
      </c>
      <c r="B165" s="20" t="s">
        <v>234</v>
      </c>
      <c r="C165" s="71"/>
      <c r="D165" s="69"/>
      <c r="E165" s="69"/>
      <c r="F165" s="69"/>
      <c r="G165" s="69"/>
      <c r="H165" s="81"/>
      <c r="I165" s="81"/>
      <c r="J165" s="81"/>
      <c r="K165" s="69"/>
      <c r="L165" s="661">
        <f t="shared" si="121"/>
        <v>0</v>
      </c>
      <c r="M165" s="661">
        <f t="shared" si="122"/>
        <v>0</v>
      </c>
      <c r="N165" s="661" t="e">
        <f t="shared" si="123"/>
        <v>#DIV/0!</v>
      </c>
      <c r="O165" s="645"/>
      <c r="P165" s="81">
        <f t="shared" si="116"/>
        <v>0</v>
      </c>
      <c r="Q165" s="81">
        <f t="shared" si="117"/>
        <v>0</v>
      </c>
      <c r="R165" s="81">
        <f t="shared" si="118"/>
        <v>0</v>
      </c>
      <c r="S165" s="81">
        <f t="shared" si="119"/>
        <v>0</v>
      </c>
      <c r="T165" s="85">
        <f t="shared" si="120"/>
        <v>0</v>
      </c>
      <c r="U165" s="191"/>
      <c r="V165" s="195">
        <f t="shared" si="96"/>
        <v>0</v>
      </c>
    </row>
    <row r="166" spans="1:22" x14ac:dyDescent="0.25">
      <c r="A166" s="14" t="s">
        <v>235</v>
      </c>
      <c r="B166" s="20" t="s">
        <v>236</v>
      </c>
      <c r="C166" s="71"/>
      <c r="D166" s="69"/>
      <c r="E166" s="69"/>
      <c r="F166" s="69"/>
      <c r="G166" s="69"/>
      <c r="H166" s="81"/>
      <c r="I166" s="81"/>
      <c r="J166" s="81"/>
      <c r="K166" s="69"/>
      <c r="L166" s="661">
        <f t="shared" si="121"/>
        <v>0</v>
      </c>
      <c r="M166" s="661">
        <f t="shared" si="122"/>
        <v>0</v>
      </c>
      <c r="N166" s="661" t="e">
        <f t="shared" si="123"/>
        <v>#DIV/0!</v>
      </c>
      <c r="O166" s="645"/>
      <c r="P166" s="81">
        <f t="shared" si="116"/>
        <v>0</v>
      </c>
      <c r="Q166" s="81">
        <f t="shared" si="117"/>
        <v>0</v>
      </c>
      <c r="R166" s="81">
        <f t="shared" si="118"/>
        <v>0</v>
      </c>
      <c r="S166" s="81">
        <f t="shared" si="119"/>
        <v>0</v>
      </c>
      <c r="T166" s="85">
        <f t="shared" si="120"/>
        <v>0</v>
      </c>
      <c r="U166" s="191"/>
      <c r="V166" s="195">
        <f t="shared" si="96"/>
        <v>0</v>
      </c>
    </row>
    <row r="167" spans="1:22" x14ac:dyDescent="0.25">
      <c r="C167" s="71"/>
      <c r="D167" s="69"/>
      <c r="E167" s="69"/>
      <c r="F167" s="69"/>
      <c r="G167" s="69"/>
      <c r="H167" s="81"/>
      <c r="I167" s="81"/>
      <c r="J167" s="81"/>
      <c r="K167" s="69"/>
      <c r="L167" s="661"/>
      <c r="M167" s="661"/>
      <c r="N167" s="661"/>
      <c r="O167" s="645"/>
      <c r="P167" s="81"/>
      <c r="Q167" s="81"/>
      <c r="R167" s="81"/>
      <c r="S167" s="81"/>
      <c r="T167" s="85"/>
      <c r="U167" s="191"/>
      <c r="V167" s="195">
        <f t="shared" si="96"/>
        <v>0</v>
      </c>
    </row>
    <row r="168" spans="1:22" x14ac:dyDescent="0.25">
      <c r="A168" s="4"/>
      <c r="B168" s="3" t="s">
        <v>102</v>
      </c>
      <c r="C168" s="66">
        <f>C13+C29+C32+C81+C106+C120+C129+C135+C145</f>
        <v>1479554563</v>
      </c>
      <c r="D168" s="66">
        <f>D13+D29+D32+D81+D106+D120+D129+D135+D145</f>
        <v>1500709950</v>
      </c>
      <c r="E168" s="66">
        <f>E13+E29+E32+E81+E106+E120+E129+E135+E145</f>
        <v>1520709950</v>
      </c>
      <c r="F168" s="66">
        <f>F13+F29+F32+F81+F106+F120+F129+F135+F145</f>
        <v>1479554563</v>
      </c>
      <c r="G168" s="66"/>
      <c r="H168" s="83">
        <f t="shared" ref="H168" si="124">H13+H29+H32+H81+H106+H120+H129+H135+H145</f>
        <v>692493919</v>
      </c>
      <c r="I168" s="83">
        <f>I13+I29+I32+I81+I106+I120+I129+I135+I145</f>
        <v>953672209</v>
      </c>
      <c r="J168" s="83">
        <f>J13+J29+J32+J81+J106+J120+J129+J135+J145</f>
        <v>1405628564</v>
      </c>
      <c r="K168" s="66"/>
      <c r="L168" s="631">
        <f>H168/C168</f>
        <v>0.46804216371437735</v>
      </c>
      <c r="M168" s="631">
        <f>I168/D168</f>
        <v>0.63548069965152165</v>
      </c>
      <c r="N168" s="631">
        <f>+J168/E168</f>
        <v>0.92432390805360354</v>
      </c>
      <c r="O168" s="646"/>
      <c r="P168" s="83">
        <f>IF(D168&gt;0,+D168-C168,0)</f>
        <v>21155387</v>
      </c>
      <c r="Q168" s="83">
        <f>IF(E168&gt;0,+E168-D168,0)</f>
        <v>20000000</v>
      </c>
      <c r="R168" s="83">
        <f>IF(F168&gt;0,+F168-E168,0)</f>
        <v>-41155387</v>
      </c>
      <c r="S168" s="83">
        <f>+P168*P$8+Q168*Q$8+Q168*G$8</f>
        <v>41155387</v>
      </c>
      <c r="T168" s="85">
        <f>IF(C168=0,0,+S168/C168)</f>
        <v>2.7816065746539151E-2</v>
      </c>
      <c r="U168" s="193"/>
      <c r="V168" s="196">
        <f t="shared" si="96"/>
        <v>0</v>
      </c>
    </row>
    <row r="169" spans="1:22" x14ac:dyDescent="0.25">
      <c r="A169" s="22"/>
      <c r="B169" s="22"/>
      <c r="C169" s="73"/>
      <c r="D169" s="74"/>
      <c r="E169" s="74"/>
      <c r="F169" s="74"/>
      <c r="G169" s="74"/>
      <c r="H169" s="84"/>
      <c r="I169" s="84"/>
      <c r="J169" s="84"/>
      <c r="K169" s="74"/>
      <c r="L169" s="648"/>
      <c r="M169" s="649"/>
      <c r="N169" s="649"/>
      <c r="O169" s="650"/>
      <c r="P169" s="84"/>
      <c r="Q169" s="84"/>
      <c r="R169" s="84"/>
      <c r="S169" s="84"/>
      <c r="T169" s="86"/>
      <c r="U169" s="74"/>
    </row>
    <row r="170" spans="1:22" hidden="1" x14ac:dyDescent="0.25">
      <c r="A170" s="22"/>
      <c r="B170" s="22"/>
      <c r="C170" s="73"/>
      <c r="D170" s="75"/>
      <c r="F170" s="74">
        <f>' 2. Önk. Bevételek'!M96-'3. Önk. Kiadások'!F168</f>
        <v>-1479554562.254818</v>
      </c>
      <c r="G170" s="74"/>
      <c r="H170" s="73"/>
      <c r="K170" s="74"/>
      <c r="L170" s="648"/>
      <c r="M170" s="649"/>
      <c r="N170" s="649"/>
      <c r="O170" s="650"/>
      <c r="P170" s="73"/>
      <c r="Q170" s="73"/>
      <c r="R170" s="73"/>
      <c r="S170" s="73"/>
      <c r="T170" s="86"/>
      <c r="U170" s="74"/>
    </row>
    <row r="171" spans="1:22" hidden="1" x14ac:dyDescent="0.25">
      <c r="A171" s="22"/>
      <c r="B171" s="22"/>
      <c r="C171" s="73"/>
      <c r="D171" s="75" t="s">
        <v>434</v>
      </c>
      <c r="E171" s="74">
        <f>' 2. Önk. Bevételek'!E96-'3. Önk. Kiadások'!E168</f>
        <v>0</v>
      </c>
      <c r="F171" s="74"/>
      <c r="G171" s="74"/>
      <c r="H171" s="73"/>
      <c r="I171" s="270">
        <f>36792991*0+'4. Dr Gáspár HSZK'!I100+'5. Csicsergő'!I100+'6. Gólyahír'!I100+'7. Polg.Hiv.'!M102+'8. WAMKK'!M104+'9. Közp. Konyha'!M100</f>
        <v>234445636.98625174</v>
      </c>
      <c r="K171" s="74"/>
      <c r="L171" s="648"/>
      <c r="M171" s="649"/>
      <c r="N171" s="649"/>
      <c r="O171" s="650"/>
      <c r="P171" s="73"/>
      <c r="Q171" s="73"/>
      <c r="R171" s="73"/>
      <c r="S171" s="73"/>
      <c r="T171" s="86"/>
      <c r="U171" s="74"/>
    </row>
    <row r="172" spans="1:22" hidden="1" x14ac:dyDescent="0.25">
      <c r="A172" s="22"/>
      <c r="B172" s="56" t="s">
        <v>395</v>
      </c>
      <c r="C172" s="73"/>
      <c r="D172" s="73"/>
      <c r="E172" s="74"/>
      <c r="F172" s="74"/>
      <c r="G172" s="74"/>
      <c r="H172" s="73"/>
      <c r="I172" s="22"/>
      <c r="J172" s="22"/>
      <c r="K172" s="74"/>
      <c r="L172" s="648"/>
      <c r="M172" s="649"/>
      <c r="N172" s="649"/>
      <c r="O172" s="650"/>
      <c r="P172" s="73"/>
      <c r="Q172" s="73"/>
      <c r="R172" s="73"/>
      <c r="S172" s="73"/>
      <c r="U172" s="74"/>
    </row>
    <row r="173" spans="1:22" hidden="1" x14ac:dyDescent="0.25">
      <c r="A173" s="22"/>
      <c r="B173" s="22"/>
      <c r="C173" s="73"/>
      <c r="D173" s="74"/>
      <c r="E173" s="74"/>
      <c r="F173" s="74"/>
      <c r="G173" s="74"/>
      <c r="H173" s="73"/>
      <c r="K173" s="74"/>
      <c r="L173" s="648"/>
      <c r="M173" s="649"/>
      <c r="N173" s="605"/>
      <c r="O173" s="650"/>
      <c r="P173" s="73"/>
      <c r="Q173" s="73"/>
      <c r="R173" s="73"/>
      <c r="S173" s="73"/>
      <c r="U173" s="74"/>
    </row>
    <row r="174" spans="1:22" hidden="1" x14ac:dyDescent="0.25">
      <c r="A174" s="22"/>
      <c r="B174" s="56" t="s">
        <v>396</v>
      </c>
      <c r="C174" s="73"/>
      <c r="D174" s="74"/>
      <c r="E174" s="74"/>
      <c r="F174" s="74"/>
      <c r="G174" s="74"/>
      <c r="H174" s="73"/>
      <c r="K174" s="74"/>
      <c r="L174" s="648"/>
      <c r="M174" s="649"/>
      <c r="N174" s="605"/>
      <c r="O174" s="650"/>
      <c r="P174" s="73"/>
      <c r="Q174" s="73"/>
      <c r="R174" s="73"/>
      <c r="S174" s="73"/>
      <c r="U174" s="74"/>
    </row>
    <row r="175" spans="1:22" hidden="1" x14ac:dyDescent="0.25">
      <c r="A175" s="22"/>
      <c r="B175" s="22"/>
      <c r="C175" s="73"/>
      <c r="D175" s="75"/>
      <c r="E175" s="74"/>
      <c r="F175" s="74"/>
      <c r="G175" s="74"/>
      <c r="H175" s="73"/>
      <c r="K175" s="74"/>
      <c r="L175" s="648"/>
      <c r="M175" s="649"/>
      <c r="N175" s="605"/>
      <c r="O175" s="650"/>
      <c r="P175" s="73"/>
      <c r="Q175" s="73"/>
      <c r="R175" s="73"/>
      <c r="S175" s="73"/>
      <c r="U175" s="74"/>
    </row>
    <row r="176" spans="1:22" hidden="1" x14ac:dyDescent="0.25">
      <c r="A176" s="22"/>
      <c r="B176" s="22"/>
      <c r="C176" s="73"/>
      <c r="D176" s="74"/>
      <c r="E176" s="74"/>
      <c r="F176" s="74"/>
      <c r="G176" s="74"/>
      <c r="H176" s="73"/>
      <c r="K176" s="74"/>
      <c r="L176" s="648"/>
      <c r="M176" s="649"/>
      <c r="N176" s="605"/>
      <c r="O176" s="650"/>
      <c r="P176" s="73"/>
      <c r="Q176" s="73"/>
      <c r="R176" s="73"/>
      <c r="S176" s="73"/>
      <c r="U176" s="74"/>
    </row>
    <row r="177" spans="1:21" hidden="1" x14ac:dyDescent="0.25">
      <c r="A177" s="22"/>
      <c r="B177" s="22"/>
      <c r="C177" s="73"/>
      <c r="D177" s="74"/>
      <c r="E177" s="74"/>
      <c r="F177" s="74"/>
      <c r="G177" s="74"/>
      <c r="H177" s="73"/>
      <c r="K177" s="74"/>
      <c r="L177" s="648"/>
      <c r="M177" s="649"/>
      <c r="N177" s="605"/>
      <c r="O177" s="650"/>
      <c r="P177" s="73"/>
      <c r="Q177" s="73"/>
      <c r="R177" s="73"/>
      <c r="S177" s="73"/>
      <c r="U177" s="74"/>
    </row>
    <row r="178" spans="1:21" hidden="1" x14ac:dyDescent="0.25">
      <c r="A178" s="320" t="s">
        <v>426</v>
      </c>
      <c r="B178" s="22"/>
      <c r="C178" s="73"/>
      <c r="D178" s="75"/>
      <c r="E178" s="74"/>
      <c r="F178" s="74"/>
      <c r="G178" s="74"/>
      <c r="H178" s="73"/>
      <c r="K178" s="74"/>
      <c r="L178" s="648"/>
      <c r="M178" s="649"/>
      <c r="N178" s="605"/>
      <c r="O178" s="650"/>
      <c r="P178" s="73"/>
      <c r="Q178" s="73"/>
      <c r="R178" s="73"/>
      <c r="S178" s="73"/>
      <c r="U178" s="74"/>
    </row>
    <row r="179" spans="1:21" hidden="1" x14ac:dyDescent="0.25">
      <c r="A179" s="319" t="s">
        <v>424</v>
      </c>
      <c r="B179" s="56" t="str">
        <f>+'4. Dr Gáspár HSZK'!A1</f>
        <v>Dr. Gáspár István HSZK</v>
      </c>
      <c r="C179" s="73">
        <f>+'4. Dr Gáspár HSZK'!C5</f>
        <v>44846000</v>
      </c>
      <c r="D179" s="73">
        <f>+'4. Dr Gáspár HSZK'!D5</f>
        <v>44846000</v>
      </c>
      <c r="E179" s="73">
        <f>+'4. Dr Gáspár HSZK'!E5</f>
        <v>44846000</v>
      </c>
      <c r="F179" s="73">
        <f>+'4. Dr Gáspár HSZK'!F5</f>
        <v>44846000</v>
      </c>
      <c r="G179" s="73"/>
      <c r="H179" s="73">
        <f>+'4. Dr Gáspár HSZK'!H5</f>
        <v>21165820</v>
      </c>
      <c r="I179" s="73">
        <f>+'4. Dr Gáspár HSZK'!I5</f>
        <v>31511847</v>
      </c>
      <c r="J179" s="73">
        <f>+'4. Dr Gáspár HSZK'!J5</f>
        <v>42192661</v>
      </c>
      <c r="K179" s="73">
        <f>+'4. Dr Gáspár HSZK'!K5</f>
        <v>0</v>
      </c>
      <c r="L179" s="650"/>
      <c r="M179" s="650"/>
      <c r="N179" s="650"/>
      <c r="O179" s="650">
        <f>+'4. Dr Gáspár HSZK'!O5</f>
        <v>0</v>
      </c>
      <c r="P179" s="73">
        <f>+'4. Dr Gáspár HSZK'!P5</f>
        <v>0</v>
      </c>
      <c r="Q179" s="73">
        <f>+'4. Dr Gáspár HSZK'!Q5</f>
        <v>0</v>
      </c>
      <c r="R179" s="73">
        <f>+'4. Dr Gáspár HSZK'!R5</f>
        <v>0</v>
      </c>
      <c r="S179" s="73">
        <f>+'4. Dr Gáspár HSZK'!S5</f>
        <v>0</v>
      </c>
      <c r="U179" s="74"/>
    </row>
    <row r="180" spans="1:21" hidden="1" x14ac:dyDescent="0.25">
      <c r="A180" s="22"/>
      <c r="B180" s="56" t="str">
        <f>+'5. Csicsergő'!A1</f>
        <v>SÜLYSÁPI CSICSERGŐ ÓVODA</v>
      </c>
      <c r="C180" s="73">
        <f>+'5. Csicsergő'!C5</f>
        <v>208639000</v>
      </c>
      <c r="D180" s="73">
        <f>+'5. Csicsergő'!D5</f>
        <v>208639000</v>
      </c>
      <c r="E180" s="73">
        <f>+'5. Csicsergő'!E5</f>
        <v>208639000</v>
      </c>
      <c r="F180" s="73">
        <f>+'5. Csicsergő'!F5</f>
        <v>208639000</v>
      </c>
      <c r="G180" s="73"/>
      <c r="H180" s="73">
        <f>+'5. Csicsergő'!H5</f>
        <v>102412195</v>
      </c>
      <c r="I180" s="73">
        <f>+'5. Csicsergő'!I5</f>
        <v>152674094</v>
      </c>
      <c r="J180" s="73">
        <f>+'5. Csicsergő'!J5</f>
        <v>206106415</v>
      </c>
      <c r="K180" s="73">
        <f>+'5. Csicsergő'!K5</f>
        <v>0</v>
      </c>
      <c r="L180" s="650"/>
      <c r="M180" s="650"/>
      <c r="N180" s="650"/>
      <c r="O180" s="650">
        <f>+'5. Csicsergő'!O5</f>
        <v>0</v>
      </c>
      <c r="P180" s="73">
        <f>+'5. Csicsergő'!P5</f>
        <v>0</v>
      </c>
      <c r="Q180" s="73">
        <f>+'5. Csicsergő'!Q5</f>
        <v>0</v>
      </c>
      <c r="R180" s="73">
        <f>+'5. Csicsergő'!R5</f>
        <v>0</v>
      </c>
      <c r="S180" s="73">
        <f>+'5. Csicsergő'!S5</f>
        <v>0</v>
      </c>
      <c r="U180" s="74"/>
    </row>
    <row r="181" spans="1:21" hidden="1" x14ac:dyDescent="0.25">
      <c r="A181" s="22"/>
      <c r="B181" s="22" t="str">
        <f>+'6. Gólyahír'!A1</f>
        <v>GÓLYAHÍR BÖLCSŐDE</v>
      </c>
      <c r="C181" s="73">
        <f>+'6. Gólyahír'!C5</f>
        <v>78123000</v>
      </c>
      <c r="D181" s="73">
        <f>+'6. Gólyahír'!D5</f>
        <v>78123000</v>
      </c>
      <c r="E181" s="73">
        <f>+'6. Gólyahír'!E5</f>
        <v>78123000</v>
      </c>
      <c r="F181" s="73">
        <f>+'6. Gólyahír'!F5</f>
        <v>78123000</v>
      </c>
      <c r="G181" s="73"/>
      <c r="H181" s="73">
        <f>+'6. Gólyahír'!H5</f>
        <v>36621235</v>
      </c>
      <c r="I181" s="73">
        <f>+'6. Gólyahír'!I5</f>
        <v>55164510</v>
      </c>
      <c r="J181" s="73">
        <f>+'6. Gólyahír'!J5</f>
        <v>76356642</v>
      </c>
      <c r="K181" s="73">
        <f>+'6. Gólyahír'!K5</f>
        <v>0</v>
      </c>
      <c r="L181" s="650"/>
      <c r="M181" s="650"/>
      <c r="N181" s="650"/>
      <c r="O181" s="650">
        <f>+'6. Gólyahír'!O5</f>
        <v>0</v>
      </c>
      <c r="P181" s="73">
        <f>+'6. Gólyahír'!P5</f>
        <v>0</v>
      </c>
      <c r="Q181" s="73">
        <f>+'6. Gólyahír'!Q5</f>
        <v>0</v>
      </c>
      <c r="R181" s="73">
        <f>+'6. Gólyahír'!R5</f>
        <v>0</v>
      </c>
      <c r="S181" s="73">
        <f>+'6. Gólyahír'!S5</f>
        <v>0</v>
      </c>
      <c r="U181" s="74"/>
    </row>
    <row r="182" spans="1:21" hidden="1" x14ac:dyDescent="0.25">
      <c r="A182" s="22"/>
      <c r="B182" s="73" t="str">
        <f>+'7. Polg.Hiv.'!A1</f>
        <v>SÜLYSÁPI POLGÁRMESTERI HIVATAL</v>
      </c>
      <c r="C182" s="73">
        <f>+'7. Polg.Hiv.'!C5</f>
        <v>154833000</v>
      </c>
      <c r="D182" s="73">
        <f>+'7. Polg.Hiv.'!D5</f>
        <v>154833000</v>
      </c>
      <c r="E182" s="73">
        <f>+'7. Polg.Hiv.'!E5</f>
        <v>154833000</v>
      </c>
      <c r="F182" s="73">
        <f>+'7. Polg.Hiv.'!F5</f>
        <v>154833000</v>
      </c>
      <c r="G182" s="73"/>
      <c r="H182" s="73">
        <f>+'7. Polg.Hiv.'!H5</f>
        <v>77266080</v>
      </c>
      <c r="I182" s="73">
        <f>+'7. Polg.Hiv.'!I5</f>
        <v>113695413</v>
      </c>
      <c r="J182" s="73">
        <f>+'7. Polg.Hiv.'!J5</f>
        <v>151919572</v>
      </c>
      <c r="K182" s="73">
        <f>+'7. Polg.Hiv.'!K5</f>
        <v>0</v>
      </c>
      <c r="L182" s="650"/>
      <c r="M182" s="650"/>
      <c r="N182" s="650"/>
      <c r="O182" s="650">
        <f>+'7. Polg.Hiv.'!O5</f>
        <v>0</v>
      </c>
      <c r="P182" s="73">
        <f>+'7. Polg.Hiv.'!P5</f>
        <v>0</v>
      </c>
      <c r="Q182" s="73">
        <f>+'7. Polg.Hiv.'!Q5</f>
        <v>0</v>
      </c>
      <c r="R182" s="73">
        <f>+'7. Polg.Hiv.'!R5</f>
        <v>0</v>
      </c>
      <c r="S182" s="73">
        <f>+'7. Polg.Hiv.'!S5</f>
        <v>0</v>
      </c>
      <c r="U182" s="74"/>
    </row>
    <row r="183" spans="1:21" hidden="1" x14ac:dyDescent="0.25">
      <c r="A183" s="22"/>
      <c r="B183" s="73" t="str">
        <f>+'8. WAMKK'!A1</f>
        <v>Wass Albert Művelődési Központ és Könyvtár</v>
      </c>
      <c r="C183" s="73">
        <f>+'8. WAMKK'!C5</f>
        <v>30373000</v>
      </c>
      <c r="D183" s="73">
        <f>+'8. WAMKK'!D5</f>
        <v>30373000</v>
      </c>
      <c r="E183" s="73">
        <f>+'8. WAMKK'!E5</f>
        <v>31573000</v>
      </c>
      <c r="F183" s="73">
        <f>+'8. WAMKK'!F5</f>
        <v>35849514</v>
      </c>
      <c r="G183" s="73"/>
      <c r="H183" s="73">
        <f>+'8. WAMKK'!H5</f>
        <v>12124842</v>
      </c>
      <c r="I183" s="73">
        <f>+'8. WAMKK'!I5</f>
        <v>22038072</v>
      </c>
      <c r="J183" s="73">
        <f>+'8. WAMKK'!J5</f>
        <v>34036296</v>
      </c>
      <c r="K183" s="73">
        <f>+'8. WAMKK'!K5</f>
        <v>0</v>
      </c>
      <c r="L183" s="650"/>
      <c r="M183" s="650"/>
      <c r="N183" s="650"/>
      <c r="O183" s="650">
        <f>+'8. WAMKK'!O5</f>
        <v>0</v>
      </c>
      <c r="P183" s="73">
        <f>+'8. WAMKK'!P5</f>
        <v>0</v>
      </c>
      <c r="Q183" s="73">
        <f>+'8. WAMKK'!Q5</f>
        <v>1200000</v>
      </c>
      <c r="R183" s="73">
        <f>+'8. WAMKK'!R5</f>
        <v>0</v>
      </c>
      <c r="S183" s="73">
        <f>+'8. WAMKK'!S5</f>
        <v>1200000</v>
      </c>
      <c r="U183" s="74"/>
    </row>
    <row r="184" spans="1:21" hidden="1" x14ac:dyDescent="0.25">
      <c r="A184" s="22"/>
      <c r="B184" s="73" t="str">
        <f>+'9. Közp. Konyha'!A1</f>
        <v>Központi Konyha</v>
      </c>
      <c r="C184" s="73">
        <f>+'9. Közp. Konyha'!C5</f>
        <v>114421000</v>
      </c>
      <c r="D184" s="73">
        <f>+'9. Közp. Konyha'!D5</f>
        <v>114421000</v>
      </c>
      <c r="E184" s="73">
        <f>+'9. Közp. Konyha'!E5</f>
        <v>114421000</v>
      </c>
      <c r="F184" s="73">
        <f>+'9. Közp. Konyha'!F5</f>
        <v>114421000</v>
      </c>
      <c r="G184" s="73"/>
      <c r="H184" s="73">
        <f>+'9. Közp. Konyha'!H5</f>
        <v>49739913</v>
      </c>
      <c r="I184" s="73">
        <f>+'9. Közp. Konyha'!I5</f>
        <v>70078694</v>
      </c>
      <c r="J184" s="73">
        <f>+'9. Közp. Konyha'!J5</f>
        <v>100557468</v>
      </c>
      <c r="K184" s="73">
        <f>+'9. Közp. Konyha'!K5</f>
        <v>0</v>
      </c>
      <c r="L184" s="650"/>
      <c r="M184" s="650"/>
      <c r="N184" s="650"/>
      <c r="O184" s="650">
        <f>+'9. Közp. Konyha'!O5</f>
        <v>0</v>
      </c>
      <c r="P184" s="73">
        <f>+'9. Közp. Konyha'!P5</f>
        <v>0</v>
      </c>
      <c r="Q184" s="73">
        <f>+'9. Közp. Konyha'!Q5</f>
        <v>0</v>
      </c>
      <c r="R184" s="73">
        <f>+'9. Közp. Konyha'!R5</f>
        <v>0</v>
      </c>
      <c r="S184" s="73">
        <f>+'9. Közp. Konyha'!S5</f>
        <v>0</v>
      </c>
      <c r="U184" s="74"/>
    </row>
    <row r="185" spans="1:21" hidden="1" x14ac:dyDescent="0.25">
      <c r="A185" s="320" t="s">
        <v>425</v>
      </c>
      <c r="B185" s="73"/>
      <c r="C185" s="73"/>
      <c r="D185" s="74"/>
      <c r="E185" s="74"/>
      <c r="F185" s="74"/>
      <c r="G185" s="74"/>
      <c r="H185" s="73"/>
      <c r="I185" s="73"/>
      <c r="J185" s="73"/>
      <c r="K185" s="73"/>
      <c r="L185" s="650"/>
      <c r="M185" s="650"/>
      <c r="N185" s="650"/>
      <c r="O185" s="650"/>
      <c r="P185" s="73"/>
      <c r="Q185" s="73"/>
      <c r="R185" s="73"/>
      <c r="S185" s="73"/>
      <c r="U185" s="74"/>
    </row>
    <row r="186" spans="1:21" hidden="1" x14ac:dyDescent="0.25">
      <c r="A186" s="321">
        <v>0</v>
      </c>
      <c r="B186" s="73" t="str">
        <f t="shared" ref="B186:B191" si="125">+B179</f>
        <v>Dr. Gáspár István HSZK</v>
      </c>
      <c r="C186" s="73">
        <v>0</v>
      </c>
      <c r="D186" s="74"/>
      <c r="E186" s="74"/>
      <c r="F186" s="74"/>
      <c r="G186" s="74"/>
      <c r="H186" s="73"/>
      <c r="I186" s="73"/>
      <c r="J186" s="73"/>
      <c r="K186" s="73"/>
      <c r="L186" s="650"/>
      <c r="M186" s="650"/>
      <c r="N186" s="650"/>
      <c r="O186" s="650"/>
      <c r="P186" s="73"/>
      <c r="Q186" s="73"/>
      <c r="R186" s="73"/>
      <c r="S186" s="73"/>
      <c r="U186" s="74"/>
    </row>
    <row r="187" spans="1:21" hidden="1" x14ac:dyDescent="0.25">
      <c r="A187" s="322">
        <v>1</v>
      </c>
      <c r="B187" s="323" t="str">
        <f t="shared" si="125"/>
        <v>SÜLYSÁPI CSICSERGŐ ÓVODA</v>
      </c>
      <c r="C187" s="73">
        <f>-'5. Csicsergő'!C84*$A187</f>
        <v>-1105000</v>
      </c>
      <c r="D187" s="73">
        <f>-'5. Csicsergő'!D84*$A187</f>
        <v>-1105000</v>
      </c>
      <c r="E187" s="73">
        <f>-'5. Csicsergő'!E84*$A187</f>
        <v>-1760443</v>
      </c>
      <c r="F187" s="73">
        <f>-'5. Csicsergő'!F84*$A187</f>
        <v>-1827333</v>
      </c>
      <c r="G187" s="73">
        <f>-'5. Csicsergő'!G84*$A187</f>
        <v>0</v>
      </c>
      <c r="H187" s="73">
        <f>-'5. Csicsergő'!H84*$A187</f>
        <v>-907513</v>
      </c>
      <c r="I187" s="73">
        <f>-'5. Csicsergő'!I84*$A187</f>
        <v>-1609567</v>
      </c>
      <c r="J187" s="73">
        <f>-'5. Csicsergő'!J84*$A187</f>
        <v>-1827333</v>
      </c>
      <c r="K187" s="73">
        <f>-'5. Csicsergő'!K84*$A187</f>
        <v>0</v>
      </c>
      <c r="L187" s="650"/>
      <c r="M187" s="650"/>
      <c r="N187" s="650"/>
      <c r="O187" s="650">
        <f>-'5. Csicsergő'!O84*$A187</f>
        <v>0</v>
      </c>
      <c r="P187" s="73">
        <f>-'5. Csicsergő'!P84*$A187</f>
        <v>0</v>
      </c>
      <c r="Q187" s="73">
        <f>-'5. Csicsergő'!Q84*$A187</f>
        <v>-655443</v>
      </c>
      <c r="R187" s="73">
        <f>-'5. Csicsergő'!R84*$A187</f>
        <v>0</v>
      </c>
      <c r="S187" s="73">
        <f>-'5. Csicsergő'!S84*$A187</f>
        <v>-655443</v>
      </c>
      <c r="U187" s="74"/>
    </row>
    <row r="188" spans="1:21" hidden="1" x14ac:dyDescent="0.25">
      <c r="A188" s="321">
        <v>0</v>
      </c>
      <c r="B188" s="73" t="str">
        <f t="shared" si="125"/>
        <v>GÓLYAHÍR BÖLCSŐDE</v>
      </c>
      <c r="C188" s="73">
        <v>0</v>
      </c>
      <c r="D188" s="74"/>
      <c r="E188" s="74"/>
      <c r="F188" s="74"/>
      <c r="G188" s="74"/>
      <c r="H188" s="73"/>
      <c r="I188" s="73"/>
      <c r="J188" s="73"/>
      <c r="K188" s="73"/>
      <c r="L188" s="650"/>
      <c r="M188" s="650"/>
      <c r="N188" s="650"/>
      <c r="O188" s="650"/>
      <c r="P188" s="73"/>
      <c r="Q188" s="73"/>
      <c r="R188" s="73"/>
      <c r="S188" s="73"/>
      <c r="U188" s="74"/>
    </row>
    <row r="189" spans="1:21" hidden="1" x14ac:dyDescent="0.25">
      <c r="A189" s="322">
        <v>1</v>
      </c>
      <c r="B189" s="325" t="str">
        <f t="shared" si="125"/>
        <v>SÜLYSÁPI POLGÁRMESTERI HIVATAL</v>
      </c>
      <c r="C189" s="73" t="e">
        <f>-'7. Polg.Hiv.'!#REF!*$A189</f>
        <v>#REF!</v>
      </c>
      <c r="D189" s="73" t="e">
        <f>-'7. Polg.Hiv.'!#REF!*$A189</f>
        <v>#REF!</v>
      </c>
      <c r="E189" s="73" t="e">
        <f>-'7. Polg.Hiv.'!#REF!*$A189</f>
        <v>#REF!</v>
      </c>
      <c r="F189" s="73" t="e">
        <f>-'7. Polg.Hiv.'!#REF!*$A189</f>
        <v>#REF!</v>
      </c>
      <c r="G189" s="73" t="e">
        <f>-'7. Polg.Hiv.'!#REF!*$A189</f>
        <v>#REF!</v>
      </c>
      <c r="H189" s="73" t="e">
        <f>-'7. Polg.Hiv.'!#REF!*$A189</f>
        <v>#REF!</v>
      </c>
      <c r="I189" s="73" t="e">
        <f>-'7. Polg.Hiv.'!#REF!*$A189</f>
        <v>#REF!</v>
      </c>
      <c r="J189" s="73" t="e">
        <f>-'7. Polg.Hiv.'!#REF!*$A189</f>
        <v>#REF!</v>
      </c>
      <c r="K189" s="73" t="e">
        <f>-'7. Polg.Hiv.'!#REF!*$A189</f>
        <v>#REF!</v>
      </c>
      <c r="L189" s="650"/>
      <c r="M189" s="650"/>
      <c r="N189" s="650"/>
      <c r="O189" s="650" t="e">
        <f>-'7. Polg.Hiv.'!#REF!*$A189</f>
        <v>#REF!</v>
      </c>
      <c r="P189" s="73" t="e">
        <f>-'7. Polg.Hiv.'!#REF!*$A189</f>
        <v>#REF!</v>
      </c>
      <c r="Q189" s="73" t="e">
        <f>-'7. Polg.Hiv.'!#REF!*$A189</f>
        <v>#REF!</v>
      </c>
      <c r="R189" s="73" t="e">
        <f>-'7. Polg.Hiv.'!#REF!*$A189</f>
        <v>#REF!</v>
      </c>
      <c r="S189" s="73" t="e">
        <f>-'7. Polg.Hiv.'!#REF!*$A189</f>
        <v>#REF!</v>
      </c>
      <c r="U189" s="74"/>
    </row>
    <row r="190" spans="1:21" hidden="1" x14ac:dyDescent="0.25">
      <c r="A190" s="321">
        <v>0</v>
      </c>
      <c r="B190" s="73" t="str">
        <f t="shared" si="125"/>
        <v>Wass Albert Művelődési Központ és Könyvtár</v>
      </c>
      <c r="C190" s="73">
        <v>0</v>
      </c>
      <c r="D190" s="74"/>
      <c r="E190" s="74"/>
      <c r="F190" s="74"/>
      <c r="G190" s="74"/>
      <c r="H190" s="73"/>
      <c r="I190" s="73"/>
      <c r="J190" s="73"/>
      <c r="K190" s="73"/>
      <c r="L190" s="650"/>
      <c r="M190" s="650"/>
      <c r="N190" s="650"/>
      <c r="O190" s="650"/>
      <c r="P190" s="73"/>
      <c r="Q190" s="73"/>
      <c r="R190" s="73"/>
      <c r="S190" s="73"/>
      <c r="U190" s="74"/>
    </row>
    <row r="191" spans="1:21" hidden="1" x14ac:dyDescent="0.25">
      <c r="A191" s="321">
        <v>0</v>
      </c>
      <c r="B191" s="73" t="str">
        <f t="shared" si="125"/>
        <v>Központi Konyha</v>
      </c>
      <c r="C191" s="73">
        <v>0</v>
      </c>
      <c r="D191" s="74"/>
      <c r="E191" s="74"/>
      <c r="F191" s="74"/>
      <c r="G191" s="74"/>
      <c r="H191" s="73"/>
      <c r="I191" s="73"/>
      <c r="J191" s="73"/>
      <c r="K191" s="73"/>
      <c r="L191" s="650"/>
      <c r="M191" s="650"/>
      <c r="N191" s="650"/>
      <c r="O191" s="650"/>
      <c r="P191" s="73"/>
      <c r="Q191" s="73"/>
      <c r="R191" s="73"/>
      <c r="S191" s="73"/>
      <c r="U191" s="74"/>
    </row>
    <row r="192" spans="1:21" hidden="1" x14ac:dyDescent="0.25">
      <c r="A192" s="73"/>
      <c r="B192" s="73"/>
      <c r="C192" s="73"/>
      <c r="D192" s="74"/>
      <c r="E192" s="74"/>
      <c r="F192" s="74"/>
      <c r="G192" s="74"/>
      <c r="H192" s="73"/>
      <c r="I192" s="73"/>
      <c r="J192" s="73"/>
      <c r="K192" s="73"/>
      <c r="L192" s="650"/>
      <c r="M192" s="650"/>
      <c r="N192" s="650"/>
      <c r="O192" s="650"/>
      <c r="P192" s="73"/>
      <c r="Q192" s="73"/>
      <c r="R192" s="73"/>
      <c r="S192" s="73"/>
      <c r="U192" s="74"/>
    </row>
    <row r="193" spans="1:21" hidden="1" x14ac:dyDescent="0.25">
      <c r="A193" s="321">
        <v>1</v>
      </c>
      <c r="B193" s="56" t="s">
        <v>421</v>
      </c>
      <c r="C193" s="73"/>
      <c r="D193" s="73" t="e">
        <f>+#REF!*$A193</f>
        <v>#REF!</v>
      </c>
      <c r="E193" s="73" t="e">
        <f>+#REF!*$A193</f>
        <v>#REF!</v>
      </c>
      <c r="F193" s="73" t="e">
        <f>+#REF!*$A193</f>
        <v>#REF!</v>
      </c>
      <c r="G193" s="74"/>
      <c r="H193" s="73"/>
      <c r="I193" s="73"/>
      <c r="J193" s="73"/>
      <c r="K193" s="73"/>
      <c r="L193" s="650"/>
      <c r="M193" s="650"/>
      <c r="N193" s="650"/>
      <c r="O193" s="650"/>
      <c r="P193" s="73"/>
      <c r="Q193" s="73"/>
      <c r="R193" s="73"/>
      <c r="S193" s="73"/>
      <c r="U193" s="74"/>
    </row>
    <row r="194" spans="1:21" hidden="1" x14ac:dyDescent="0.25">
      <c r="A194" s="321">
        <v>1</v>
      </c>
      <c r="B194" s="56" t="s">
        <v>422</v>
      </c>
      <c r="C194" s="73">
        <f>+C120*$A194</f>
        <v>244165354</v>
      </c>
      <c r="D194" s="73">
        <f>+D120</f>
        <v>196087098</v>
      </c>
      <c r="E194" s="73">
        <f>+E120</f>
        <v>177462297</v>
      </c>
      <c r="F194" s="73">
        <f>+F120</f>
        <v>163533381</v>
      </c>
      <c r="G194" s="73"/>
      <c r="H194" s="73">
        <f>+H120</f>
        <v>26035281</v>
      </c>
      <c r="I194" s="73">
        <f>+I120</f>
        <v>29670109</v>
      </c>
      <c r="J194" s="73">
        <f>+J120</f>
        <v>157888187</v>
      </c>
      <c r="K194" s="73">
        <f>+K120</f>
        <v>0</v>
      </c>
      <c r="L194" s="650"/>
      <c r="M194" s="650"/>
      <c r="N194" s="650"/>
      <c r="O194" s="650">
        <f>+O120</f>
        <v>0</v>
      </c>
      <c r="P194" s="73">
        <f>+P120</f>
        <v>-48078256</v>
      </c>
      <c r="Q194" s="73">
        <f>+Q120</f>
        <v>-18624801</v>
      </c>
      <c r="R194" s="73">
        <f>+R120</f>
        <v>-13928916</v>
      </c>
      <c r="S194" s="73">
        <f>+S120</f>
        <v>-66703057</v>
      </c>
      <c r="U194" s="74"/>
    </row>
    <row r="195" spans="1:21" hidden="1" x14ac:dyDescent="0.25">
      <c r="A195" s="321">
        <v>1</v>
      </c>
      <c r="B195" s="318" t="s">
        <v>423</v>
      </c>
      <c r="C195" s="73">
        <f>+C129*A195</f>
        <v>20637500</v>
      </c>
      <c r="D195" s="73">
        <f>+D129</f>
        <v>93343475</v>
      </c>
      <c r="E195" s="73">
        <f>+E129</f>
        <v>113343475</v>
      </c>
      <c r="F195" s="73">
        <f>+F129</f>
        <v>142956591</v>
      </c>
      <c r="G195" s="73"/>
      <c r="H195" s="73">
        <f>+H129</f>
        <v>34861301</v>
      </c>
      <c r="I195" s="73">
        <f>+I129</f>
        <v>78545085</v>
      </c>
      <c r="J195" s="73">
        <f>+J129</f>
        <v>139263466</v>
      </c>
      <c r="K195" s="73">
        <f>+K129</f>
        <v>0</v>
      </c>
      <c r="L195" s="650"/>
      <c r="M195" s="650"/>
      <c r="N195" s="650"/>
      <c r="O195" s="650">
        <f>+O129</f>
        <v>0</v>
      </c>
      <c r="P195" s="73">
        <f>+P129</f>
        <v>72705975</v>
      </c>
      <c r="Q195" s="73">
        <f>+Q129</f>
        <v>20000000</v>
      </c>
      <c r="R195" s="73">
        <f>+R129</f>
        <v>29613116</v>
      </c>
      <c r="S195" s="73">
        <f>+S129</f>
        <v>92705975</v>
      </c>
      <c r="U195" s="74"/>
    </row>
    <row r="196" spans="1:21" hidden="1" x14ac:dyDescent="0.25">
      <c r="A196" s="73"/>
      <c r="B196" s="73"/>
      <c r="C196" s="73"/>
      <c r="D196" s="74"/>
      <c r="E196" s="74"/>
      <c r="F196" s="74"/>
      <c r="G196" s="74"/>
      <c r="H196" s="73"/>
      <c r="I196" s="73"/>
      <c r="J196" s="73"/>
      <c r="K196" s="73"/>
      <c r="L196" s="650"/>
      <c r="M196" s="650"/>
      <c r="N196" s="650"/>
      <c r="O196" s="650"/>
      <c r="P196" s="73"/>
      <c r="Q196" s="73"/>
      <c r="R196" s="73"/>
      <c r="S196" s="73"/>
      <c r="U196" s="74"/>
    </row>
    <row r="197" spans="1:21" hidden="1" x14ac:dyDescent="0.25">
      <c r="A197" s="324">
        <v>1</v>
      </c>
      <c r="B197" s="56" t="s">
        <v>420</v>
      </c>
      <c r="C197" s="73">
        <f>+C145</f>
        <v>613063055</v>
      </c>
      <c r="D197" s="73">
        <f t="shared" ref="D197:E197" si="126">+D145</f>
        <v>613552299</v>
      </c>
      <c r="E197" s="73">
        <f t="shared" si="126"/>
        <v>613552299</v>
      </c>
      <c r="F197" s="73">
        <f>+F145</f>
        <v>613552299</v>
      </c>
      <c r="G197" s="73"/>
      <c r="H197" s="73">
        <f>+H145</f>
        <v>317649005</v>
      </c>
      <c r="I197" s="73">
        <f>+I145</f>
        <v>441460373</v>
      </c>
      <c r="J197" s="73">
        <f>+J145</f>
        <v>584287458</v>
      </c>
      <c r="K197" s="73"/>
      <c r="L197" s="650"/>
      <c r="M197" s="650"/>
      <c r="N197" s="650"/>
      <c r="O197" s="650"/>
      <c r="P197" s="73">
        <f>+P145</f>
        <v>489244</v>
      </c>
      <c r="Q197" s="73">
        <f>+Q145</f>
        <v>0</v>
      </c>
      <c r="R197" s="73">
        <f>+R145</f>
        <v>0</v>
      </c>
      <c r="S197" s="73">
        <f>+S145</f>
        <v>489244</v>
      </c>
      <c r="U197" s="74"/>
    </row>
    <row r="198" spans="1:21" hidden="1" x14ac:dyDescent="0.25">
      <c r="A198" s="22"/>
      <c r="B198" s="326" t="s">
        <v>428</v>
      </c>
      <c r="C198" s="73" t="e">
        <f>SUM(C179:C197)</f>
        <v>#REF!</v>
      </c>
      <c r="D198" s="73" t="e">
        <f>SUM(D179:D197)</f>
        <v>#REF!</v>
      </c>
      <c r="E198" s="73" t="e">
        <f>SUM(E179:E197)</f>
        <v>#REF!</v>
      </c>
      <c r="F198" s="73" t="e">
        <f>SUM(F179:F197)</f>
        <v>#REF!</v>
      </c>
      <c r="G198" s="73"/>
      <c r="H198" s="73" t="e">
        <f>SUM(H179:H197)</f>
        <v>#REF!</v>
      </c>
      <c r="I198" s="73" t="e">
        <f>SUM(I179:I197)</f>
        <v>#REF!</v>
      </c>
      <c r="J198" s="73" t="e">
        <f>SUM(J179:J197)</f>
        <v>#REF!</v>
      </c>
      <c r="K198" s="73"/>
      <c r="L198" s="650"/>
      <c r="M198" s="650"/>
      <c r="N198" s="650"/>
      <c r="O198" s="650"/>
      <c r="P198" s="73" t="e">
        <f>SUM(P179:P197)</f>
        <v>#REF!</v>
      </c>
      <c r="Q198" s="73" t="e">
        <f>SUM(Q179:Q197)</f>
        <v>#REF!</v>
      </c>
      <c r="R198" s="73" t="e">
        <f>SUM(R179:R197)</f>
        <v>#REF!</v>
      </c>
      <c r="S198" s="73" t="e">
        <f>SUM(S179:S197)</f>
        <v>#REF!</v>
      </c>
      <c r="U198" s="74"/>
    </row>
    <row r="199" spans="1:21" hidden="1" x14ac:dyDescent="0.25">
      <c r="A199" s="22"/>
      <c r="B199" s="22"/>
      <c r="C199" s="73"/>
      <c r="D199" s="74"/>
      <c r="E199" s="74"/>
      <c r="F199" s="74"/>
      <c r="G199" s="74"/>
      <c r="H199" s="73"/>
      <c r="L199" s="650"/>
      <c r="M199" s="650"/>
      <c r="N199" s="650"/>
      <c r="O199" s="650"/>
      <c r="P199" s="23"/>
      <c r="Q199" s="23"/>
      <c r="R199" s="23"/>
      <c r="S199" s="23"/>
      <c r="U199" s="74"/>
    </row>
    <row r="200" spans="1:21" hidden="1" x14ac:dyDescent="0.25">
      <c r="A200" s="22"/>
      <c r="B200" s="327" t="s">
        <v>429</v>
      </c>
      <c r="C200" s="328" t="e">
        <f>+C198-C9</f>
        <v>#REF!</v>
      </c>
      <c r="D200" s="328" t="e">
        <f>+D198-D9</f>
        <v>#REF!</v>
      </c>
      <c r="E200" s="328" t="e">
        <f>+E198-E9</f>
        <v>#REF!</v>
      </c>
      <c r="F200" s="328" t="e">
        <f>+F198-F9</f>
        <v>#REF!</v>
      </c>
      <c r="G200" s="328"/>
      <c r="H200" s="328" t="e">
        <f>+H198-H9</f>
        <v>#REF!</v>
      </c>
      <c r="I200" s="328" t="e">
        <f>+I198-I9</f>
        <v>#REF!</v>
      </c>
      <c r="J200" s="328" t="e">
        <f>+J198-J9</f>
        <v>#REF!</v>
      </c>
      <c r="K200" s="328"/>
      <c r="L200" s="651"/>
      <c r="M200" s="651"/>
      <c r="N200" s="651"/>
      <c r="O200" s="651"/>
      <c r="P200" s="328" t="e">
        <f>+P198-P9</f>
        <v>#REF!</v>
      </c>
      <c r="Q200" s="328" t="e">
        <f>+Q198-Q9</f>
        <v>#REF!</v>
      </c>
      <c r="R200" s="328" t="e">
        <f>+R198-R9</f>
        <v>#REF!</v>
      </c>
      <c r="S200" s="328" t="e">
        <f>+S198-S9</f>
        <v>#REF!</v>
      </c>
      <c r="T200" s="329"/>
      <c r="U200" s="74"/>
    </row>
    <row r="201" spans="1:21" ht="3.6" hidden="1" customHeight="1" x14ac:dyDescent="0.25">
      <c r="A201" s="333"/>
      <c r="B201" s="333"/>
      <c r="C201" s="334"/>
      <c r="D201" s="335"/>
      <c r="E201" s="335"/>
      <c r="F201" s="335"/>
      <c r="G201" s="335"/>
      <c r="H201" s="334"/>
      <c r="I201" s="336"/>
      <c r="J201" s="336"/>
      <c r="K201" s="335"/>
      <c r="L201" s="652"/>
      <c r="M201" s="653"/>
      <c r="N201" s="654"/>
      <c r="O201" s="655"/>
      <c r="P201" s="334"/>
      <c r="Q201" s="334"/>
      <c r="R201" s="334"/>
      <c r="S201" s="334"/>
      <c r="T201" s="337"/>
      <c r="U201" s="74"/>
    </row>
    <row r="202" spans="1:21" hidden="1" x14ac:dyDescent="0.25">
      <c r="A202"/>
      <c r="B202"/>
      <c r="C202"/>
      <c r="D202"/>
      <c r="E202"/>
      <c r="F202"/>
      <c r="G202"/>
      <c r="H202"/>
      <c r="I202"/>
      <c r="J202"/>
      <c r="K202"/>
      <c r="L202" s="656"/>
      <c r="M202" s="656"/>
      <c r="N202" s="656"/>
      <c r="O202" s="656"/>
      <c r="P202"/>
      <c r="Q202"/>
      <c r="R202"/>
      <c r="S202"/>
      <c r="T202"/>
      <c r="U202"/>
    </row>
    <row r="203" spans="1:21" hidden="1" x14ac:dyDescent="0.25">
      <c r="A203" s="56" t="s">
        <v>430</v>
      </c>
      <c r="B203" s="22"/>
      <c r="C203" s="73"/>
      <c r="D203" s="74"/>
      <c r="E203" s="74"/>
      <c r="F203" s="74"/>
      <c r="G203" s="74"/>
      <c r="H203" s="73"/>
      <c r="K203" s="74"/>
      <c r="L203" s="648"/>
      <c r="M203" s="649"/>
      <c r="N203" s="605"/>
      <c r="O203" s="650"/>
      <c r="P203" s="73"/>
      <c r="Q203" s="73"/>
      <c r="R203" s="73"/>
      <c r="S203" s="73"/>
      <c r="U203" s="74"/>
    </row>
    <row r="204" spans="1:21" hidden="1" x14ac:dyDescent="0.25">
      <c r="A204" s="22"/>
      <c r="B204" s="22"/>
      <c r="C204" s="73"/>
      <c r="D204" s="74"/>
      <c r="E204" s="74"/>
      <c r="F204" s="74"/>
      <c r="G204" s="74"/>
      <c r="H204" s="73"/>
      <c r="K204" s="74"/>
      <c r="L204" s="648"/>
      <c r="M204" s="649"/>
      <c r="N204" s="605"/>
      <c r="O204" s="650"/>
      <c r="P204" s="73"/>
      <c r="Q204" s="73"/>
      <c r="R204" s="73"/>
      <c r="S204" s="73"/>
      <c r="U204" s="74"/>
    </row>
    <row r="205" spans="1:21" hidden="1" x14ac:dyDescent="0.25">
      <c r="A205" s="22"/>
      <c r="B205" s="56" t="s">
        <v>433</v>
      </c>
      <c r="C205" s="73" t="e">
        <f>SUM(C179:C191)</f>
        <v>#REF!</v>
      </c>
      <c r="D205" s="73" t="e">
        <f>SUM(D179:D191)</f>
        <v>#REF!</v>
      </c>
      <c r="E205" s="73" t="e">
        <f>SUM(E179:E191)</f>
        <v>#REF!</v>
      </c>
      <c r="F205" s="73" t="e">
        <f>SUM(F179:F191)</f>
        <v>#REF!</v>
      </c>
      <c r="G205" s="73"/>
      <c r="H205" s="73" t="e">
        <f>SUM(H179:H191)</f>
        <v>#REF!</v>
      </c>
      <c r="I205" s="73" t="e">
        <f>SUM(I179:I191)</f>
        <v>#REF!</v>
      </c>
      <c r="J205" s="73" t="e">
        <f>SUM(J179:J191)</f>
        <v>#REF!</v>
      </c>
      <c r="K205" s="74"/>
      <c r="L205" s="648"/>
      <c r="M205" s="649"/>
      <c r="N205" s="605"/>
      <c r="O205" s="650"/>
      <c r="P205" s="73" t="e">
        <f t="shared" ref="P205:S205" si="127">SUM(P179:P191)</f>
        <v>#REF!</v>
      </c>
      <c r="Q205" s="73" t="e">
        <f t="shared" si="127"/>
        <v>#REF!</v>
      </c>
      <c r="R205" s="73" t="e">
        <f t="shared" si="127"/>
        <v>#REF!</v>
      </c>
      <c r="S205" s="73" t="e">
        <f t="shared" si="127"/>
        <v>#REF!</v>
      </c>
      <c r="U205" s="74"/>
    </row>
    <row r="206" spans="1:21" hidden="1" x14ac:dyDescent="0.25">
      <c r="A206" s="22"/>
      <c r="B206" s="330" t="s">
        <v>431</v>
      </c>
      <c r="C206" s="331" t="e">
        <f>+C205-C197</f>
        <v>#REF!</v>
      </c>
      <c r="D206" s="331" t="e">
        <f>+D205-D197</f>
        <v>#REF!</v>
      </c>
      <c r="E206" s="331" t="e">
        <f>+E205-E197</f>
        <v>#REF!</v>
      </c>
      <c r="F206" s="331" t="e">
        <f>+F205-F197</f>
        <v>#REF!</v>
      </c>
      <c r="G206" s="331"/>
      <c r="H206" s="331" t="e">
        <f>+H205-H197</f>
        <v>#REF!</v>
      </c>
      <c r="I206" s="331" t="e">
        <f>+I205-I197</f>
        <v>#REF!</v>
      </c>
      <c r="J206" s="331" t="e">
        <f>+J205-J197</f>
        <v>#REF!</v>
      </c>
      <c r="K206" s="332"/>
      <c r="L206" s="657"/>
      <c r="M206" s="658"/>
      <c r="N206" s="658"/>
      <c r="O206" s="657"/>
      <c r="P206" s="331" t="e">
        <f t="shared" ref="P206:S206" si="128">+P205-P197</f>
        <v>#REF!</v>
      </c>
      <c r="Q206" s="331" t="e">
        <f t="shared" si="128"/>
        <v>#REF!</v>
      </c>
      <c r="R206" s="331" t="e">
        <f t="shared" si="128"/>
        <v>#REF!</v>
      </c>
      <c r="S206" s="331" t="e">
        <f t="shared" si="128"/>
        <v>#REF!</v>
      </c>
      <c r="U206" s="74"/>
    </row>
    <row r="207" spans="1:21" hidden="1" x14ac:dyDescent="0.25">
      <c r="A207" s="22"/>
      <c r="B207" s="22"/>
      <c r="C207" s="73"/>
      <c r="D207" s="74"/>
      <c r="E207" s="74"/>
      <c r="F207" s="74"/>
      <c r="G207" s="74"/>
      <c r="H207" s="73"/>
      <c r="K207" s="74"/>
      <c r="L207" s="648"/>
      <c r="M207" s="649"/>
      <c r="N207" s="605"/>
      <c r="O207" s="650"/>
      <c r="P207" s="23"/>
      <c r="Q207" s="23"/>
      <c r="R207" s="23"/>
      <c r="S207" s="23"/>
      <c r="U207" s="74"/>
    </row>
    <row r="208" spans="1:21" hidden="1" x14ac:dyDescent="0.25">
      <c r="A208" s="22"/>
      <c r="B208" s="56" t="s">
        <v>427</v>
      </c>
      <c r="C208" s="73" t="e">
        <f>+C205-C182-C189</f>
        <v>#REF!</v>
      </c>
      <c r="D208" s="73" t="e">
        <f>+D205-D182-D189</f>
        <v>#REF!</v>
      </c>
      <c r="E208" s="73" t="e">
        <f>+E205-E182-E189</f>
        <v>#REF!</v>
      </c>
      <c r="F208" s="73" t="e">
        <f>+F205-F182-F189</f>
        <v>#REF!</v>
      </c>
      <c r="G208" s="73"/>
      <c r="H208" s="73" t="e">
        <f>+H205-H182-H189</f>
        <v>#REF!</v>
      </c>
      <c r="I208" s="73" t="e">
        <f>+I205-I182-I189</f>
        <v>#REF!</v>
      </c>
      <c r="J208" s="73" t="e">
        <f>+J205-J182-J189</f>
        <v>#REF!</v>
      </c>
      <c r="K208" s="74"/>
      <c r="L208" s="648"/>
      <c r="M208" s="649"/>
      <c r="N208" s="605"/>
      <c r="O208" s="650"/>
      <c r="P208" s="73" t="e">
        <f t="shared" ref="P208:S208" si="129">+P205-P182-P189</f>
        <v>#REF!</v>
      </c>
      <c r="Q208" s="73" t="e">
        <f t="shared" si="129"/>
        <v>#REF!</v>
      </c>
      <c r="R208" s="73" t="e">
        <f t="shared" si="129"/>
        <v>#REF!</v>
      </c>
      <c r="S208" s="73" t="e">
        <f t="shared" si="129"/>
        <v>#REF!</v>
      </c>
      <c r="U208" s="74"/>
    </row>
    <row r="209" spans="1:21" hidden="1" x14ac:dyDescent="0.25">
      <c r="A209" s="22"/>
      <c r="B209" s="330" t="s">
        <v>432</v>
      </c>
      <c r="C209" s="331" t="e">
        <f>+C208-C197</f>
        <v>#REF!</v>
      </c>
      <c r="D209" s="331" t="e">
        <f>+D208-D197</f>
        <v>#REF!</v>
      </c>
      <c r="E209" s="331" t="e">
        <f>+E208-E197</f>
        <v>#REF!</v>
      </c>
      <c r="F209" s="331" t="e">
        <f>+F208-F197</f>
        <v>#REF!</v>
      </c>
      <c r="G209" s="331"/>
      <c r="H209" s="331" t="e">
        <f>+H208-H197</f>
        <v>#REF!</v>
      </c>
      <c r="I209" s="331" t="e">
        <f>+I208-I197</f>
        <v>#REF!</v>
      </c>
      <c r="J209" s="331" t="e">
        <f>+J208-J197</f>
        <v>#REF!</v>
      </c>
      <c r="K209" s="332"/>
      <c r="L209" s="657"/>
      <c r="M209" s="658"/>
      <c r="N209" s="658"/>
      <c r="O209" s="657"/>
      <c r="P209" s="331" t="e">
        <f t="shared" ref="P209:S209" si="130">+P208-P197</f>
        <v>#REF!</v>
      </c>
      <c r="Q209" s="331" t="e">
        <f t="shared" si="130"/>
        <v>#REF!</v>
      </c>
      <c r="R209" s="331" t="e">
        <f t="shared" si="130"/>
        <v>#REF!</v>
      </c>
      <c r="S209" s="331" t="e">
        <f t="shared" si="130"/>
        <v>#REF!</v>
      </c>
      <c r="U209" s="74"/>
    </row>
    <row r="210" spans="1:21" hidden="1" x14ac:dyDescent="0.25">
      <c r="A210" s="22"/>
      <c r="B210" s="22"/>
      <c r="C210" s="73"/>
      <c r="D210" s="74"/>
      <c r="E210" s="74"/>
      <c r="F210" s="74"/>
      <c r="G210" s="74"/>
      <c r="H210" s="73"/>
      <c r="K210" s="74"/>
      <c r="L210" s="648"/>
      <c r="M210" s="649"/>
      <c r="N210" s="605"/>
      <c r="O210" s="650"/>
      <c r="P210" s="73"/>
      <c r="Q210" s="73"/>
      <c r="R210" s="73"/>
      <c r="S210" s="73"/>
      <c r="U210" s="74"/>
    </row>
    <row r="211" spans="1:21" hidden="1" x14ac:dyDescent="0.25">
      <c r="A211" s="22"/>
      <c r="B211" s="22"/>
      <c r="C211" s="73"/>
      <c r="D211" s="74"/>
      <c r="E211" s="74"/>
      <c r="F211" s="74"/>
      <c r="G211" s="74"/>
      <c r="H211" s="73"/>
      <c r="K211" s="74"/>
      <c r="L211" s="648"/>
      <c r="M211" s="649"/>
      <c r="N211" s="605"/>
      <c r="O211" s="650"/>
      <c r="P211" s="73"/>
      <c r="Q211" s="73"/>
      <c r="R211" s="73"/>
      <c r="S211" s="73"/>
      <c r="U211" s="74"/>
    </row>
    <row r="212" spans="1:21" hidden="1" x14ac:dyDescent="0.25">
      <c r="A212" s="56" t="s">
        <v>0</v>
      </c>
      <c r="B212" s="22"/>
      <c r="C212" s="73">
        <f>+C13</f>
        <v>81675000</v>
      </c>
      <c r="D212" s="74"/>
      <c r="E212" s="74"/>
      <c r="F212" s="74"/>
      <c r="G212" s="74"/>
      <c r="H212" s="73"/>
      <c r="K212" s="74"/>
      <c r="L212" s="648"/>
      <c r="M212" s="649"/>
      <c r="N212" s="605"/>
      <c r="O212" s="650"/>
      <c r="P212" s="73"/>
      <c r="Q212" s="73"/>
      <c r="R212" s="73"/>
      <c r="S212" s="73"/>
      <c r="U212" s="74"/>
    </row>
    <row r="213" spans="1:21" hidden="1" x14ac:dyDescent="0.25">
      <c r="B213" s="56" t="str">
        <f>+'4. Dr Gáspár HSZK'!A1</f>
        <v>Dr. Gáspár István HSZK</v>
      </c>
      <c r="C213" s="73">
        <f>+'4. Dr Gáspár HSZK'!C13</f>
        <v>28556000</v>
      </c>
      <c r="D213" s="73">
        <f>+'4. Dr Gáspár HSZK'!D13</f>
        <v>28556000</v>
      </c>
      <c r="E213" s="73">
        <f>+'4. Dr Gáspár HSZK'!E13</f>
        <v>28556000</v>
      </c>
      <c r="F213" s="73">
        <f>+'4. Dr Gáspár HSZK'!F13</f>
        <v>28781178</v>
      </c>
      <c r="G213" s="73"/>
      <c r="H213" s="73">
        <f>+'4. Dr Gáspár HSZK'!H13</f>
        <v>13630407</v>
      </c>
      <c r="I213" s="73">
        <f>+'4. Dr Gáspár HSZK'!I13</f>
        <v>20450561</v>
      </c>
      <c r="J213" s="73">
        <f>+'4. Dr Gáspár HSZK'!J13</f>
        <v>27147663</v>
      </c>
      <c r="K213" s="73"/>
      <c r="L213" s="650"/>
      <c r="M213" s="650"/>
      <c r="N213" s="650"/>
      <c r="O213" s="650"/>
      <c r="P213" s="73">
        <f>+'4. Dr Gáspár HSZK'!P13</f>
        <v>0</v>
      </c>
      <c r="Q213" s="73">
        <f>+'4. Dr Gáspár HSZK'!Q13</f>
        <v>0</v>
      </c>
      <c r="R213" s="73">
        <f>+'4. Dr Gáspár HSZK'!R13</f>
        <v>0</v>
      </c>
      <c r="S213" s="73">
        <f>+'4. Dr Gáspár HSZK'!S13</f>
        <v>0</v>
      </c>
      <c r="U213" s="74"/>
    </row>
    <row r="214" spans="1:21" hidden="1" x14ac:dyDescent="0.25">
      <c r="A214" s="22"/>
      <c r="B214" s="56" t="str">
        <f>+'5. Csicsergő'!A1</f>
        <v>SÜLYSÁPI CSICSERGŐ ÓVODA</v>
      </c>
      <c r="C214" s="73">
        <f>+'5. Csicsergő'!C13</f>
        <v>168109000</v>
      </c>
      <c r="D214" s="73">
        <f>+'5. Csicsergő'!D13</f>
        <v>168109000</v>
      </c>
      <c r="E214" s="73">
        <f>+'5. Csicsergő'!E13</f>
        <v>168109000</v>
      </c>
      <c r="F214" s="73">
        <f>+'5. Csicsergő'!F13</f>
        <v>167045578</v>
      </c>
      <c r="G214" s="73"/>
      <c r="H214" s="73">
        <f>+'5. Csicsergő'!H13</f>
        <v>82528474</v>
      </c>
      <c r="I214" s="73">
        <f>+'5. Csicsergő'!I13</f>
        <v>123008879</v>
      </c>
      <c r="J214" s="73">
        <f>+'5. Csicsergő'!J13</f>
        <v>166554870</v>
      </c>
      <c r="K214" s="73"/>
      <c r="L214" s="650"/>
      <c r="M214" s="650"/>
      <c r="N214" s="650"/>
      <c r="O214" s="650"/>
      <c r="P214" s="73">
        <f>+'5. Csicsergő'!P13</f>
        <v>0</v>
      </c>
      <c r="Q214" s="73">
        <f>+'5. Csicsergő'!Q13</f>
        <v>0</v>
      </c>
      <c r="R214" s="73">
        <f>+'5. Csicsergő'!R13</f>
        <v>0</v>
      </c>
      <c r="S214" s="73">
        <f>+'5. Csicsergő'!S13</f>
        <v>0</v>
      </c>
      <c r="U214" s="74"/>
    </row>
    <row r="215" spans="1:21" hidden="1" x14ac:dyDescent="0.25">
      <c r="A215" s="22"/>
      <c r="B215" s="22" t="str">
        <f>+'6. Gólyahír'!A1</f>
        <v>GÓLYAHÍR BÖLCSŐDE</v>
      </c>
      <c r="C215" s="73">
        <f>+'6. Gólyahír'!C13</f>
        <v>56821000</v>
      </c>
      <c r="D215" s="73">
        <f>+'6. Gólyahír'!D13</f>
        <v>56821000</v>
      </c>
      <c r="E215" s="73">
        <f>+'6. Gólyahír'!E13</f>
        <v>56821000</v>
      </c>
      <c r="F215" s="73">
        <f>+'6. Gólyahír'!F13</f>
        <v>56843947</v>
      </c>
      <c r="G215" s="73"/>
      <c r="H215" s="73">
        <f>+'6. Gólyahír'!H13</f>
        <v>27168410</v>
      </c>
      <c r="I215" s="73">
        <f>+'6. Gólyahír'!I13</f>
        <v>41413909</v>
      </c>
      <c r="J215" s="73">
        <f>+'6. Gólyahír'!J13</f>
        <v>56093306</v>
      </c>
      <c r="K215" s="73"/>
      <c r="L215" s="650"/>
      <c r="M215" s="650"/>
      <c r="N215" s="650"/>
      <c r="O215" s="650"/>
      <c r="P215" s="73">
        <f>+'6. Gólyahír'!P13</f>
        <v>0</v>
      </c>
      <c r="Q215" s="73">
        <f>+'6. Gólyahír'!Q13</f>
        <v>0</v>
      </c>
      <c r="R215" s="73">
        <f>+'6. Gólyahír'!R13</f>
        <v>0</v>
      </c>
      <c r="S215" s="73">
        <f>+'6. Gólyahír'!S13</f>
        <v>0</v>
      </c>
      <c r="U215" s="74"/>
    </row>
    <row r="216" spans="1:21" hidden="1" x14ac:dyDescent="0.25">
      <c r="A216" s="22"/>
      <c r="B216" s="73" t="str">
        <f>+'7. Polg.Hiv.'!A1</f>
        <v>SÜLYSÁPI POLGÁRMESTERI HIVATAL</v>
      </c>
      <c r="C216" s="73">
        <f>+'7. Polg.Hiv.'!C13</f>
        <v>122543000</v>
      </c>
      <c r="D216" s="73">
        <f>+'7. Polg.Hiv.'!D13</f>
        <v>123105635</v>
      </c>
      <c r="E216" s="73">
        <f>+'7. Polg.Hiv.'!E13</f>
        <v>123105635</v>
      </c>
      <c r="F216" s="73">
        <f>+'7. Polg.Hiv.'!F13</f>
        <v>123389945</v>
      </c>
      <c r="G216" s="73"/>
      <c r="H216" s="73">
        <f>+'7. Polg.Hiv.'!H13</f>
        <v>62184602</v>
      </c>
      <c r="I216" s="73">
        <f>+'7. Polg.Hiv.'!I13</f>
        <v>91683480</v>
      </c>
      <c r="J216" s="73">
        <f>+'7. Polg.Hiv.'!J13</f>
        <v>123111716</v>
      </c>
      <c r="K216" s="73"/>
      <c r="L216" s="650"/>
      <c r="M216" s="650"/>
      <c r="N216" s="650"/>
      <c r="O216" s="650"/>
      <c r="P216" s="73">
        <f>+'7. Polg.Hiv.'!P13</f>
        <v>562635</v>
      </c>
      <c r="Q216" s="73">
        <f>+'7. Polg.Hiv.'!Q13</f>
        <v>0</v>
      </c>
      <c r="R216" s="73">
        <f>+'7. Polg.Hiv.'!R13</f>
        <v>0</v>
      </c>
      <c r="S216" s="73">
        <f>+'7. Polg.Hiv.'!S13</f>
        <v>562635</v>
      </c>
      <c r="U216" s="74"/>
    </row>
    <row r="217" spans="1:21" hidden="1" x14ac:dyDescent="0.25">
      <c r="A217" s="22"/>
      <c r="B217" s="73" t="str">
        <f>+'8. WAMKK'!A1</f>
        <v>Wass Albert Művelődési Központ és Könyvtár</v>
      </c>
      <c r="C217" s="73">
        <f>+'8. WAMKK'!C13</f>
        <v>17395000</v>
      </c>
      <c r="D217" s="73">
        <f>+'8. WAMKK'!D13</f>
        <v>17395000</v>
      </c>
      <c r="E217" s="73">
        <f>+'8. WAMKK'!E13</f>
        <v>17463610</v>
      </c>
      <c r="F217" s="73">
        <f>+'8. WAMKK'!F13</f>
        <v>17463610</v>
      </c>
      <c r="G217" s="73"/>
      <c r="H217" s="73">
        <f>+'8. WAMKK'!H13</f>
        <v>8277795</v>
      </c>
      <c r="I217" s="73">
        <f>+'8. WAMKK'!I13</f>
        <v>12661664</v>
      </c>
      <c r="J217" s="73">
        <f>+'8. WAMKK'!J13</f>
        <v>16890474</v>
      </c>
      <c r="K217" s="73"/>
      <c r="L217" s="650"/>
      <c r="M217" s="650"/>
      <c r="N217" s="650"/>
      <c r="O217" s="650"/>
      <c r="P217" s="73">
        <f>+'8. WAMKK'!P13</f>
        <v>0</v>
      </c>
      <c r="Q217" s="73">
        <f>+'8. WAMKK'!Q13</f>
        <v>68610</v>
      </c>
      <c r="R217" s="73">
        <f>+'8. WAMKK'!R13</f>
        <v>0</v>
      </c>
      <c r="S217" s="73">
        <f>+'8. WAMKK'!S13</f>
        <v>68610</v>
      </c>
      <c r="U217" s="74"/>
    </row>
    <row r="218" spans="1:21" hidden="1" x14ac:dyDescent="0.25">
      <c r="A218" s="22"/>
      <c r="B218" s="73" t="str">
        <f>+'9. Közp. Konyha'!A1</f>
        <v>Központi Konyha</v>
      </c>
      <c r="C218" s="73">
        <f>+'9. Közp. Konyha'!C13</f>
        <v>34785000</v>
      </c>
      <c r="D218" s="73">
        <f>+'9. Közp. Konyha'!D13</f>
        <v>34785000</v>
      </c>
      <c r="E218" s="73">
        <f>+'9. Közp. Konyha'!E13</f>
        <v>34785000</v>
      </c>
      <c r="F218" s="73">
        <f>+'9. Közp. Konyha'!F13</f>
        <v>34785000</v>
      </c>
      <c r="G218" s="73"/>
      <c r="H218" s="73">
        <f>+'9. Közp. Konyha'!H13</f>
        <v>16464344</v>
      </c>
      <c r="I218" s="73">
        <f>+'9. Közp. Konyha'!I13</f>
        <v>24365512</v>
      </c>
      <c r="J218" s="73">
        <f>+'9. Közp. Konyha'!J13</f>
        <v>33610905</v>
      </c>
      <c r="K218" s="73"/>
      <c r="L218" s="650"/>
      <c r="M218" s="650"/>
      <c r="N218" s="650"/>
      <c r="O218" s="650"/>
      <c r="P218" s="73">
        <f>+'9. Közp. Konyha'!P13</f>
        <v>0</v>
      </c>
      <c r="Q218" s="73">
        <f>+'9. Közp. Konyha'!Q13</f>
        <v>0</v>
      </c>
      <c r="R218" s="73">
        <f>+'9. Közp. Konyha'!R13</f>
        <v>0</v>
      </c>
      <c r="S218" s="73">
        <f>+'9. Közp. Konyha'!S13</f>
        <v>0</v>
      </c>
      <c r="U218" s="74"/>
    </row>
    <row r="219" spans="1:21" hidden="1" x14ac:dyDescent="0.25">
      <c r="A219" s="22"/>
      <c r="B219" s="338" t="s">
        <v>436</v>
      </c>
      <c r="C219" s="339">
        <f>SUM(C213:C218)</f>
        <v>428209000</v>
      </c>
      <c r="D219" s="339">
        <f>SUM(D213:D218)</f>
        <v>428771635</v>
      </c>
      <c r="E219" s="339">
        <f>SUM(E213:E218)</f>
        <v>428840245</v>
      </c>
      <c r="F219" s="339">
        <f>SUM(F213:F218)</f>
        <v>428309258</v>
      </c>
      <c r="G219" s="339"/>
      <c r="H219" s="339">
        <f>SUM(H213:H218)</f>
        <v>210254032</v>
      </c>
      <c r="I219" s="339">
        <f>SUM(I213:I218)</f>
        <v>313584005</v>
      </c>
      <c r="J219" s="339">
        <f>SUM(J213:J218)</f>
        <v>423408934</v>
      </c>
      <c r="K219" s="339"/>
      <c r="L219" s="659"/>
      <c r="M219" s="659"/>
      <c r="N219" s="659"/>
      <c r="O219" s="659"/>
      <c r="P219" s="339">
        <f>SUM(P213:P218)</f>
        <v>562635</v>
      </c>
      <c r="Q219" s="339">
        <f>SUM(Q213:Q218)</f>
        <v>68610</v>
      </c>
      <c r="R219" s="339">
        <f>SUM(R213:R218)</f>
        <v>0</v>
      </c>
      <c r="S219" s="340">
        <f>SUM(S213:S218)</f>
        <v>631245</v>
      </c>
      <c r="U219" s="74"/>
    </row>
    <row r="220" spans="1:21" hidden="1" x14ac:dyDescent="0.25">
      <c r="A220" s="22"/>
      <c r="B220" s="22"/>
      <c r="C220" s="73"/>
      <c r="D220" s="74"/>
      <c r="E220" s="74"/>
      <c r="F220" s="74"/>
      <c r="G220" s="74"/>
      <c r="H220" s="73"/>
      <c r="K220" s="74"/>
      <c r="L220" s="648"/>
      <c r="M220" s="649"/>
      <c r="N220" s="605"/>
      <c r="O220" s="650"/>
      <c r="P220" s="73"/>
      <c r="Q220" s="73"/>
      <c r="R220" s="73"/>
      <c r="S220" s="73"/>
      <c r="U220" s="74"/>
    </row>
    <row r="221" spans="1:21" hidden="1" x14ac:dyDescent="0.25">
      <c r="A221" s="56" t="s">
        <v>24</v>
      </c>
      <c r="B221" s="56" t="str">
        <f>+B213</f>
        <v>Dr. Gáspár István HSZK</v>
      </c>
      <c r="C221" s="73">
        <f>+'4. Dr Gáspár HSZK'!C29</f>
        <v>4600000</v>
      </c>
      <c r="D221" s="73">
        <f>+'4. Dr Gáspár HSZK'!D29</f>
        <v>4600000</v>
      </c>
      <c r="E221" s="73">
        <f>+'4. Dr Gáspár HSZK'!E29</f>
        <v>4600000</v>
      </c>
      <c r="F221" s="73">
        <f>+'4. Dr Gáspár HSZK'!F29</f>
        <v>4374822</v>
      </c>
      <c r="G221" s="73"/>
      <c r="H221" s="73">
        <f>+'4. Dr Gáspár HSZK'!H29</f>
        <v>2287014</v>
      </c>
      <c r="I221" s="73">
        <f>+'4. Dr Gáspár HSZK'!I29</f>
        <v>3341309</v>
      </c>
      <c r="J221" s="73">
        <f>+'4. Dr Gáspár HSZK'!J29</f>
        <v>4374822</v>
      </c>
      <c r="K221" s="73"/>
      <c r="L221" s="650"/>
      <c r="M221" s="650"/>
      <c r="N221" s="650"/>
      <c r="O221" s="650"/>
      <c r="P221" s="73">
        <f>+'4. Dr Gáspár HSZK'!P29</f>
        <v>0</v>
      </c>
      <c r="Q221" s="73">
        <f>+'4. Dr Gáspár HSZK'!Q29</f>
        <v>0</v>
      </c>
      <c r="R221" s="73">
        <f>+'4. Dr Gáspár HSZK'!R29</f>
        <v>0</v>
      </c>
      <c r="S221" s="73">
        <f>+'4. Dr Gáspár HSZK'!S29</f>
        <v>0</v>
      </c>
      <c r="U221" s="74"/>
    </row>
    <row r="222" spans="1:21" hidden="1" x14ac:dyDescent="0.25">
      <c r="A222" s="22"/>
      <c r="B222" s="56" t="str">
        <f t="shared" ref="B222:B226" si="131">+B214</f>
        <v>SÜLYSÁPI CSICSERGŐ ÓVODA</v>
      </c>
      <c r="C222" s="73">
        <f>+'5. Csicsergő'!C30</f>
        <v>26000000</v>
      </c>
      <c r="D222" s="73">
        <f>+'5. Csicsergő'!D30</f>
        <v>26000000</v>
      </c>
      <c r="E222" s="73">
        <f>+'5. Csicsergő'!E30</f>
        <v>26000000</v>
      </c>
      <c r="F222" s="73">
        <f>+'5. Csicsergő'!F30</f>
        <v>27063422</v>
      </c>
      <c r="G222" s="73"/>
      <c r="H222" s="73">
        <f>+'5. Csicsergő'!H30</f>
        <v>13641320</v>
      </c>
      <c r="I222" s="73">
        <f>+'5. Csicsergő'!I30</f>
        <v>20284766</v>
      </c>
      <c r="J222" s="73">
        <f>+'5. Csicsergő'!J30</f>
        <v>27063422</v>
      </c>
      <c r="K222" s="73"/>
      <c r="L222" s="650"/>
      <c r="M222" s="650"/>
      <c r="N222" s="650"/>
      <c r="O222" s="650"/>
      <c r="P222" s="73">
        <f>+'5. Csicsergő'!P30</f>
        <v>0</v>
      </c>
      <c r="Q222" s="73">
        <f>+'5. Csicsergő'!Q30</f>
        <v>0</v>
      </c>
      <c r="R222" s="73">
        <f>+'5. Csicsergő'!R30</f>
        <v>0</v>
      </c>
      <c r="S222" s="73">
        <f>+'5. Csicsergő'!S30</f>
        <v>0</v>
      </c>
      <c r="U222" s="74"/>
    </row>
    <row r="223" spans="1:21" hidden="1" x14ac:dyDescent="0.25">
      <c r="A223" s="22"/>
      <c r="B223" s="56" t="str">
        <f t="shared" si="131"/>
        <v>GÓLYAHÍR BÖLCSŐDE</v>
      </c>
      <c r="C223" s="73">
        <f>+'6. Gólyahír'!C29</f>
        <v>8800000</v>
      </c>
      <c r="D223" s="73">
        <f>+'6. Gólyahír'!D29</f>
        <v>8800000</v>
      </c>
      <c r="E223" s="73">
        <f>+'6. Gólyahír'!E29</f>
        <v>8800000</v>
      </c>
      <c r="F223" s="73">
        <f>+'6. Gólyahír'!F29</f>
        <v>8828148</v>
      </c>
      <c r="G223" s="73"/>
      <c r="H223" s="73">
        <f>+'6. Gólyahír'!H29</f>
        <v>4415490</v>
      </c>
      <c r="I223" s="73">
        <f>+'6. Gólyahír'!I29</f>
        <v>6672747</v>
      </c>
      <c r="J223" s="73">
        <f>+'6. Gólyahír'!J29</f>
        <v>8828148</v>
      </c>
      <c r="K223" s="73"/>
      <c r="L223" s="650"/>
      <c r="M223" s="650"/>
      <c r="N223" s="650"/>
      <c r="O223" s="650"/>
      <c r="P223" s="73">
        <f>+'6. Gólyahír'!P29</f>
        <v>0</v>
      </c>
      <c r="Q223" s="73">
        <f>+'6. Gólyahír'!Q29</f>
        <v>0</v>
      </c>
      <c r="R223" s="73">
        <f>+'6. Gólyahír'!R29</f>
        <v>0</v>
      </c>
      <c r="S223" s="73">
        <f>+'6. Gólyahír'!S29</f>
        <v>0</v>
      </c>
      <c r="U223" s="74"/>
    </row>
    <row r="224" spans="1:21" hidden="1" x14ac:dyDescent="0.25">
      <c r="A224" s="22"/>
      <c r="B224" s="56" t="str">
        <f t="shared" si="131"/>
        <v>SÜLYSÁPI POLGÁRMESTERI HIVATAL</v>
      </c>
      <c r="C224" s="73">
        <f>+'7. Polg.Hiv.'!C29</f>
        <v>19000000</v>
      </c>
      <c r="D224" s="73">
        <f>+'7. Polg.Hiv.'!D29</f>
        <v>19000000</v>
      </c>
      <c r="E224" s="73">
        <f>+'7. Polg.Hiv.'!E29</f>
        <v>19000000</v>
      </c>
      <c r="F224" s="73">
        <f>+'7. Polg.Hiv.'!F29</f>
        <v>18835690</v>
      </c>
      <c r="G224" s="73"/>
      <c r="H224" s="73">
        <f>+'7. Polg.Hiv.'!H29</f>
        <v>10041548</v>
      </c>
      <c r="I224" s="73">
        <f>+'7. Polg.Hiv.'!I29</f>
        <v>14630193</v>
      </c>
      <c r="J224" s="73">
        <f>+'7. Polg.Hiv.'!J29</f>
        <v>18835690</v>
      </c>
      <c r="K224" s="73"/>
      <c r="L224" s="650"/>
      <c r="M224" s="650"/>
      <c r="N224" s="650"/>
      <c r="O224" s="650"/>
      <c r="P224" s="73">
        <f>+'7. Polg.Hiv.'!P29</f>
        <v>0</v>
      </c>
      <c r="Q224" s="73">
        <f>+'7. Polg.Hiv.'!Q29</f>
        <v>0</v>
      </c>
      <c r="R224" s="73">
        <f>+'7. Polg.Hiv.'!R29</f>
        <v>0</v>
      </c>
      <c r="S224" s="73">
        <f>+'7. Polg.Hiv.'!S29</f>
        <v>0</v>
      </c>
      <c r="U224" s="74"/>
    </row>
    <row r="225" spans="1:21" hidden="1" x14ac:dyDescent="0.25">
      <c r="A225" s="22"/>
      <c r="B225" s="56" t="str">
        <f t="shared" si="131"/>
        <v>Wass Albert Művelődési Központ és Könyvtár</v>
      </c>
      <c r="C225" s="73">
        <f>+'8. WAMKK'!C29</f>
        <v>2700000</v>
      </c>
      <c r="D225" s="73">
        <f>+'8. WAMKK'!D29</f>
        <v>2700000</v>
      </c>
      <c r="E225" s="73">
        <f>+'8. WAMKK'!E29</f>
        <v>2700000</v>
      </c>
      <c r="F225" s="73">
        <f>+'8. WAMKK'!F29</f>
        <v>2700000</v>
      </c>
      <c r="G225" s="73"/>
      <c r="H225" s="73">
        <f>+'8. WAMKK'!H29</f>
        <v>1337882</v>
      </c>
      <c r="I225" s="73">
        <f>+'8. WAMKK'!I29</f>
        <v>2009235</v>
      </c>
      <c r="J225" s="73">
        <f>+'8. WAMKK'!J29</f>
        <v>2619895</v>
      </c>
      <c r="K225" s="73"/>
      <c r="L225" s="650"/>
      <c r="M225" s="650"/>
      <c r="N225" s="650"/>
      <c r="O225" s="650"/>
      <c r="P225" s="73">
        <f>+'8. WAMKK'!P29</f>
        <v>0</v>
      </c>
      <c r="Q225" s="73">
        <f>+'8. WAMKK'!Q29</f>
        <v>0</v>
      </c>
      <c r="R225" s="73">
        <f>+'8. WAMKK'!R29</f>
        <v>0</v>
      </c>
      <c r="S225" s="73">
        <f>+'8. WAMKK'!S29</f>
        <v>0</v>
      </c>
      <c r="U225" s="74"/>
    </row>
    <row r="226" spans="1:21" hidden="1" x14ac:dyDescent="0.25">
      <c r="A226" s="22"/>
      <c r="B226" s="56" t="str">
        <f t="shared" si="131"/>
        <v>Központi Konyha</v>
      </c>
      <c r="C226" s="73">
        <f>+'9. Közp. Konyha'!C29</f>
        <v>5400000</v>
      </c>
      <c r="D226" s="73">
        <f>+'9. Közp. Konyha'!D29</f>
        <v>5400000</v>
      </c>
      <c r="E226" s="73">
        <f>+'9. Közp. Konyha'!E29</f>
        <v>5400000</v>
      </c>
      <c r="F226" s="73">
        <f>+'9. Közp. Konyha'!F29</f>
        <v>5400000</v>
      </c>
      <c r="G226" s="73"/>
      <c r="H226" s="73">
        <f>+'9. Közp. Konyha'!H29</f>
        <v>1767179</v>
      </c>
      <c r="I226" s="73">
        <f>+'9. Közp. Konyha'!I29</f>
        <v>2950411</v>
      </c>
      <c r="J226" s="73">
        <f>+'9. Közp. Konyha'!J29</f>
        <v>4207727</v>
      </c>
      <c r="K226" s="73"/>
      <c r="L226" s="650"/>
      <c r="M226" s="650"/>
      <c r="N226" s="650"/>
      <c r="O226" s="650"/>
      <c r="P226" s="73">
        <f>+'9. Közp. Konyha'!P29</f>
        <v>0</v>
      </c>
      <c r="Q226" s="73">
        <f>+'9. Közp. Konyha'!Q29</f>
        <v>0</v>
      </c>
      <c r="R226" s="73">
        <f>+'9. Közp. Konyha'!R29</f>
        <v>0</v>
      </c>
      <c r="S226" s="73">
        <f>+'9. Közp. Konyha'!S29</f>
        <v>0</v>
      </c>
      <c r="U226" s="74"/>
    </row>
    <row r="227" spans="1:21" hidden="1" x14ac:dyDescent="0.25">
      <c r="A227" s="22"/>
      <c r="B227" s="338" t="s">
        <v>436</v>
      </c>
      <c r="C227" s="339">
        <f>SUM(C221:C226)</f>
        <v>66500000</v>
      </c>
      <c r="D227" s="339">
        <f>SUM(D221:D226)</f>
        <v>66500000</v>
      </c>
      <c r="E227" s="339">
        <f>SUM(E221:E226)</f>
        <v>66500000</v>
      </c>
      <c r="F227" s="339">
        <f>SUM(F221:F226)</f>
        <v>67202082</v>
      </c>
      <c r="G227" s="339"/>
      <c r="H227" s="339">
        <f>SUM(H221:H226)</f>
        <v>33490433</v>
      </c>
      <c r="I227" s="339">
        <f>SUM(I221:I226)</f>
        <v>49888661</v>
      </c>
      <c r="J227" s="339">
        <f>SUM(J221:J226)</f>
        <v>65929704</v>
      </c>
      <c r="K227" s="339"/>
      <c r="L227" s="659"/>
      <c r="M227" s="659"/>
      <c r="N227" s="659"/>
      <c r="O227" s="659"/>
      <c r="P227" s="339">
        <f>SUM(P221:P226)</f>
        <v>0</v>
      </c>
      <c r="Q227" s="339">
        <f>SUM(Q221:Q226)</f>
        <v>0</v>
      </c>
      <c r="R227" s="339">
        <f>SUM(R221:R226)</f>
        <v>0</v>
      </c>
      <c r="S227" s="340">
        <f>SUM(S221:S226)</f>
        <v>0</v>
      </c>
      <c r="U227" s="74"/>
    </row>
    <row r="228" spans="1:21" hidden="1" x14ac:dyDescent="0.25">
      <c r="A228" s="22"/>
      <c r="B228" s="22"/>
      <c r="C228" s="73"/>
      <c r="D228" s="74"/>
      <c r="E228" s="74"/>
      <c r="F228" s="74"/>
      <c r="G228" s="74"/>
      <c r="H228" s="73"/>
      <c r="K228" s="74"/>
      <c r="L228" s="648"/>
      <c r="M228" s="649"/>
      <c r="N228" s="605"/>
      <c r="O228" s="650"/>
      <c r="P228" s="73"/>
      <c r="Q228" s="73"/>
      <c r="R228" s="73"/>
      <c r="S228" s="73"/>
      <c r="U228" s="74"/>
    </row>
    <row r="229" spans="1:21" hidden="1" x14ac:dyDescent="0.25">
      <c r="A229" s="56" t="s">
        <v>27</v>
      </c>
      <c r="B229" s="56" t="str">
        <f>+B221</f>
        <v>Dr. Gáspár István HSZK</v>
      </c>
      <c r="C229" s="73">
        <f>+'4. Dr Gáspár HSZK'!C32</f>
        <v>11570000</v>
      </c>
      <c r="D229" s="73">
        <f>+'4. Dr Gáspár HSZK'!D32</f>
        <v>11570000</v>
      </c>
      <c r="E229" s="73">
        <f>+'4. Dr Gáspár HSZK'!E32</f>
        <v>11570000</v>
      </c>
      <c r="F229" s="73">
        <f>+'4. Dr Gáspár HSZK'!F32</f>
        <v>11541054</v>
      </c>
      <c r="G229" s="73"/>
      <c r="H229" s="73">
        <f>+'4. Dr Gáspár HSZK'!H32</f>
        <v>5248399</v>
      </c>
      <c r="I229" s="73">
        <f>+'4. Dr Gáspár HSZK'!I32</f>
        <v>7719977</v>
      </c>
      <c r="J229" s="73">
        <f>+'4. Dr Gáspár HSZK'!J32</f>
        <v>10670176</v>
      </c>
      <c r="K229" s="73"/>
      <c r="L229" s="650"/>
      <c r="M229" s="650"/>
      <c r="N229" s="650"/>
      <c r="O229" s="650"/>
      <c r="P229" s="73">
        <f>+'4. Dr Gáspár HSZK'!P32</f>
        <v>0</v>
      </c>
      <c r="Q229" s="73">
        <f>+'4. Dr Gáspár HSZK'!Q32</f>
        <v>0</v>
      </c>
      <c r="R229" s="73">
        <f>+'4. Dr Gáspár HSZK'!R32</f>
        <v>0</v>
      </c>
      <c r="S229" s="73">
        <f>+'4. Dr Gáspár HSZK'!S32</f>
        <v>0</v>
      </c>
      <c r="U229" s="74"/>
    </row>
    <row r="230" spans="1:21" hidden="1" x14ac:dyDescent="0.25">
      <c r="A230" s="22"/>
      <c r="B230" s="56" t="str">
        <f t="shared" ref="B230:B234" si="132">+B222</f>
        <v>SÜLYSÁPI CSICSERGŐ ÓVODA</v>
      </c>
      <c r="C230" s="73">
        <f>+'5. Csicsergő'!C33</f>
        <v>13425000</v>
      </c>
      <c r="D230" s="73">
        <f>+'5. Csicsergő'!D33</f>
        <v>13425000</v>
      </c>
      <c r="E230" s="73">
        <f>+'5. Csicsergő'!E33</f>
        <v>12769557</v>
      </c>
      <c r="F230" s="73">
        <f>+'5. Csicsergő'!F33</f>
        <v>12702667</v>
      </c>
      <c r="G230" s="73"/>
      <c r="H230" s="73">
        <f>+'5. Csicsergő'!H33</f>
        <v>5334888</v>
      </c>
      <c r="I230" s="73">
        <f>+'5. Csicsergő'!I33</f>
        <v>7770882</v>
      </c>
      <c r="J230" s="73">
        <f>+'5. Csicsergő'!J33</f>
        <v>10660790</v>
      </c>
      <c r="K230" s="73"/>
      <c r="L230" s="650"/>
      <c r="M230" s="650"/>
      <c r="N230" s="650"/>
      <c r="O230" s="650"/>
      <c r="P230" s="73">
        <f>+'5. Csicsergő'!P33</f>
        <v>0</v>
      </c>
      <c r="Q230" s="73">
        <f>+'5. Csicsergő'!Q33</f>
        <v>-655443</v>
      </c>
      <c r="R230" s="73">
        <f>+'5. Csicsergő'!R33</f>
        <v>0</v>
      </c>
      <c r="S230" s="73">
        <f>+'5. Csicsergő'!S33</f>
        <v>-655443</v>
      </c>
      <c r="U230" s="74"/>
    </row>
    <row r="231" spans="1:21" hidden="1" x14ac:dyDescent="0.25">
      <c r="A231" s="22"/>
      <c r="B231" s="56" t="str">
        <f t="shared" si="132"/>
        <v>GÓLYAHÍR BÖLCSŐDE</v>
      </c>
      <c r="C231" s="73">
        <f>+'6. Gólyahír'!C32</f>
        <v>12202000</v>
      </c>
      <c r="D231" s="73">
        <f>+'6. Gólyahír'!D32</f>
        <v>12202000</v>
      </c>
      <c r="E231" s="73">
        <f>+'6. Gólyahír'!E32</f>
        <v>12202000</v>
      </c>
      <c r="F231" s="73">
        <f>+'6. Gólyahír'!F32</f>
        <v>11724665</v>
      </c>
      <c r="G231" s="73"/>
      <c r="H231" s="73">
        <f>+'6. Gólyahír'!H32</f>
        <v>5037335</v>
      </c>
      <c r="I231" s="73">
        <f>+'6. Gólyahír'!I32</f>
        <v>7077854</v>
      </c>
      <c r="J231" s="73">
        <f>+'6. Gólyahír'!J32</f>
        <v>10708948</v>
      </c>
      <c r="K231" s="73"/>
      <c r="L231" s="650"/>
      <c r="M231" s="650"/>
      <c r="N231" s="650"/>
      <c r="O231" s="650"/>
      <c r="P231" s="73">
        <f>+'6. Gólyahír'!P32</f>
        <v>0</v>
      </c>
      <c r="Q231" s="73">
        <f>+'6. Gólyahír'!Q32</f>
        <v>0</v>
      </c>
      <c r="R231" s="73">
        <f>+'6. Gólyahír'!R32</f>
        <v>0</v>
      </c>
      <c r="S231" s="73">
        <f>+'6. Gólyahír'!S32</f>
        <v>0</v>
      </c>
      <c r="U231" s="74"/>
    </row>
    <row r="232" spans="1:21" hidden="1" x14ac:dyDescent="0.25">
      <c r="A232" s="22"/>
      <c r="B232" s="56" t="str">
        <f t="shared" si="132"/>
        <v>SÜLYSÁPI POLGÁRMESTERI HIVATAL</v>
      </c>
      <c r="C232" s="73">
        <f>+'7. Polg.Hiv.'!C32</f>
        <v>10790000</v>
      </c>
      <c r="D232" s="73">
        <f>+'7. Polg.Hiv.'!D32</f>
        <v>10227365</v>
      </c>
      <c r="E232" s="73">
        <f>+'7. Polg.Hiv.'!E32</f>
        <v>10227365</v>
      </c>
      <c r="F232" s="73">
        <f>+'7. Polg.Hiv.'!F32</f>
        <v>10107365</v>
      </c>
      <c r="G232" s="73"/>
      <c r="H232" s="73">
        <f>+'7. Polg.Hiv.'!H32</f>
        <v>4228180</v>
      </c>
      <c r="I232" s="73">
        <f>+'7. Polg.Hiv.'!I32</f>
        <v>6569990</v>
      </c>
      <c r="J232" s="73">
        <f>+'7. Polg.Hiv.'!J32</f>
        <v>9160416</v>
      </c>
      <c r="K232" s="73"/>
      <c r="L232" s="650"/>
      <c r="M232" s="650"/>
      <c r="N232" s="650"/>
      <c r="O232" s="650"/>
      <c r="P232" s="73">
        <f>+'7. Polg.Hiv.'!P32</f>
        <v>-562635</v>
      </c>
      <c r="Q232" s="73">
        <f>+'7. Polg.Hiv.'!Q32</f>
        <v>0</v>
      </c>
      <c r="R232" s="73">
        <f>+'7. Polg.Hiv.'!R32</f>
        <v>0</v>
      </c>
      <c r="S232" s="73">
        <f>+'7. Polg.Hiv.'!S32</f>
        <v>-562635</v>
      </c>
      <c r="U232" s="74"/>
    </row>
    <row r="233" spans="1:21" hidden="1" x14ac:dyDescent="0.25">
      <c r="A233" s="22"/>
      <c r="B233" s="56" t="str">
        <f t="shared" si="132"/>
        <v>Wass Albert Művelődési Központ és Könyvtár</v>
      </c>
      <c r="C233" s="73">
        <f>+'8. WAMKK'!C32</f>
        <v>10128000</v>
      </c>
      <c r="D233" s="73">
        <f>+'8. WAMKK'!D32</f>
        <v>10128000</v>
      </c>
      <c r="E233" s="73">
        <f>+'8. WAMKK'!E32</f>
        <v>10830890</v>
      </c>
      <c r="F233" s="73">
        <f>+'8. WAMKK'!F32</f>
        <v>15093404</v>
      </c>
      <c r="G233" s="73"/>
      <c r="H233" s="73">
        <f>+'8. WAMKK'!H32</f>
        <v>2483295</v>
      </c>
      <c r="I233" s="73">
        <f>+'8. WAMKK'!I32</f>
        <v>7341303</v>
      </c>
      <c r="J233" s="73">
        <f>+'8. WAMKK'!J32</f>
        <v>13943046</v>
      </c>
      <c r="K233" s="73"/>
      <c r="L233" s="650"/>
      <c r="M233" s="650"/>
      <c r="N233" s="650"/>
      <c r="O233" s="650"/>
      <c r="P233" s="73">
        <f>+'8. WAMKK'!P32</f>
        <v>0</v>
      </c>
      <c r="Q233" s="73">
        <f>+'8. WAMKK'!Q32</f>
        <v>702890</v>
      </c>
      <c r="R233" s="73">
        <f>+'8. WAMKK'!R32</f>
        <v>0</v>
      </c>
      <c r="S233" s="73">
        <f>+'8. WAMKK'!S32</f>
        <v>702890</v>
      </c>
      <c r="U233" s="74"/>
    </row>
    <row r="234" spans="1:21" hidden="1" x14ac:dyDescent="0.25">
      <c r="A234" s="22"/>
      <c r="B234" s="56" t="str">
        <f t="shared" si="132"/>
        <v>Központi Konyha</v>
      </c>
      <c r="C234" s="73">
        <f>+'9. Közp. Konyha'!C32</f>
        <v>74036000</v>
      </c>
      <c r="D234" s="73">
        <f>+'9. Közp. Konyha'!D32</f>
        <v>74036000</v>
      </c>
      <c r="E234" s="73">
        <f>+'9. Közp. Konyha'!E32</f>
        <v>74036000</v>
      </c>
      <c r="F234" s="73">
        <f>+'9. Közp. Konyha'!F32</f>
        <v>74036000</v>
      </c>
      <c r="G234" s="73"/>
      <c r="H234" s="73">
        <f>+'9. Közp. Konyha'!H32</f>
        <v>31375000</v>
      </c>
      <c r="I234" s="73">
        <f>+'9. Közp. Konyha'!I32</f>
        <v>42629381</v>
      </c>
      <c r="J234" s="73">
        <f>+'9. Közp. Konyha'!J32</f>
        <v>62605446</v>
      </c>
      <c r="K234" s="73"/>
      <c r="L234" s="650"/>
      <c r="M234" s="650"/>
      <c r="N234" s="650"/>
      <c r="O234" s="650"/>
      <c r="P234" s="73">
        <f>+'9. Közp. Konyha'!P32</f>
        <v>0</v>
      </c>
      <c r="Q234" s="73">
        <f>+'9. Közp. Konyha'!Q32</f>
        <v>0</v>
      </c>
      <c r="R234" s="73">
        <f>+'9. Közp. Konyha'!R32</f>
        <v>0</v>
      </c>
      <c r="S234" s="73">
        <f>+'9. Közp. Konyha'!S32</f>
        <v>0</v>
      </c>
      <c r="U234" s="74"/>
    </row>
    <row r="235" spans="1:21" hidden="1" x14ac:dyDescent="0.25">
      <c r="A235" s="22"/>
      <c r="B235" s="338" t="s">
        <v>436</v>
      </c>
      <c r="C235" s="339">
        <f>SUM(C229:C234)</f>
        <v>132151000</v>
      </c>
      <c r="D235" s="339">
        <f>SUM(D229:D234)</f>
        <v>131588365</v>
      </c>
      <c r="E235" s="339">
        <f>SUM(E229:E234)</f>
        <v>131635812</v>
      </c>
      <c r="F235" s="339">
        <f>SUM(F229:F234)</f>
        <v>135205155</v>
      </c>
      <c r="G235" s="339"/>
      <c r="H235" s="339">
        <f>SUM(H229:H234)</f>
        <v>53707097</v>
      </c>
      <c r="I235" s="339">
        <f>SUM(I229:I234)</f>
        <v>79109387</v>
      </c>
      <c r="J235" s="339">
        <f>SUM(J229:J234)</f>
        <v>117748822</v>
      </c>
      <c r="K235" s="339"/>
      <c r="L235" s="659"/>
      <c r="M235" s="659"/>
      <c r="N235" s="659"/>
      <c r="O235" s="659"/>
      <c r="P235" s="339">
        <f>SUM(P229:P234)</f>
        <v>-562635</v>
      </c>
      <c r="Q235" s="339">
        <f>SUM(Q229:Q234)</f>
        <v>47447</v>
      </c>
      <c r="R235" s="339">
        <f>SUM(R229:R234)</f>
        <v>0</v>
      </c>
      <c r="S235" s="340">
        <f>SUM(S229:S234)</f>
        <v>-515188</v>
      </c>
      <c r="U235" s="74"/>
    </row>
    <row r="236" spans="1:21" hidden="1" x14ac:dyDescent="0.25">
      <c r="A236" s="22"/>
      <c r="B236" s="22"/>
      <c r="C236" s="73"/>
      <c r="D236" s="74"/>
      <c r="E236" s="74"/>
      <c r="F236" s="74"/>
      <c r="G236" s="74"/>
      <c r="H236" s="73"/>
      <c r="K236" s="74"/>
      <c r="L236" s="648"/>
      <c r="M236" s="649"/>
      <c r="N236" s="605"/>
      <c r="O236" s="650"/>
      <c r="P236" s="73"/>
      <c r="Q236" s="73"/>
      <c r="R236" s="73"/>
      <c r="S236" s="73"/>
      <c r="U236" s="74"/>
    </row>
    <row r="237" spans="1:21" hidden="1" x14ac:dyDescent="0.25">
      <c r="A237" s="22"/>
      <c r="B237" s="22"/>
      <c r="C237" s="73">
        <f>+C227+C219</f>
        <v>494709000</v>
      </c>
      <c r="D237" s="74"/>
      <c r="E237" s="74"/>
      <c r="F237" s="74"/>
      <c r="G237" s="74"/>
      <c r="H237" s="73"/>
      <c r="K237" s="74"/>
      <c r="L237" s="648"/>
      <c r="M237" s="649"/>
      <c r="N237" s="605"/>
      <c r="O237" s="650"/>
      <c r="P237" s="73"/>
      <c r="Q237" s="73"/>
      <c r="R237" s="73"/>
      <c r="S237" s="73"/>
      <c r="U237" s="74"/>
    </row>
    <row r="238" spans="1:21" hidden="1" x14ac:dyDescent="0.25">
      <c r="A238" s="22"/>
      <c r="B238" s="22"/>
      <c r="C238" s="73"/>
      <c r="D238" s="74"/>
      <c r="E238" s="74"/>
      <c r="F238" s="74"/>
      <c r="G238" s="74"/>
      <c r="H238" s="73"/>
      <c r="K238" s="74"/>
      <c r="L238" s="648"/>
      <c r="M238" s="649"/>
      <c r="N238" s="605"/>
      <c r="O238" s="650"/>
      <c r="P238" s="73"/>
      <c r="Q238" s="73"/>
      <c r="R238" s="73"/>
      <c r="S238" s="73"/>
      <c r="U238" s="74"/>
    </row>
    <row r="239" spans="1:21" hidden="1" x14ac:dyDescent="0.25">
      <c r="A239" s="22"/>
      <c r="B239" s="22"/>
      <c r="C239" s="73"/>
      <c r="D239" s="74"/>
      <c r="E239" s="74"/>
      <c r="F239" s="74"/>
      <c r="G239" s="74"/>
      <c r="H239" s="73"/>
      <c r="K239" s="74"/>
      <c r="L239" s="648"/>
      <c r="M239" s="649"/>
      <c r="N239" s="605"/>
      <c r="O239" s="650"/>
      <c r="P239" s="73"/>
      <c r="Q239" s="73"/>
      <c r="R239" s="73"/>
      <c r="S239" s="73"/>
      <c r="U239" s="74"/>
    </row>
    <row r="240" spans="1:21" hidden="1" x14ac:dyDescent="0.25">
      <c r="A240" s="22"/>
      <c r="B240" s="22"/>
      <c r="C240" s="22"/>
      <c r="D240" s="23"/>
      <c r="H240" s="22"/>
      <c r="L240" s="648"/>
      <c r="M240" s="649"/>
      <c r="N240" s="605"/>
      <c r="O240" s="650"/>
      <c r="P240" s="22"/>
      <c r="Q240" s="22"/>
      <c r="R240" s="22"/>
      <c r="S240" s="22"/>
    </row>
    <row r="241" spans="1:19" hidden="1" x14ac:dyDescent="0.25">
      <c r="A241" s="22"/>
      <c r="B241" s="22"/>
      <c r="C241" s="22"/>
      <c r="D241" s="23"/>
      <c r="H241" s="22"/>
      <c r="L241" s="650"/>
      <c r="M241" s="605"/>
      <c r="N241" s="605"/>
      <c r="O241" s="650"/>
      <c r="P241" s="22"/>
      <c r="Q241" s="22"/>
      <c r="R241" s="22"/>
      <c r="S241" s="22"/>
    </row>
    <row r="242" spans="1:19" hidden="1" x14ac:dyDescent="0.25">
      <c r="A242" s="22"/>
      <c r="B242" s="22"/>
      <c r="C242" s="22"/>
      <c r="D242" s="23"/>
      <c r="H242" s="22"/>
      <c r="L242" s="650"/>
      <c r="M242" s="605"/>
      <c r="N242" s="605"/>
      <c r="O242" s="650"/>
      <c r="P242" s="22"/>
      <c r="Q242" s="22"/>
      <c r="R242" s="22"/>
      <c r="S242" s="22"/>
    </row>
    <row r="243" spans="1:19" hidden="1" x14ac:dyDescent="0.25">
      <c r="A243" s="22"/>
      <c r="B243" s="22"/>
      <c r="C243" s="22"/>
      <c r="D243" s="23"/>
      <c r="H243" s="22"/>
      <c r="L243" s="650"/>
      <c r="M243" s="605"/>
      <c r="N243" s="605"/>
      <c r="O243" s="650"/>
      <c r="P243" s="22"/>
      <c r="Q243" s="22"/>
      <c r="R243" s="22"/>
      <c r="S243" s="22"/>
    </row>
    <row r="244" spans="1:19" hidden="1" x14ac:dyDescent="0.25">
      <c r="A244" s="22"/>
      <c r="B244" s="22"/>
      <c r="C244" s="22"/>
      <c r="D244" s="23"/>
      <c r="H244" s="22"/>
      <c r="L244" s="650"/>
      <c r="M244" s="605"/>
      <c r="N244" s="605"/>
      <c r="O244" s="650"/>
      <c r="P244" s="22"/>
      <c r="Q244" s="22"/>
      <c r="R244" s="22"/>
      <c r="S244" s="22"/>
    </row>
    <row r="245" spans="1:19" hidden="1" x14ac:dyDescent="0.25">
      <c r="A245" s="22"/>
      <c r="B245" s="22"/>
      <c r="C245" s="22"/>
      <c r="D245" s="23"/>
      <c r="H245" s="22"/>
      <c r="L245" s="650"/>
      <c r="M245" s="605"/>
      <c r="N245" s="605"/>
      <c r="O245" s="650"/>
      <c r="P245" s="22"/>
      <c r="Q245" s="22"/>
      <c r="R245" s="22"/>
      <c r="S245" s="22"/>
    </row>
    <row r="246" spans="1:19" hidden="1" x14ac:dyDescent="0.25">
      <c r="A246" s="22"/>
      <c r="B246" s="22"/>
      <c r="C246" s="22"/>
      <c r="D246" s="23"/>
      <c r="H246" s="22"/>
      <c r="L246" s="650"/>
      <c r="M246" s="605"/>
      <c r="N246" s="605"/>
      <c r="O246" s="650"/>
      <c r="P246" s="22"/>
      <c r="Q246" s="22"/>
      <c r="R246" s="22"/>
      <c r="S246" s="22"/>
    </row>
    <row r="247" spans="1:19" hidden="1" x14ac:dyDescent="0.25">
      <c r="A247" s="22"/>
      <c r="B247" s="22"/>
      <c r="C247" s="22"/>
      <c r="D247" s="23"/>
      <c r="H247" s="22"/>
      <c r="L247" s="650"/>
      <c r="M247" s="605"/>
      <c r="N247" s="605"/>
      <c r="O247" s="650"/>
      <c r="P247" s="22"/>
      <c r="Q247" s="22"/>
      <c r="R247" s="22"/>
      <c r="S247" s="22"/>
    </row>
    <row r="248" spans="1:19" hidden="1" x14ac:dyDescent="0.25">
      <c r="A248" s="22"/>
      <c r="B248" s="22"/>
      <c r="C248" s="22"/>
      <c r="D248" s="23"/>
      <c r="H248" s="22"/>
      <c r="L248" s="650"/>
      <c r="M248" s="605"/>
      <c r="N248" s="605"/>
      <c r="O248" s="650"/>
      <c r="P248" s="22"/>
      <c r="Q248" s="22"/>
      <c r="R248" s="22"/>
      <c r="S248" s="22"/>
    </row>
    <row r="249" spans="1:19" hidden="1" x14ac:dyDescent="0.25">
      <c r="A249" s="22"/>
      <c r="B249" s="22"/>
      <c r="C249" s="22"/>
      <c r="D249" s="23"/>
      <c r="H249" s="22"/>
      <c r="L249" s="650"/>
      <c r="M249" s="605"/>
      <c r="N249" s="605"/>
      <c r="O249" s="650"/>
      <c r="P249" s="22"/>
      <c r="Q249" s="22"/>
      <c r="R249" s="22"/>
      <c r="S249" s="22"/>
    </row>
    <row r="250" spans="1:19" hidden="1" x14ac:dyDescent="0.25">
      <c r="A250" s="22"/>
      <c r="B250" s="22"/>
      <c r="C250" s="22"/>
      <c r="D250" s="23"/>
      <c r="H250" s="22"/>
      <c r="L250" s="650"/>
      <c r="M250" s="605"/>
      <c r="N250" s="605"/>
      <c r="O250" s="650"/>
      <c r="P250" s="22"/>
      <c r="Q250" s="22"/>
      <c r="R250" s="22"/>
      <c r="S250" s="22"/>
    </row>
    <row r="251" spans="1:19" hidden="1" x14ac:dyDescent="0.25">
      <c r="A251" s="22"/>
      <c r="B251" s="22"/>
      <c r="C251" s="22"/>
      <c r="D251" s="23"/>
      <c r="H251" s="22"/>
      <c r="L251" s="650"/>
      <c r="M251" s="605"/>
      <c r="N251" s="605"/>
      <c r="O251" s="650"/>
      <c r="P251" s="22"/>
      <c r="Q251" s="22"/>
      <c r="R251" s="22"/>
      <c r="S251" s="22"/>
    </row>
    <row r="252" spans="1:19" hidden="1" x14ac:dyDescent="0.25">
      <c r="A252" s="22"/>
      <c r="B252" s="22"/>
      <c r="C252" s="22"/>
      <c r="D252" s="23"/>
      <c r="H252" s="22"/>
      <c r="L252" s="650"/>
      <c r="M252" s="605"/>
      <c r="N252" s="605"/>
      <c r="O252" s="650"/>
      <c r="P252" s="22"/>
      <c r="Q252" s="22"/>
      <c r="R252" s="22"/>
      <c r="S252" s="22"/>
    </row>
    <row r="253" spans="1:19" hidden="1" x14ac:dyDescent="0.25">
      <c r="A253" s="22"/>
      <c r="B253" s="22"/>
      <c r="C253" s="22"/>
      <c r="D253" s="23"/>
      <c r="H253" s="22"/>
      <c r="L253" s="650"/>
      <c r="M253" s="605"/>
      <c r="N253" s="605"/>
      <c r="O253" s="650"/>
      <c r="P253" s="22"/>
      <c r="Q253" s="22"/>
      <c r="R253" s="22"/>
      <c r="S253" s="22"/>
    </row>
    <row r="254" spans="1:19" hidden="1" x14ac:dyDescent="0.25">
      <c r="A254" s="22"/>
      <c r="B254" s="22"/>
      <c r="C254" s="22"/>
      <c r="D254" s="23"/>
      <c r="H254" s="22"/>
      <c r="L254" s="650"/>
      <c r="M254" s="605"/>
      <c r="N254" s="605"/>
      <c r="O254" s="650"/>
      <c r="P254" s="22"/>
      <c r="Q254" s="22"/>
      <c r="R254" s="22"/>
      <c r="S254" s="22"/>
    </row>
    <row r="255" spans="1:19" hidden="1" x14ac:dyDescent="0.25">
      <c r="A255" s="22"/>
      <c r="B255" s="22"/>
      <c r="C255" s="22"/>
      <c r="D255" s="23"/>
      <c r="H255" s="22"/>
      <c r="L255" s="650"/>
      <c r="M255" s="605"/>
      <c r="N255" s="605"/>
      <c r="O255" s="650"/>
      <c r="P255" s="22"/>
      <c r="Q255" s="22"/>
      <c r="R255" s="22"/>
      <c r="S255" s="22"/>
    </row>
    <row r="256" spans="1:19" hidden="1" x14ac:dyDescent="0.25">
      <c r="A256" s="22"/>
      <c r="B256" s="22"/>
      <c r="C256" s="22"/>
      <c r="D256" s="23"/>
      <c r="H256" s="22"/>
      <c r="L256" s="650"/>
      <c r="M256" s="605"/>
      <c r="N256" s="605"/>
      <c r="O256" s="650"/>
      <c r="P256" s="22"/>
      <c r="Q256" s="22"/>
      <c r="R256" s="22"/>
      <c r="S256" s="22"/>
    </row>
    <row r="257" spans="1:19" hidden="1" x14ac:dyDescent="0.25">
      <c r="A257" s="22"/>
      <c r="B257" s="22"/>
      <c r="C257" s="22"/>
      <c r="D257" s="23"/>
      <c r="H257" s="22"/>
      <c r="L257" s="650"/>
      <c r="M257" s="605"/>
      <c r="N257" s="605"/>
      <c r="O257" s="650"/>
      <c r="P257" s="22"/>
      <c r="Q257" s="22"/>
      <c r="R257" s="22"/>
      <c r="S257" s="22"/>
    </row>
    <row r="258" spans="1:19" hidden="1" x14ac:dyDescent="0.25">
      <c r="A258" s="22"/>
      <c r="B258" s="22"/>
      <c r="C258" s="22"/>
      <c r="D258" s="23"/>
      <c r="H258" s="22"/>
      <c r="L258" s="650"/>
      <c r="M258" s="605"/>
      <c r="N258" s="605"/>
      <c r="O258" s="650"/>
      <c r="P258" s="22"/>
      <c r="Q258" s="22"/>
      <c r="R258" s="22"/>
      <c r="S258" s="22"/>
    </row>
    <row r="259" spans="1:19" hidden="1" x14ac:dyDescent="0.25">
      <c r="A259" s="22"/>
      <c r="B259" s="22"/>
      <c r="C259" s="22"/>
      <c r="D259" s="23"/>
      <c r="H259" s="22"/>
      <c r="L259" s="650"/>
      <c r="M259" s="605"/>
      <c r="N259" s="605"/>
      <c r="O259" s="650"/>
      <c r="P259" s="22"/>
      <c r="Q259" s="22"/>
      <c r="R259" s="22"/>
      <c r="S259" s="22"/>
    </row>
    <row r="260" spans="1:19" hidden="1" x14ac:dyDescent="0.25">
      <c r="A260" s="22"/>
      <c r="B260" s="22"/>
      <c r="C260" s="22"/>
      <c r="D260" s="23"/>
      <c r="H260" s="22"/>
      <c r="L260" s="650"/>
      <c r="M260" s="605"/>
      <c r="N260" s="605"/>
      <c r="O260" s="650"/>
      <c r="P260" s="22"/>
      <c r="Q260" s="22"/>
      <c r="R260" s="22"/>
      <c r="S260" s="22"/>
    </row>
    <row r="261" spans="1:19" hidden="1" x14ac:dyDescent="0.25">
      <c r="A261" s="22"/>
      <c r="B261" s="22"/>
      <c r="C261" s="22"/>
      <c r="D261" s="23"/>
      <c r="H261" s="22"/>
      <c r="L261" s="650"/>
      <c r="M261" s="605"/>
      <c r="N261" s="605"/>
      <c r="O261" s="650"/>
      <c r="P261" s="22"/>
      <c r="Q261" s="22"/>
      <c r="R261" s="22"/>
      <c r="S261" s="22"/>
    </row>
    <row r="262" spans="1:19" hidden="1" x14ac:dyDescent="0.25">
      <c r="A262" s="22"/>
      <c r="B262" s="22"/>
      <c r="C262" s="22"/>
      <c r="D262" s="23"/>
      <c r="H262" s="22"/>
      <c r="L262" s="650"/>
      <c r="M262" s="605"/>
      <c r="N262" s="605"/>
      <c r="O262" s="650"/>
      <c r="P262" s="22"/>
      <c r="Q262" s="22"/>
      <c r="R262" s="22"/>
      <c r="S262" s="22"/>
    </row>
    <row r="263" spans="1:19" hidden="1" x14ac:dyDescent="0.25">
      <c r="A263" s="22"/>
      <c r="B263" s="22"/>
      <c r="C263" s="22"/>
      <c r="D263" s="23"/>
      <c r="H263" s="22"/>
      <c r="L263" s="650"/>
      <c r="M263" s="605"/>
      <c r="N263" s="605"/>
      <c r="O263" s="650"/>
      <c r="P263" s="22"/>
      <c r="Q263" s="22"/>
      <c r="R263" s="22"/>
      <c r="S263" s="22"/>
    </row>
    <row r="264" spans="1:19" hidden="1" x14ac:dyDescent="0.25">
      <c r="A264" s="22"/>
      <c r="B264" s="22"/>
      <c r="C264" s="22"/>
      <c r="D264" s="23"/>
      <c r="H264" s="22"/>
      <c r="L264" s="650"/>
      <c r="M264" s="605"/>
      <c r="N264" s="605"/>
      <c r="O264" s="650"/>
      <c r="P264" s="22"/>
      <c r="Q264" s="22"/>
      <c r="R264" s="22"/>
      <c r="S264" s="22"/>
    </row>
    <row r="265" spans="1:19" hidden="1" x14ac:dyDescent="0.25">
      <c r="A265" s="22"/>
      <c r="B265" s="22"/>
      <c r="C265" s="22"/>
      <c r="D265" s="23"/>
      <c r="H265" s="22"/>
      <c r="L265" s="650"/>
      <c r="M265" s="605"/>
      <c r="N265" s="605"/>
      <c r="O265" s="650"/>
      <c r="P265" s="22"/>
      <c r="Q265" s="22"/>
      <c r="R265" s="22"/>
      <c r="S265" s="22"/>
    </row>
    <row r="266" spans="1:19" hidden="1" x14ac:dyDescent="0.25">
      <c r="A266" s="22"/>
      <c r="B266" s="22"/>
      <c r="C266" s="22"/>
      <c r="D266" s="23"/>
      <c r="H266" s="22"/>
      <c r="L266" s="650"/>
      <c r="M266" s="605"/>
      <c r="N266" s="605"/>
      <c r="O266" s="650"/>
      <c r="P266" s="22"/>
      <c r="Q266" s="22"/>
      <c r="R266" s="22"/>
      <c r="S266" s="22"/>
    </row>
    <row r="267" spans="1:19" hidden="1" x14ac:dyDescent="0.25">
      <c r="A267" s="22"/>
      <c r="B267" s="22"/>
      <c r="C267" s="22"/>
      <c r="D267" s="23"/>
      <c r="H267" s="22"/>
      <c r="L267" s="650"/>
      <c r="M267" s="605"/>
      <c r="N267" s="605"/>
      <c r="O267" s="650"/>
      <c r="P267" s="22"/>
      <c r="Q267" s="22"/>
      <c r="R267" s="22"/>
      <c r="S267" s="22"/>
    </row>
    <row r="268" spans="1:19" hidden="1" x14ac:dyDescent="0.25">
      <c r="A268" s="22"/>
      <c r="B268" s="22"/>
      <c r="C268" s="22"/>
      <c r="D268" s="23"/>
      <c r="H268" s="22"/>
      <c r="L268" s="650"/>
      <c r="M268" s="605"/>
      <c r="N268" s="605"/>
      <c r="O268" s="650"/>
      <c r="P268" s="22"/>
      <c r="Q268" s="22"/>
      <c r="R268" s="22"/>
      <c r="S268" s="22"/>
    </row>
    <row r="269" spans="1:19" hidden="1" x14ac:dyDescent="0.25">
      <c r="A269" s="22"/>
      <c r="B269" s="22"/>
      <c r="C269" s="22"/>
      <c r="D269" s="23"/>
      <c r="H269" s="22"/>
      <c r="L269" s="650"/>
      <c r="M269" s="605"/>
      <c r="N269" s="605"/>
      <c r="O269" s="650"/>
      <c r="P269" s="22"/>
      <c r="Q269" s="22"/>
      <c r="R269" s="22"/>
      <c r="S269" s="22"/>
    </row>
    <row r="270" spans="1:19" hidden="1" x14ac:dyDescent="0.25">
      <c r="A270" s="22"/>
      <c r="B270" s="22"/>
      <c r="C270" s="22"/>
      <c r="D270" s="23"/>
      <c r="H270" s="22"/>
      <c r="L270" s="650"/>
      <c r="M270" s="605"/>
      <c r="N270" s="605"/>
      <c r="O270" s="650"/>
      <c r="P270" s="22"/>
      <c r="Q270" s="22"/>
      <c r="R270" s="22"/>
      <c r="S270" s="22"/>
    </row>
    <row r="271" spans="1:19" hidden="1" x14ac:dyDescent="0.25">
      <c r="A271" s="22"/>
      <c r="B271" s="22"/>
      <c r="C271" s="22"/>
      <c r="D271" s="23"/>
      <c r="H271" s="22"/>
      <c r="L271" s="650"/>
      <c r="M271" s="605"/>
      <c r="N271" s="605"/>
      <c r="O271" s="650"/>
      <c r="P271" s="22"/>
      <c r="Q271" s="22"/>
      <c r="R271" s="22"/>
      <c r="S271" s="22"/>
    </row>
    <row r="272" spans="1:19" hidden="1" x14ac:dyDescent="0.25">
      <c r="A272" s="22"/>
      <c r="B272" s="22"/>
      <c r="C272" s="22"/>
      <c r="D272" s="23"/>
      <c r="H272" s="22"/>
      <c r="L272" s="650"/>
      <c r="M272" s="605"/>
      <c r="N272" s="605"/>
      <c r="O272" s="650"/>
      <c r="P272" s="22"/>
      <c r="Q272" s="22"/>
      <c r="R272" s="22"/>
      <c r="S272" s="22"/>
    </row>
    <row r="273" spans="1:19" hidden="1" x14ac:dyDescent="0.25">
      <c r="A273" s="22"/>
      <c r="B273" s="22"/>
      <c r="C273" s="22"/>
      <c r="D273" s="23"/>
      <c r="H273" s="22"/>
      <c r="L273" s="650"/>
      <c r="M273" s="605"/>
      <c r="N273" s="605"/>
      <c r="O273" s="650"/>
      <c r="P273" s="22"/>
      <c r="Q273" s="22"/>
      <c r="R273" s="22"/>
      <c r="S273" s="22"/>
    </row>
    <row r="274" spans="1:19" hidden="1" x14ac:dyDescent="0.25">
      <c r="A274" s="22"/>
      <c r="B274" s="22"/>
      <c r="C274" s="22"/>
      <c r="D274" s="23"/>
      <c r="H274" s="22"/>
      <c r="L274" s="650"/>
      <c r="M274" s="605"/>
      <c r="N274" s="605"/>
      <c r="O274" s="650"/>
      <c r="P274" s="22"/>
      <c r="Q274" s="22"/>
      <c r="R274" s="22"/>
      <c r="S274" s="22"/>
    </row>
    <row r="275" spans="1:19" hidden="1" x14ac:dyDescent="0.25">
      <c r="A275" s="22"/>
      <c r="B275" s="22"/>
      <c r="C275" s="22"/>
      <c r="D275" s="23"/>
      <c r="H275" s="22"/>
      <c r="L275" s="650"/>
      <c r="M275" s="605"/>
      <c r="N275" s="605"/>
      <c r="O275" s="650"/>
      <c r="P275" s="22"/>
      <c r="Q275" s="22"/>
      <c r="R275" s="22"/>
      <c r="S275" s="22"/>
    </row>
    <row r="276" spans="1:19" hidden="1" x14ac:dyDescent="0.25">
      <c r="A276" s="22"/>
      <c r="B276" s="22"/>
      <c r="C276" s="22"/>
      <c r="D276" s="23"/>
      <c r="H276" s="22"/>
      <c r="L276" s="650"/>
      <c r="M276" s="605"/>
      <c r="N276" s="605"/>
      <c r="O276" s="650"/>
      <c r="P276" s="22"/>
      <c r="Q276" s="22"/>
      <c r="R276" s="22"/>
      <c r="S276" s="22"/>
    </row>
    <row r="277" spans="1:19" hidden="1" x14ac:dyDescent="0.25">
      <c r="A277" s="22"/>
      <c r="B277" s="22"/>
      <c r="C277" s="22"/>
      <c r="D277" s="23"/>
      <c r="H277" s="22"/>
      <c r="L277" s="650"/>
      <c r="M277" s="605"/>
      <c r="N277" s="605"/>
      <c r="O277" s="650"/>
      <c r="P277" s="22"/>
      <c r="Q277" s="22"/>
      <c r="R277" s="22"/>
      <c r="S277" s="22"/>
    </row>
    <row r="278" spans="1:19" hidden="1" x14ac:dyDescent="0.25">
      <c r="A278" s="22"/>
      <c r="B278" s="22"/>
      <c r="C278" s="22"/>
      <c r="D278" s="23"/>
      <c r="H278" s="22"/>
      <c r="L278" s="650"/>
      <c r="M278" s="605"/>
      <c r="N278" s="605"/>
      <c r="O278" s="650"/>
      <c r="P278" s="22"/>
      <c r="Q278" s="22"/>
      <c r="R278" s="22"/>
      <c r="S278" s="22"/>
    </row>
    <row r="279" spans="1:19" hidden="1" x14ac:dyDescent="0.25">
      <c r="A279" s="22"/>
      <c r="B279" s="22"/>
      <c r="C279" s="22"/>
      <c r="D279" s="23"/>
      <c r="H279" s="22"/>
      <c r="L279" s="650"/>
      <c r="M279" s="605"/>
      <c r="N279" s="605"/>
      <c r="O279" s="650"/>
      <c r="P279" s="22"/>
      <c r="Q279" s="22"/>
      <c r="R279" s="22"/>
      <c r="S279" s="22"/>
    </row>
    <row r="280" spans="1:19" hidden="1" x14ac:dyDescent="0.25">
      <c r="A280" s="22"/>
      <c r="B280" s="22"/>
      <c r="C280" s="22"/>
      <c r="D280" s="23"/>
      <c r="H280" s="22"/>
      <c r="L280" s="650"/>
      <c r="M280" s="605"/>
      <c r="N280" s="605"/>
      <c r="O280" s="650"/>
      <c r="P280" s="22"/>
      <c r="Q280" s="22"/>
      <c r="R280" s="22"/>
      <c r="S280" s="22"/>
    </row>
    <row r="281" spans="1:19" hidden="1" x14ac:dyDescent="0.25">
      <c r="A281" s="22"/>
      <c r="B281" s="22"/>
      <c r="C281" s="22"/>
      <c r="D281" s="23"/>
      <c r="H281" s="22"/>
      <c r="L281" s="650"/>
      <c r="M281" s="605"/>
      <c r="N281" s="605"/>
      <c r="O281" s="650"/>
      <c r="P281" s="22"/>
      <c r="Q281" s="22"/>
      <c r="R281" s="22"/>
      <c r="S281" s="22"/>
    </row>
    <row r="282" spans="1:19" hidden="1" x14ac:dyDescent="0.25">
      <c r="A282" s="22"/>
      <c r="B282" s="22"/>
      <c r="C282" s="22"/>
      <c r="D282" s="23"/>
      <c r="H282" s="22"/>
      <c r="L282" s="650"/>
      <c r="M282" s="605"/>
      <c r="N282" s="605"/>
      <c r="O282" s="650"/>
      <c r="P282" s="22"/>
      <c r="Q282" s="22"/>
      <c r="R282" s="22"/>
      <c r="S282" s="22"/>
    </row>
    <row r="283" spans="1:19" hidden="1" x14ac:dyDescent="0.25">
      <c r="A283" s="22"/>
      <c r="B283" s="22"/>
      <c r="C283" s="22"/>
      <c r="D283" s="23"/>
      <c r="H283" s="22"/>
      <c r="L283" s="650"/>
      <c r="M283" s="605"/>
      <c r="N283" s="605"/>
      <c r="O283" s="650"/>
      <c r="P283" s="22"/>
      <c r="Q283" s="22"/>
      <c r="R283" s="22"/>
      <c r="S283" s="22"/>
    </row>
    <row r="284" spans="1:19" hidden="1" x14ac:dyDescent="0.25">
      <c r="A284" s="22"/>
      <c r="B284" s="22"/>
      <c r="C284" s="22"/>
      <c r="D284" s="23"/>
      <c r="H284" s="22"/>
      <c r="L284" s="650"/>
      <c r="M284" s="605"/>
      <c r="N284" s="605"/>
      <c r="O284" s="650"/>
      <c r="P284" s="22"/>
      <c r="Q284" s="22"/>
      <c r="R284" s="22"/>
      <c r="S284" s="22"/>
    </row>
    <row r="285" spans="1:19" hidden="1" x14ac:dyDescent="0.25">
      <c r="A285" s="22"/>
      <c r="B285" s="22"/>
      <c r="C285" s="22"/>
      <c r="D285" s="23"/>
      <c r="H285" s="22"/>
      <c r="L285" s="650"/>
      <c r="M285" s="605"/>
      <c r="N285" s="605"/>
      <c r="O285" s="650"/>
      <c r="P285" s="22"/>
      <c r="Q285" s="22"/>
      <c r="R285" s="22"/>
      <c r="S285" s="22"/>
    </row>
    <row r="286" spans="1:19" hidden="1" x14ac:dyDescent="0.25">
      <c r="A286" s="22"/>
      <c r="B286" s="22"/>
      <c r="C286" s="22"/>
      <c r="D286" s="23"/>
      <c r="H286" s="22"/>
      <c r="L286" s="650"/>
      <c r="M286" s="605"/>
      <c r="N286" s="605"/>
      <c r="O286" s="650"/>
      <c r="P286" s="22"/>
      <c r="Q286" s="22"/>
      <c r="R286" s="22"/>
      <c r="S286" s="22"/>
    </row>
    <row r="287" spans="1:19" hidden="1" x14ac:dyDescent="0.25">
      <c r="A287" s="22"/>
      <c r="B287" s="22"/>
      <c r="C287" s="22"/>
      <c r="D287" s="23"/>
      <c r="H287" s="22"/>
      <c r="L287" s="650"/>
      <c r="M287" s="605"/>
      <c r="N287" s="605"/>
      <c r="O287" s="650"/>
      <c r="P287" s="22"/>
      <c r="Q287" s="22"/>
      <c r="R287" s="22"/>
      <c r="S287" s="22"/>
    </row>
    <row r="288" spans="1:19" hidden="1" x14ac:dyDescent="0.25">
      <c r="A288" s="22"/>
      <c r="B288" s="22"/>
      <c r="C288" s="22"/>
      <c r="D288" s="23"/>
      <c r="H288" s="22"/>
      <c r="L288" s="650"/>
      <c r="M288" s="605"/>
      <c r="N288" s="605"/>
      <c r="O288" s="650"/>
      <c r="P288" s="22"/>
      <c r="Q288" s="22"/>
      <c r="R288" s="22"/>
      <c r="S288" s="22"/>
    </row>
    <row r="289" spans="1:19" hidden="1" x14ac:dyDescent="0.25">
      <c r="A289" s="22"/>
      <c r="B289" s="22"/>
      <c r="C289" s="22"/>
      <c r="D289" s="23"/>
      <c r="H289" s="22"/>
      <c r="L289" s="650"/>
      <c r="M289" s="605"/>
      <c r="N289" s="605"/>
      <c r="O289" s="650"/>
      <c r="P289" s="22"/>
      <c r="Q289" s="22"/>
      <c r="R289" s="22"/>
      <c r="S289" s="22"/>
    </row>
    <row r="290" spans="1:19" hidden="1" x14ac:dyDescent="0.25">
      <c r="A290" s="22"/>
      <c r="B290" s="22"/>
      <c r="C290" s="22"/>
      <c r="D290" s="23"/>
      <c r="H290" s="22"/>
      <c r="L290" s="650"/>
      <c r="M290" s="605"/>
      <c r="N290" s="605"/>
      <c r="O290" s="650"/>
      <c r="P290" s="22"/>
      <c r="Q290" s="22"/>
      <c r="R290" s="22"/>
      <c r="S290" s="22"/>
    </row>
    <row r="291" spans="1:19" x14ac:dyDescent="0.25">
      <c r="A291" s="22"/>
      <c r="B291" s="22"/>
      <c r="C291" s="22"/>
      <c r="D291" s="23">
        <f>+D168-C168</f>
        <v>21155387</v>
      </c>
      <c r="H291" s="22"/>
      <c r="L291" s="650"/>
      <c r="M291" s="605"/>
      <c r="N291" s="605"/>
      <c r="O291" s="650"/>
      <c r="P291" s="22"/>
      <c r="Q291" s="22"/>
      <c r="R291" s="22"/>
      <c r="S291" s="22"/>
    </row>
    <row r="292" spans="1:19" x14ac:dyDescent="0.25">
      <c r="A292" s="56"/>
      <c r="B292" s="22"/>
      <c r="C292" s="22"/>
      <c r="D292" s="23">
        <v>20666143</v>
      </c>
      <c r="H292" s="22"/>
      <c r="L292" s="635"/>
      <c r="M292" s="600"/>
      <c r="N292" s="600"/>
      <c r="O292" s="633"/>
      <c r="P292" s="22"/>
      <c r="Q292" s="22"/>
      <c r="R292" s="22"/>
      <c r="S292" s="22"/>
    </row>
    <row r="293" spans="1:19" x14ac:dyDescent="0.25">
      <c r="A293" s="22"/>
      <c r="B293" s="22"/>
      <c r="C293" s="73"/>
      <c r="D293" s="23">
        <f>+D291-D292</f>
        <v>489244</v>
      </c>
      <c r="H293" s="22"/>
      <c r="L293" s="635"/>
      <c r="M293" s="600"/>
      <c r="N293" s="600"/>
      <c r="O293" s="633"/>
      <c r="P293" s="22"/>
      <c r="Q293" s="22"/>
      <c r="R293" s="22"/>
      <c r="S293" s="22"/>
    </row>
    <row r="294" spans="1:19" x14ac:dyDescent="0.25">
      <c r="A294" s="22"/>
      <c r="B294" s="22"/>
      <c r="C294" s="22"/>
      <c r="D294" s="23"/>
      <c r="H294" s="22"/>
      <c r="L294" s="635"/>
      <c r="M294" s="600"/>
      <c r="N294" s="600"/>
      <c r="O294" s="633"/>
      <c r="P294" s="22"/>
      <c r="Q294" s="22"/>
      <c r="R294" s="22"/>
      <c r="S294" s="22"/>
    </row>
    <row r="295" spans="1:19" x14ac:dyDescent="0.25">
      <c r="A295" s="22"/>
      <c r="B295" s="714"/>
      <c r="C295" s="22"/>
      <c r="D295" s="23"/>
      <c r="H295" s="22"/>
      <c r="L295" s="635"/>
      <c r="M295" s="600"/>
      <c r="N295" s="600"/>
      <c r="O295" s="633"/>
      <c r="P295" s="22"/>
      <c r="Q295" s="22"/>
      <c r="R295" s="22"/>
      <c r="S295" s="22"/>
    </row>
    <row r="296" spans="1:19" x14ac:dyDescent="0.25">
      <c r="A296" s="22"/>
      <c r="B296" s="714"/>
      <c r="C296" s="22"/>
      <c r="D296" s="23"/>
      <c r="H296" s="22"/>
      <c r="L296" s="635"/>
      <c r="M296" s="600"/>
      <c r="N296" s="600"/>
      <c r="O296" s="633"/>
      <c r="P296" s="22"/>
      <c r="Q296" s="22"/>
      <c r="R296" s="22"/>
      <c r="S296" s="22"/>
    </row>
    <row r="297" spans="1:19" x14ac:dyDescent="0.25">
      <c r="A297" s="22"/>
      <c r="B297" s="22"/>
      <c r="C297" s="22"/>
      <c r="D297" s="23"/>
      <c r="H297" s="22"/>
      <c r="L297" s="635"/>
      <c r="M297" s="600"/>
      <c r="N297" s="600"/>
      <c r="O297" s="633"/>
      <c r="P297" s="22"/>
      <c r="Q297" s="22"/>
      <c r="R297" s="22"/>
      <c r="S297" s="22"/>
    </row>
    <row r="298" spans="1:19" x14ac:dyDescent="0.25">
      <c r="A298" s="22"/>
      <c r="B298" s="22"/>
      <c r="C298" s="22"/>
      <c r="D298" s="23"/>
      <c r="H298" s="22"/>
      <c r="L298" s="635"/>
      <c r="M298" s="600"/>
      <c r="N298" s="600"/>
      <c r="O298" s="633"/>
      <c r="P298" s="22"/>
      <c r="Q298" s="22"/>
      <c r="R298" s="22"/>
      <c r="S298" s="22"/>
    </row>
    <row r="299" spans="1:19" x14ac:dyDescent="0.25">
      <c r="A299" s="22"/>
      <c r="B299" s="22"/>
      <c r="C299" s="22"/>
      <c r="D299" s="23"/>
      <c r="H299" s="22"/>
      <c r="L299" s="635"/>
      <c r="M299" s="600"/>
      <c r="N299" s="600"/>
      <c r="O299" s="633"/>
      <c r="P299" s="22"/>
      <c r="Q299" s="22"/>
      <c r="R299" s="22"/>
      <c r="S299" s="22"/>
    </row>
    <row r="300" spans="1:19" x14ac:dyDescent="0.25">
      <c r="A300" s="22"/>
      <c r="B300" s="22"/>
      <c r="C300" s="22"/>
      <c r="D300" s="23"/>
      <c r="H300" s="22"/>
      <c r="L300" s="635"/>
      <c r="M300" s="600"/>
      <c r="N300" s="600"/>
      <c r="O300" s="633"/>
      <c r="P300" s="22"/>
      <c r="Q300" s="22"/>
      <c r="R300" s="22"/>
      <c r="S300" s="22"/>
    </row>
    <row r="301" spans="1:19" x14ac:dyDescent="0.25">
      <c r="A301" s="22"/>
      <c r="B301" s="22"/>
      <c r="C301" s="22"/>
      <c r="D301" s="23"/>
      <c r="H301" s="22"/>
      <c r="L301" s="635"/>
      <c r="M301" s="600"/>
      <c r="N301" s="600"/>
      <c r="O301" s="633"/>
      <c r="P301" s="22"/>
      <c r="Q301" s="22"/>
      <c r="R301" s="22"/>
      <c r="S301" s="22"/>
    </row>
    <row r="302" spans="1:19" x14ac:dyDescent="0.25">
      <c r="A302" s="22"/>
      <c r="B302" s="22"/>
      <c r="C302" s="22"/>
      <c r="D302" s="23"/>
      <c r="H302" s="22"/>
      <c r="L302" s="635"/>
      <c r="M302" s="600"/>
      <c r="N302" s="600"/>
      <c r="O302" s="633"/>
      <c r="P302" s="22"/>
      <c r="Q302" s="22"/>
      <c r="R302" s="22"/>
      <c r="S302" s="22"/>
    </row>
    <row r="303" spans="1:19" x14ac:dyDescent="0.25">
      <c r="A303" s="22"/>
      <c r="B303" s="22"/>
      <c r="C303" s="22"/>
      <c r="D303" s="23"/>
      <c r="H303" s="22"/>
      <c r="L303" s="635"/>
      <c r="M303" s="600"/>
      <c r="N303" s="600"/>
      <c r="O303" s="633"/>
      <c r="P303" s="22"/>
      <c r="Q303" s="22"/>
      <c r="R303" s="22"/>
      <c r="S303" s="22"/>
    </row>
    <row r="304" spans="1:19" x14ac:dyDescent="0.25">
      <c r="A304" s="22"/>
      <c r="B304" s="22"/>
      <c r="C304" s="22"/>
      <c r="D304" s="23"/>
      <c r="H304" s="22"/>
      <c r="L304" s="635"/>
      <c r="M304" s="600"/>
      <c r="N304" s="600"/>
      <c r="O304" s="633"/>
      <c r="P304" s="22"/>
      <c r="Q304" s="22"/>
      <c r="R304" s="22"/>
      <c r="S304" s="22"/>
    </row>
    <row r="305" spans="1:19" x14ac:dyDescent="0.25">
      <c r="A305" s="22"/>
      <c r="B305" s="22"/>
      <c r="C305" s="22"/>
      <c r="D305" s="23"/>
      <c r="H305" s="22"/>
      <c r="L305" s="635"/>
      <c r="M305" s="600"/>
      <c r="N305" s="600"/>
      <c r="O305" s="633"/>
      <c r="P305" s="22"/>
      <c r="Q305" s="22"/>
      <c r="R305" s="22"/>
      <c r="S305" s="22"/>
    </row>
    <row r="306" spans="1:19" x14ac:dyDescent="0.25">
      <c r="A306" s="22"/>
      <c r="B306" s="22"/>
      <c r="C306" s="22"/>
      <c r="D306" s="23"/>
      <c r="H306" s="22"/>
      <c r="L306" s="635"/>
      <c r="M306" s="600"/>
      <c r="N306" s="600"/>
      <c r="O306" s="633"/>
      <c r="P306" s="22"/>
      <c r="Q306" s="22"/>
      <c r="R306" s="22"/>
      <c r="S306" s="22"/>
    </row>
    <row r="307" spans="1:19" x14ac:dyDescent="0.25">
      <c r="A307" s="22"/>
      <c r="B307" s="22"/>
      <c r="C307" s="22"/>
      <c r="D307" s="23"/>
      <c r="H307" s="22"/>
      <c r="L307" s="635"/>
      <c r="M307" s="600"/>
      <c r="N307" s="600"/>
      <c r="O307" s="633"/>
      <c r="P307" s="22"/>
      <c r="Q307" s="22"/>
      <c r="R307" s="22"/>
      <c r="S307" s="22"/>
    </row>
    <row r="308" spans="1:19" x14ac:dyDescent="0.25">
      <c r="A308" s="22"/>
      <c r="B308" s="22"/>
      <c r="C308" s="22"/>
      <c r="D308" s="23"/>
      <c r="H308" s="22"/>
      <c r="L308" s="635"/>
      <c r="M308" s="600"/>
      <c r="N308" s="600"/>
      <c r="O308" s="633"/>
      <c r="P308" s="22"/>
      <c r="Q308" s="22"/>
      <c r="R308" s="22"/>
      <c r="S308" s="22"/>
    </row>
    <row r="309" spans="1:19" x14ac:dyDescent="0.25">
      <c r="A309" s="22"/>
      <c r="B309" s="22"/>
      <c r="C309" s="22"/>
      <c r="D309" s="23"/>
      <c r="H309" s="22"/>
      <c r="L309" s="635"/>
      <c r="M309" s="600"/>
      <c r="N309" s="600"/>
      <c r="O309" s="633"/>
      <c r="P309" s="22"/>
      <c r="Q309" s="22"/>
      <c r="R309" s="22"/>
      <c r="S309" s="22"/>
    </row>
    <row r="310" spans="1:19" x14ac:dyDescent="0.25">
      <c r="A310" s="22"/>
      <c r="B310" s="22"/>
      <c r="C310" s="22"/>
      <c r="D310" s="23"/>
      <c r="H310" s="22"/>
      <c r="L310" s="635"/>
      <c r="M310" s="600"/>
      <c r="N310" s="600"/>
      <c r="O310" s="633"/>
      <c r="P310" s="22"/>
      <c r="Q310" s="22"/>
      <c r="R310" s="22"/>
      <c r="S310" s="22"/>
    </row>
    <row r="311" spans="1:19" x14ac:dyDescent="0.25">
      <c r="A311" s="22"/>
      <c r="B311" s="22"/>
      <c r="C311" s="22"/>
      <c r="D311" s="23"/>
      <c r="H311" s="22"/>
      <c r="L311" s="635"/>
      <c r="M311" s="600"/>
      <c r="N311" s="600"/>
      <c r="O311" s="633"/>
      <c r="P311" s="22"/>
      <c r="Q311" s="22"/>
      <c r="R311" s="22"/>
      <c r="S311" s="22"/>
    </row>
    <row r="312" spans="1:19" x14ac:dyDescent="0.25">
      <c r="A312" s="22"/>
      <c r="B312" s="22"/>
      <c r="C312" s="22"/>
      <c r="D312" s="23"/>
      <c r="H312" s="22"/>
      <c r="L312" s="635"/>
      <c r="M312" s="600"/>
      <c r="N312" s="600"/>
      <c r="O312" s="633"/>
      <c r="P312" s="22"/>
      <c r="Q312" s="22"/>
      <c r="R312" s="22"/>
      <c r="S312" s="22"/>
    </row>
    <row r="313" spans="1:19" x14ac:dyDescent="0.25">
      <c r="A313" s="22"/>
      <c r="B313" s="22"/>
      <c r="C313" s="22"/>
      <c r="D313" s="23"/>
      <c r="H313" s="22"/>
      <c r="L313" s="635"/>
      <c r="M313" s="600"/>
      <c r="N313" s="600"/>
      <c r="O313" s="633"/>
      <c r="P313" s="22"/>
      <c r="Q313" s="22"/>
      <c r="R313" s="22"/>
      <c r="S313" s="22"/>
    </row>
    <row r="314" spans="1:19" x14ac:dyDescent="0.25">
      <c r="A314" s="22"/>
      <c r="B314" s="22"/>
      <c r="C314" s="22"/>
      <c r="D314" s="23"/>
      <c r="H314" s="22"/>
      <c r="L314" s="635"/>
      <c r="M314" s="600"/>
      <c r="N314" s="600"/>
      <c r="O314" s="633"/>
      <c r="P314" s="22"/>
      <c r="Q314" s="22"/>
      <c r="R314" s="22"/>
      <c r="S314" s="22"/>
    </row>
    <row r="315" spans="1:19" x14ac:dyDescent="0.25">
      <c r="A315" s="22"/>
      <c r="B315" s="22"/>
      <c r="C315" s="22"/>
      <c r="D315" s="23"/>
      <c r="H315" s="22"/>
      <c r="L315" s="635"/>
      <c r="M315" s="600"/>
      <c r="N315" s="600"/>
      <c r="O315" s="633"/>
      <c r="P315" s="22"/>
      <c r="Q315" s="22"/>
      <c r="R315" s="22"/>
      <c r="S315" s="22"/>
    </row>
    <row r="316" spans="1:19" x14ac:dyDescent="0.25">
      <c r="A316" s="22"/>
      <c r="B316" s="22"/>
      <c r="C316" s="22"/>
      <c r="D316" s="23"/>
      <c r="H316" s="22"/>
      <c r="L316" s="635"/>
      <c r="M316" s="600"/>
      <c r="N316" s="600"/>
      <c r="O316" s="633"/>
      <c r="P316" s="22"/>
      <c r="Q316" s="22"/>
      <c r="R316" s="22"/>
      <c r="S316" s="22"/>
    </row>
    <row r="317" spans="1:19" x14ac:dyDescent="0.25">
      <c r="A317" s="22"/>
      <c r="B317" s="22"/>
      <c r="C317" s="22"/>
      <c r="D317" s="23"/>
      <c r="H317" s="22"/>
      <c r="L317" s="635"/>
      <c r="M317" s="600"/>
      <c r="N317" s="600"/>
      <c r="O317" s="633"/>
      <c r="P317" s="22"/>
      <c r="Q317" s="22"/>
      <c r="R317" s="22"/>
      <c r="S317" s="22"/>
    </row>
    <row r="318" spans="1:19" x14ac:dyDescent="0.25">
      <c r="A318" s="22"/>
      <c r="B318" s="22"/>
      <c r="C318" s="22"/>
      <c r="D318" s="23"/>
      <c r="H318" s="22"/>
      <c r="L318" s="635"/>
      <c r="M318" s="600"/>
      <c r="N318" s="600"/>
      <c r="O318" s="633"/>
      <c r="P318" s="22"/>
      <c r="Q318" s="22"/>
      <c r="R318" s="22"/>
      <c r="S318" s="22"/>
    </row>
    <row r="319" spans="1:19" x14ac:dyDescent="0.25">
      <c r="A319" s="22"/>
      <c r="B319" s="22"/>
      <c r="C319" s="22"/>
      <c r="D319" s="23"/>
      <c r="H319" s="22"/>
      <c r="L319" s="635"/>
      <c r="M319" s="600"/>
      <c r="N319" s="600"/>
      <c r="O319" s="633"/>
      <c r="P319" s="22"/>
      <c r="Q319" s="22"/>
      <c r="R319" s="22"/>
      <c r="S319" s="22"/>
    </row>
    <row r="320" spans="1:19" x14ac:dyDescent="0.25">
      <c r="A320" s="22"/>
      <c r="B320" s="22"/>
      <c r="C320" s="22"/>
      <c r="D320" s="23"/>
      <c r="H320" s="22"/>
      <c r="L320" s="635"/>
      <c r="M320" s="600"/>
      <c r="N320" s="600"/>
      <c r="O320" s="633"/>
      <c r="P320" s="22"/>
      <c r="Q320" s="22"/>
      <c r="R320" s="22"/>
      <c r="S320" s="22"/>
    </row>
    <row r="321" spans="1:19" x14ac:dyDescent="0.25">
      <c r="A321" s="22"/>
      <c r="B321" s="22"/>
      <c r="C321" s="22"/>
      <c r="D321" s="23"/>
      <c r="H321" s="22"/>
      <c r="L321" s="635"/>
      <c r="M321" s="600"/>
      <c r="N321" s="600"/>
      <c r="O321" s="633"/>
      <c r="P321" s="22"/>
      <c r="Q321" s="22"/>
      <c r="R321" s="22"/>
      <c r="S321" s="22"/>
    </row>
    <row r="322" spans="1:19" x14ac:dyDescent="0.25">
      <c r="A322" s="22"/>
      <c r="B322" s="22"/>
      <c r="C322" s="22"/>
      <c r="D322" s="23"/>
      <c r="H322" s="22"/>
      <c r="L322" s="635"/>
      <c r="M322" s="600"/>
      <c r="N322" s="600"/>
      <c r="O322" s="633"/>
      <c r="P322" s="22"/>
      <c r="Q322" s="22"/>
      <c r="R322" s="22"/>
      <c r="S322" s="22"/>
    </row>
    <row r="323" spans="1:19" x14ac:dyDescent="0.25">
      <c r="A323" s="22"/>
      <c r="B323" s="22"/>
      <c r="C323" s="22"/>
      <c r="D323" s="23"/>
      <c r="H323" s="22"/>
      <c r="L323" s="635"/>
      <c r="M323" s="600"/>
      <c r="N323" s="600"/>
      <c r="O323" s="633"/>
      <c r="P323" s="22"/>
      <c r="Q323" s="22"/>
      <c r="R323" s="22"/>
      <c r="S323" s="22"/>
    </row>
    <row r="324" spans="1:19" x14ac:dyDescent="0.25">
      <c r="A324" s="22"/>
      <c r="B324" s="22"/>
      <c r="C324" s="22"/>
      <c r="D324" s="23"/>
      <c r="H324" s="22"/>
      <c r="L324" s="635"/>
      <c r="M324" s="600"/>
      <c r="N324" s="600"/>
      <c r="O324" s="633"/>
      <c r="P324" s="22"/>
      <c r="Q324" s="22"/>
      <c r="R324" s="22"/>
      <c r="S324" s="22"/>
    </row>
    <row r="325" spans="1:19" x14ac:dyDescent="0.25">
      <c r="A325" s="22"/>
      <c r="B325" s="22"/>
      <c r="C325" s="22"/>
      <c r="D325" s="23"/>
      <c r="H325" s="22"/>
      <c r="L325" s="635"/>
      <c r="M325" s="600"/>
      <c r="N325" s="600"/>
      <c r="O325" s="633"/>
      <c r="P325" s="22"/>
      <c r="Q325" s="22"/>
      <c r="R325" s="22"/>
      <c r="S325" s="22"/>
    </row>
    <row r="326" spans="1:19" x14ac:dyDescent="0.25">
      <c r="A326" s="22"/>
      <c r="B326" s="22"/>
      <c r="C326" s="22"/>
      <c r="D326" s="23"/>
      <c r="H326" s="22"/>
      <c r="L326" s="635"/>
      <c r="M326" s="600"/>
      <c r="N326" s="600"/>
      <c r="O326" s="633"/>
      <c r="P326" s="22"/>
      <c r="Q326" s="22"/>
      <c r="R326" s="22"/>
      <c r="S326" s="22"/>
    </row>
    <row r="327" spans="1:19" x14ac:dyDescent="0.25">
      <c r="A327" s="22"/>
      <c r="B327" s="22"/>
      <c r="C327" s="22"/>
      <c r="D327" s="23"/>
      <c r="H327" s="22"/>
      <c r="L327" s="635"/>
      <c r="M327" s="600"/>
      <c r="N327" s="600"/>
      <c r="O327" s="633"/>
      <c r="P327" s="22"/>
      <c r="Q327" s="22"/>
      <c r="R327" s="22"/>
      <c r="S327" s="22"/>
    </row>
    <row r="328" spans="1:19" x14ac:dyDescent="0.25">
      <c r="A328" s="22"/>
      <c r="B328" s="22"/>
      <c r="C328" s="22"/>
      <c r="D328" s="23"/>
      <c r="H328" s="22"/>
      <c r="L328" s="635"/>
      <c r="M328" s="600"/>
      <c r="N328" s="600"/>
      <c r="O328" s="633"/>
      <c r="P328" s="22"/>
      <c r="Q328" s="22"/>
      <c r="R328" s="22"/>
      <c r="S328" s="22"/>
    </row>
    <row r="329" spans="1:19" x14ac:dyDescent="0.25">
      <c r="A329" s="22"/>
      <c r="B329" s="22"/>
      <c r="C329" s="22"/>
      <c r="D329" s="23"/>
      <c r="H329" s="22"/>
      <c r="L329" s="635"/>
      <c r="M329" s="600"/>
      <c r="N329" s="600"/>
      <c r="O329" s="633"/>
      <c r="P329" s="22"/>
      <c r="Q329" s="22"/>
      <c r="R329" s="22"/>
      <c r="S329" s="22"/>
    </row>
    <row r="330" spans="1:19" x14ac:dyDescent="0.25">
      <c r="A330" s="22"/>
      <c r="B330" s="22"/>
      <c r="C330" s="22"/>
      <c r="D330" s="23"/>
      <c r="H330" s="22"/>
      <c r="L330" s="635"/>
      <c r="M330" s="600"/>
      <c r="N330" s="600"/>
      <c r="O330" s="633"/>
      <c r="P330" s="22"/>
      <c r="Q330" s="22"/>
      <c r="R330" s="22"/>
      <c r="S330" s="22"/>
    </row>
    <row r="331" spans="1:19" x14ac:dyDescent="0.25">
      <c r="A331" s="22"/>
      <c r="B331" s="22"/>
      <c r="C331" s="22"/>
      <c r="D331" s="23"/>
      <c r="H331" s="22"/>
      <c r="L331" s="635"/>
      <c r="M331" s="600"/>
      <c r="N331" s="600"/>
      <c r="O331" s="633"/>
      <c r="P331" s="22"/>
      <c r="Q331" s="22"/>
      <c r="R331" s="22"/>
      <c r="S331" s="22"/>
    </row>
    <row r="332" spans="1:19" x14ac:dyDescent="0.25">
      <c r="A332" s="22"/>
      <c r="B332" s="22"/>
      <c r="C332" s="22"/>
      <c r="D332" s="23"/>
      <c r="H332" s="22"/>
      <c r="L332" s="635"/>
      <c r="M332" s="600"/>
      <c r="N332" s="600"/>
      <c r="O332" s="633"/>
      <c r="P332" s="22"/>
      <c r="Q332" s="22"/>
      <c r="R332" s="22"/>
      <c r="S332" s="22"/>
    </row>
    <row r="333" spans="1:19" x14ac:dyDescent="0.25">
      <c r="A333" s="22"/>
      <c r="B333" s="22"/>
      <c r="C333" s="22"/>
      <c r="D333" s="23"/>
      <c r="H333" s="22"/>
      <c r="L333" s="635"/>
      <c r="M333" s="600"/>
      <c r="N333" s="600"/>
      <c r="O333" s="633"/>
      <c r="P333" s="22"/>
      <c r="Q333" s="22"/>
      <c r="R333" s="22"/>
      <c r="S333" s="22"/>
    </row>
    <row r="334" spans="1:19" x14ac:dyDescent="0.25">
      <c r="A334" s="22"/>
      <c r="B334" s="22"/>
      <c r="C334" s="22"/>
      <c r="D334" s="23"/>
      <c r="H334" s="22"/>
      <c r="L334" s="635"/>
      <c r="M334" s="600"/>
      <c r="N334" s="600"/>
      <c r="O334" s="633"/>
      <c r="P334" s="22"/>
      <c r="Q334" s="22"/>
      <c r="R334" s="22"/>
      <c r="S334" s="22"/>
    </row>
    <row r="335" spans="1:19" x14ac:dyDescent="0.25">
      <c r="A335" s="22"/>
      <c r="B335" s="22"/>
      <c r="C335" s="22"/>
      <c r="D335" s="23"/>
      <c r="H335" s="22"/>
      <c r="L335" s="635"/>
      <c r="M335" s="600"/>
      <c r="N335" s="600"/>
      <c r="O335" s="633"/>
      <c r="P335" s="22"/>
      <c r="Q335" s="22"/>
      <c r="R335" s="22"/>
      <c r="S335" s="22"/>
    </row>
    <row r="336" spans="1:19" x14ac:dyDescent="0.25">
      <c r="A336" s="22"/>
      <c r="B336" s="22"/>
      <c r="C336" s="22"/>
      <c r="D336" s="23"/>
      <c r="H336" s="22"/>
      <c r="L336" s="635"/>
      <c r="M336" s="600"/>
      <c r="N336" s="600"/>
      <c r="O336" s="633"/>
      <c r="P336" s="22"/>
      <c r="Q336" s="22"/>
      <c r="R336" s="22"/>
      <c r="S336" s="22"/>
    </row>
    <row r="337" spans="1:19" x14ac:dyDescent="0.25">
      <c r="A337" s="22"/>
      <c r="B337" s="22"/>
      <c r="C337" s="22"/>
      <c r="D337" s="23"/>
      <c r="H337" s="22"/>
      <c r="L337" s="635"/>
      <c r="M337" s="600"/>
      <c r="N337" s="600"/>
      <c r="O337" s="633"/>
      <c r="P337" s="22"/>
      <c r="Q337" s="22"/>
      <c r="R337" s="22"/>
      <c r="S337" s="22"/>
    </row>
    <row r="338" spans="1:19" x14ac:dyDescent="0.25">
      <c r="A338" s="22"/>
      <c r="B338" s="22"/>
      <c r="C338" s="22"/>
      <c r="D338" s="23"/>
      <c r="H338" s="22"/>
      <c r="L338" s="635"/>
      <c r="M338" s="600"/>
      <c r="N338" s="600"/>
      <c r="O338" s="633"/>
      <c r="P338" s="22"/>
      <c r="Q338" s="22"/>
      <c r="R338" s="22"/>
      <c r="S338" s="22"/>
    </row>
    <row r="339" spans="1:19" x14ac:dyDescent="0.25">
      <c r="A339" s="22"/>
      <c r="B339" s="22"/>
      <c r="C339" s="22"/>
      <c r="D339" s="23"/>
      <c r="H339" s="22"/>
      <c r="L339" s="635"/>
      <c r="M339" s="600"/>
      <c r="N339" s="600"/>
      <c r="O339" s="633"/>
      <c r="P339" s="22"/>
      <c r="Q339" s="22"/>
      <c r="R339" s="22"/>
      <c r="S339" s="22"/>
    </row>
    <row r="340" spans="1:19" x14ac:dyDescent="0.25">
      <c r="A340" s="22"/>
      <c r="B340" s="22"/>
      <c r="C340" s="22"/>
      <c r="D340" s="23"/>
      <c r="H340" s="22"/>
      <c r="L340" s="635"/>
      <c r="M340" s="600"/>
      <c r="N340" s="600"/>
      <c r="O340" s="633"/>
      <c r="P340" s="22"/>
      <c r="Q340" s="22"/>
      <c r="R340" s="22"/>
      <c r="S340" s="22"/>
    </row>
    <row r="341" spans="1:19" x14ac:dyDescent="0.25">
      <c r="A341" s="22"/>
      <c r="B341" s="22"/>
      <c r="C341" s="22"/>
      <c r="D341" s="23"/>
      <c r="H341" s="22"/>
      <c r="L341" s="635"/>
      <c r="M341" s="600"/>
      <c r="N341" s="600"/>
      <c r="O341" s="633"/>
      <c r="P341" s="22"/>
      <c r="Q341" s="22"/>
      <c r="R341" s="22"/>
      <c r="S341" s="22"/>
    </row>
    <row r="342" spans="1:19" x14ac:dyDescent="0.25">
      <c r="A342" s="22"/>
      <c r="B342" s="22"/>
      <c r="C342" s="22"/>
      <c r="D342" s="23"/>
      <c r="H342" s="22"/>
      <c r="L342" s="635"/>
      <c r="M342" s="600"/>
      <c r="N342" s="600"/>
      <c r="O342" s="633"/>
      <c r="P342" s="22"/>
      <c r="Q342" s="22"/>
      <c r="R342" s="22"/>
      <c r="S342" s="22"/>
    </row>
    <row r="343" spans="1:19" x14ac:dyDescent="0.25">
      <c r="A343" s="22"/>
      <c r="B343" s="22"/>
      <c r="C343" s="22"/>
      <c r="D343" s="23"/>
      <c r="H343" s="22"/>
      <c r="L343" s="635"/>
      <c r="M343" s="600"/>
      <c r="N343" s="600"/>
      <c r="O343" s="633"/>
      <c r="P343" s="22"/>
      <c r="Q343" s="22"/>
      <c r="R343" s="22"/>
      <c r="S343" s="22"/>
    </row>
    <row r="344" spans="1:19" x14ac:dyDescent="0.25">
      <c r="A344" s="22"/>
      <c r="B344" s="22"/>
      <c r="C344" s="22"/>
      <c r="D344" s="23"/>
      <c r="H344" s="22"/>
      <c r="L344" s="635"/>
      <c r="M344" s="600"/>
      <c r="N344" s="600"/>
      <c r="O344" s="633"/>
      <c r="P344" s="22"/>
      <c r="Q344" s="22"/>
      <c r="R344" s="22"/>
      <c r="S344" s="22"/>
    </row>
    <row r="345" spans="1:19" x14ac:dyDescent="0.25">
      <c r="A345" s="22"/>
      <c r="B345" s="22"/>
      <c r="C345" s="22"/>
      <c r="D345" s="23"/>
      <c r="H345" s="22"/>
      <c r="L345" s="635"/>
      <c r="M345" s="600"/>
      <c r="N345" s="600"/>
      <c r="O345" s="633"/>
      <c r="P345" s="22"/>
      <c r="Q345" s="22"/>
      <c r="R345" s="22"/>
      <c r="S345" s="22"/>
    </row>
    <row r="346" spans="1:19" x14ac:dyDescent="0.25">
      <c r="A346" s="22"/>
      <c r="B346" s="22"/>
      <c r="C346" s="22"/>
      <c r="D346" s="23"/>
      <c r="H346" s="22"/>
      <c r="L346" s="635"/>
      <c r="M346" s="600"/>
      <c r="N346" s="600"/>
      <c r="O346" s="633"/>
      <c r="P346" s="22"/>
      <c r="Q346" s="22"/>
      <c r="R346" s="22"/>
      <c r="S346" s="22"/>
    </row>
    <row r="347" spans="1:19" x14ac:dyDescent="0.25">
      <c r="A347" s="22"/>
      <c r="B347" s="22"/>
      <c r="C347" s="22"/>
      <c r="D347" s="23"/>
      <c r="H347" s="22"/>
      <c r="L347" s="635"/>
      <c r="M347" s="600"/>
      <c r="N347" s="600"/>
      <c r="O347" s="633"/>
      <c r="P347" s="22"/>
      <c r="Q347" s="22"/>
      <c r="R347" s="22"/>
      <c r="S347" s="22"/>
    </row>
    <row r="348" spans="1:19" x14ac:dyDescent="0.25">
      <c r="A348" s="22"/>
      <c r="B348" s="22"/>
      <c r="C348" s="22"/>
      <c r="D348" s="23"/>
      <c r="H348" s="22"/>
      <c r="L348" s="635"/>
      <c r="M348" s="600"/>
      <c r="N348" s="600"/>
      <c r="O348" s="633"/>
      <c r="P348" s="22"/>
      <c r="Q348" s="22"/>
      <c r="R348" s="22"/>
      <c r="S348" s="22"/>
    </row>
    <row r="349" spans="1:19" x14ac:dyDescent="0.25">
      <c r="A349" s="22"/>
      <c r="B349" s="22"/>
      <c r="C349" s="22"/>
      <c r="D349" s="23"/>
      <c r="H349" s="22"/>
      <c r="L349" s="635"/>
      <c r="M349" s="600"/>
      <c r="N349" s="600"/>
      <c r="O349" s="633"/>
      <c r="P349" s="22"/>
      <c r="Q349" s="22"/>
      <c r="R349" s="22"/>
      <c r="S349" s="22"/>
    </row>
    <row r="350" spans="1:19" x14ac:dyDescent="0.25">
      <c r="A350" s="22"/>
      <c r="B350" s="22"/>
      <c r="C350" s="22"/>
      <c r="D350" s="23"/>
      <c r="H350" s="22"/>
      <c r="L350" s="635"/>
      <c r="M350" s="600"/>
      <c r="N350" s="600"/>
      <c r="O350" s="633"/>
      <c r="P350" s="22"/>
      <c r="Q350" s="22"/>
      <c r="R350" s="22"/>
      <c r="S350" s="22"/>
    </row>
    <row r="351" spans="1:19" x14ac:dyDescent="0.25">
      <c r="A351" s="22"/>
      <c r="B351" s="22"/>
      <c r="C351" s="22"/>
      <c r="D351" s="23"/>
      <c r="H351" s="22"/>
      <c r="L351" s="635"/>
      <c r="M351" s="600"/>
      <c r="N351" s="600"/>
      <c r="O351" s="633"/>
      <c r="P351" s="22"/>
      <c r="Q351" s="22"/>
      <c r="R351" s="22"/>
      <c r="S351" s="22"/>
    </row>
    <row r="352" spans="1:19" x14ac:dyDescent="0.25">
      <c r="A352" s="22"/>
      <c r="B352" s="22"/>
      <c r="C352" s="22"/>
      <c r="D352" s="23"/>
      <c r="H352" s="22"/>
      <c r="L352" s="635"/>
      <c r="M352" s="600"/>
      <c r="N352" s="600"/>
      <c r="O352" s="633"/>
      <c r="P352" s="22"/>
      <c r="Q352" s="22"/>
      <c r="R352" s="22"/>
      <c r="S352" s="22"/>
    </row>
    <row r="353" spans="1:19" x14ac:dyDescent="0.25">
      <c r="A353" s="22"/>
      <c r="B353" s="22"/>
      <c r="C353" s="22"/>
      <c r="D353" s="23"/>
      <c r="H353" s="22"/>
      <c r="L353" s="635"/>
      <c r="M353" s="600"/>
      <c r="N353" s="600"/>
      <c r="O353" s="633"/>
      <c r="P353" s="22"/>
      <c r="Q353" s="22"/>
      <c r="R353" s="22"/>
      <c r="S353" s="22"/>
    </row>
    <row r="354" spans="1:19" x14ac:dyDescent="0.25">
      <c r="A354" s="22"/>
      <c r="B354" s="22"/>
      <c r="C354" s="22"/>
      <c r="D354" s="23"/>
      <c r="H354" s="22"/>
      <c r="L354" s="635"/>
      <c r="M354" s="600"/>
      <c r="N354" s="600"/>
      <c r="O354" s="633"/>
      <c r="P354" s="22"/>
      <c r="Q354" s="22"/>
      <c r="R354" s="22"/>
      <c r="S354" s="22"/>
    </row>
    <row r="355" spans="1:19" x14ac:dyDescent="0.25">
      <c r="A355" s="22"/>
      <c r="B355" s="22"/>
      <c r="C355" s="22"/>
      <c r="D355" s="23"/>
      <c r="H355" s="22"/>
      <c r="L355" s="635"/>
      <c r="M355" s="600"/>
      <c r="N355" s="600"/>
      <c r="O355" s="633"/>
      <c r="P355" s="22"/>
      <c r="Q355" s="22"/>
      <c r="R355" s="22"/>
      <c r="S355" s="22"/>
    </row>
    <row r="356" spans="1:19" x14ac:dyDescent="0.25">
      <c r="A356" s="22"/>
      <c r="B356" s="22"/>
      <c r="C356" s="22"/>
      <c r="D356" s="23"/>
      <c r="H356" s="22"/>
      <c r="L356" s="635"/>
      <c r="M356" s="600"/>
      <c r="N356" s="600"/>
      <c r="O356" s="633"/>
      <c r="P356" s="22"/>
      <c r="Q356" s="22"/>
      <c r="R356" s="22"/>
      <c r="S356" s="22"/>
    </row>
    <row r="357" spans="1:19" x14ac:dyDescent="0.25">
      <c r="A357" s="22"/>
      <c r="B357" s="22"/>
      <c r="C357" s="22"/>
      <c r="D357" s="23"/>
      <c r="H357" s="22"/>
      <c r="L357" s="635"/>
      <c r="M357" s="600"/>
      <c r="N357" s="600"/>
      <c r="O357" s="633"/>
      <c r="P357" s="22"/>
      <c r="Q357" s="22"/>
      <c r="R357" s="22"/>
      <c r="S357" s="22"/>
    </row>
    <row r="358" spans="1:19" x14ac:dyDescent="0.25">
      <c r="A358" s="22"/>
      <c r="B358" s="22"/>
      <c r="C358" s="22"/>
      <c r="D358" s="23"/>
      <c r="H358" s="22"/>
      <c r="L358" s="635"/>
      <c r="M358" s="600"/>
      <c r="N358" s="600"/>
      <c r="O358" s="633"/>
      <c r="P358" s="22"/>
      <c r="Q358" s="22"/>
      <c r="R358" s="22"/>
      <c r="S358" s="22"/>
    </row>
    <row r="359" spans="1:19" x14ac:dyDescent="0.25">
      <c r="A359" s="22"/>
      <c r="B359" s="22"/>
      <c r="C359" s="22"/>
      <c r="D359" s="23"/>
      <c r="H359" s="22"/>
      <c r="L359" s="635"/>
      <c r="M359" s="600"/>
      <c r="N359" s="600"/>
      <c r="O359" s="633"/>
      <c r="P359" s="22"/>
      <c r="Q359" s="22"/>
      <c r="R359" s="22"/>
      <c r="S359" s="22"/>
    </row>
    <row r="360" spans="1:19" x14ac:dyDescent="0.25">
      <c r="A360" s="22"/>
      <c r="B360" s="22"/>
      <c r="C360" s="22"/>
      <c r="D360" s="23"/>
      <c r="H360" s="22"/>
      <c r="L360" s="635"/>
      <c r="M360" s="600"/>
      <c r="N360" s="600"/>
      <c r="O360" s="633"/>
      <c r="P360" s="22"/>
      <c r="Q360" s="22"/>
      <c r="R360" s="22"/>
      <c r="S360" s="22"/>
    </row>
    <row r="361" spans="1:19" x14ac:dyDescent="0.25">
      <c r="A361" s="22"/>
      <c r="B361" s="22"/>
      <c r="C361" s="22"/>
      <c r="D361" s="23"/>
      <c r="H361" s="22"/>
      <c r="L361" s="635"/>
      <c r="M361" s="600"/>
      <c r="N361" s="600"/>
      <c r="O361" s="633"/>
      <c r="P361" s="22"/>
      <c r="Q361" s="22"/>
      <c r="R361" s="22"/>
      <c r="S361" s="22"/>
    </row>
    <row r="362" spans="1:19" x14ac:dyDescent="0.25">
      <c r="A362" s="22"/>
      <c r="B362" s="22"/>
      <c r="C362" s="22"/>
      <c r="D362" s="23"/>
      <c r="H362" s="22"/>
      <c r="L362" s="635"/>
      <c r="M362" s="600"/>
      <c r="N362" s="600"/>
      <c r="O362" s="633"/>
      <c r="P362" s="22"/>
      <c r="Q362" s="22"/>
      <c r="R362" s="22"/>
      <c r="S362" s="22"/>
    </row>
    <row r="363" spans="1:19" x14ac:dyDescent="0.25">
      <c r="A363" s="22"/>
      <c r="B363" s="22"/>
      <c r="C363" s="22"/>
      <c r="D363" s="23"/>
      <c r="H363" s="22"/>
      <c r="L363" s="635"/>
      <c r="M363" s="600"/>
      <c r="N363" s="600"/>
      <c r="O363" s="633"/>
      <c r="P363" s="22"/>
      <c r="Q363" s="22"/>
      <c r="R363" s="22"/>
      <c r="S363" s="22"/>
    </row>
    <row r="364" spans="1:19" x14ac:dyDescent="0.25">
      <c r="A364" s="22"/>
      <c r="B364" s="22"/>
      <c r="C364" s="22"/>
      <c r="D364" s="23"/>
      <c r="H364" s="22"/>
      <c r="L364" s="635"/>
      <c r="M364" s="600"/>
      <c r="N364" s="600"/>
      <c r="O364" s="633"/>
      <c r="P364" s="22"/>
      <c r="Q364" s="22"/>
      <c r="R364" s="22"/>
      <c r="S364" s="22"/>
    </row>
    <row r="365" spans="1:19" x14ac:dyDescent="0.25">
      <c r="A365" s="22"/>
      <c r="B365" s="22"/>
      <c r="C365" s="22"/>
      <c r="D365" s="23"/>
      <c r="H365" s="22"/>
      <c r="L365" s="635"/>
      <c r="M365" s="600"/>
      <c r="N365" s="600"/>
      <c r="O365" s="633"/>
      <c r="P365" s="22"/>
      <c r="Q365" s="22"/>
      <c r="R365" s="22"/>
      <c r="S365" s="22"/>
    </row>
    <row r="366" spans="1:19" x14ac:dyDescent="0.25">
      <c r="A366" s="22"/>
      <c r="B366" s="22"/>
      <c r="C366" s="22"/>
      <c r="D366" s="23"/>
      <c r="H366" s="22"/>
      <c r="L366" s="635"/>
      <c r="M366" s="600"/>
      <c r="N366" s="600"/>
      <c r="O366" s="633"/>
      <c r="P366" s="22"/>
      <c r="Q366" s="22"/>
      <c r="R366" s="22"/>
      <c r="S366" s="22"/>
    </row>
    <row r="367" spans="1:19" x14ac:dyDescent="0.25">
      <c r="A367" s="22"/>
      <c r="B367" s="22"/>
      <c r="C367" s="22"/>
      <c r="D367" s="23"/>
      <c r="H367" s="22"/>
      <c r="L367" s="635"/>
      <c r="M367" s="600"/>
      <c r="N367" s="600"/>
      <c r="O367" s="633"/>
      <c r="P367" s="22"/>
      <c r="Q367" s="22"/>
      <c r="R367" s="22"/>
      <c r="S367" s="22"/>
    </row>
    <row r="368" spans="1:19" x14ac:dyDescent="0.25">
      <c r="A368" s="22"/>
      <c r="B368" s="22"/>
      <c r="C368" s="22"/>
      <c r="D368" s="23"/>
      <c r="H368" s="22"/>
      <c r="L368" s="635"/>
      <c r="M368" s="600"/>
      <c r="N368" s="600"/>
      <c r="O368" s="633"/>
      <c r="P368" s="22"/>
      <c r="Q368" s="22"/>
      <c r="R368" s="22"/>
      <c r="S368" s="22"/>
    </row>
    <row r="369" spans="1:19" x14ac:dyDescent="0.25">
      <c r="A369" s="22"/>
      <c r="B369" s="22"/>
      <c r="C369" s="22"/>
      <c r="D369" s="23"/>
      <c r="H369" s="22"/>
      <c r="L369" s="635"/>
      <c r="M369" s="600"/>
      <c r="N369" s="600"/>
      <c r="O369" s="633"/>
      <c r="P369" s="22"/>
      <c r="Q369" s="22"/>
      <c r="R369" s="22"/>
      <c r="S369" s="22"/>
    </row>
    <row r="370" spans="1:19" x14ac:dyDescent="0.25">
      <c r="A370" s="22"/>
      <c r="B370" s="22"/>
      <c r="C370" s="22"/>
      <c r="D370" s="23"/>
      <c r="H370" s="22"/>
      <c r="L370" s="635"/>
      <c r="M370" s="600"/>
      <c r="N370" s="600"/>
      <c r="O370" s="633"/>
      <c r="P370" s="22"/>
      <c r="Q370" s="22"/>
      <c r="R370" s="22"/>
      <c r="S370" s="22"/>
    </row>
    <row r="371" spans="1:19" x14ac:dyDescent="0.25">
      <c r="A371" s="22"/>
      <c r="B371" s="22"/>
      <c r="C371" s="22"/>
      <c r="D371" s="23"/>
      <c r="H371" s="22"/>
      <c r="L371" s="635"/>
      <c r="M371" s="600"/>
      <c r="N371" s="600"/>
      <c r="O371" s="633"/>
      <c r="P371" s="22"/>
      <c r="Q371" s="22"/>
      <c r="R371" s="22"/>
      <c r="S371" s="22"/>
    </row>
    <row r="372" spans="1:19" x14ac:dyDescent="0.25">
      <c r="A372" s="22"/>
      <c r="B372" s="22"/>
      <c r="C372" s="22"/>
      <c r="D372" s="23"/>
      <c r="H372" s="22"/>
      <c r="L372" s="635"/>
      <c r="M372" s="600"/>
      <c r="N372" s="600"/>
      <c r="O372" s="633"/>
      <c r="P372" s="22"/>
      <c r="Q372" s="22"/>
      <c r="R372" s="22"/>
      <c r="S372" s="22"/>
    </row>
    <row r="373" spans="1:19" x14ac:dyDescent="0.25">
      <c r="A373" s="22"/>
      <c r="B373" s="22"/>
      <c r="C373" s="22"/>
      <c r="D373" s="23"/>
      <c r="H373" s="22"/>
      <c r="L373" s="635"/>
      <c r="M373" s="600"/>
      <c r="N373" s="600"/>
      <c r="O373" s="633"/>
      <c r="P373" s="22"/>
      <c r="Q373" s="22"/>
      <c r="R373" s="22"/>
      <c r="S373" s="22"/>
    </row>
    <row r="374" spans="1:19" x14ac:dyDescent="0.25">
      <c r="A374" s="22"/>
      <c r="B374" s="22"/>
      <c r="C374" s="22"/>
      <c r="D374" s="23"/>
      <c r="H374" s="22"/>
      <c r="L374" s="635"/>
      <c r="M374" s="600"/>
      <c r="N374" s="600"/>
      <c r="O374" s="633"/>
      <c r="P374" s="22"/>
      <c r="Q374" s="22"/>
      <c r="R374" s="22"/>
      <c r="S374" s="22"/>
    </row>
    <row r="375" spans="1:19" x14ac:dyDescent="0.25">
      <c r="A375" s="22"/>
      <c r="B375" s="22"/>
      <c r="C375" s="22"/>
      <c r="D375" s="23"/>
      <c r="H375" s="22"/>
      <c r="L375" s="635"/>
      <c r="M375" s="600"/>
      <c r="N375" s="600"/>
      <c r="O375" s="633"/>
      <c r="P375" s="22"/>
      <c r="Q375" s="22"/>
      <c r="R375" s="22"/>
      <c r="S375" s="22"/>
    </row>
    <row r="376" spans="1:19" x14ac:dyDescent="0.25">
      <c r="A376" s="22"/>
      <c r="B376" s="22"/>
      <c r="C376" s="22"/>
      <c r="D376" s="23"/>
      <c r="H376" s="22"/>
      <c r="L376" s="635"/>
      <c r="M376" s="600"/>
      <c r="N376" s="600"/>
      <c r="O376" s="633"/>
      <c r="P376" s="22"/>
      <c r="Q376" s="22"/>
      <c r="R376" s="22"/>
      <c r="S376" s="22"/>
    </row>
    <row r="377" spans="1:19" x14ac:dyDescent="0.25">
      <c r="A377" s="22"/>
      <c r="B377" s="22"/>
      <c r="C377" s="22"/>
      <c r="D377" s="23"/>
      <c r="H377" s="22"/>
      <c r="L377" s="635"/>
      <c r="M377" s="600"/>
      <c r="N377" s="600"/>
      <c r="O377" s="633"/>
      <c r="P377" s="22"/>
      <c r="Q377" s="22"/>
      <c r="R377" s="22"/>
      <c r="S377" s="22"/>
    </row>
    <row r="378" spans="1:19" x14ac:dyDescent="0.25">
      <c r="A378" s="22"/>
      <c r="B378" s="22"/>
      <c r="C378" s="22"/>
      <c r="D378" s="23"/>
      <c r="H378" s="22"/>
      <c r="L378" s="635"/>
      <c r="M378" s="600"/>
      <c r="N378" s="600"/>
      <c r="O378" s="633"/>
      <c r="P378" s="22"/>
      <c r="Q378" s="22"/>
      <c r="R378" s="22"/>
      <c r="S378" s="22"/>
    </row>
    <row r="379" spans="1:19" x14ac:dyDescent="0.25">
      <c r="A379" s="22"/>
      <c r="B379" s="22"/>
      <c r="C379" s="22"/>
      <c r="D379" s="23"/>
      <c r="H379" s="22"/>
      <c r="L379" s="635"/>
      <c r="M379" s="600"/>
      <c r="N379" s="600"/>
      <c r="O379" s="633"/>
      <c r="P379" s="22"/>
      <c r="Q379" s="22"/>
      <c r="R379" s="22"/>
      <c r="S379" s="22"/>
    </row>
    <row r="380" spans="1:19" x14ac:dyDescent="0.25">
      <c r="A380" s="22"/>
      <c r="B380" s="22"/>
      <c r="C380" s="22"/>
      <c r="D380" s="23"/>
      <c r="H380" s="22"/>
      <c r="L380" s="635"/>
      <c r="M380" s="600"/>
      <c r="N380" s="600"/>
      <c r="O380" s="633"/>
      <c r="P380" s="22"/>
      <c r="Q380" s="22"/>
      <c r="R380" s="22"/>
      <c r="S380" s="22"/>
    </row>
    <row r="381" spans="1:19" x14ac:dyDescent="0.25">
      <c r="A381" s="22"/>
      <c r="B381" s="22"/>
      <c r="C381" s="22"/>
      <c r="D381" s="23"/>
      <c r="H381" s="22"/>
      <c r="L381" s="635"/>
      <c r="M381" s="600"/>
      <c r="N381" s="600"/>
      <c r="O381" s="633"/>
      <c r="P381" s="22"/>
      <c r="Q381" s="22"/>
      <c r="R381" s="22"/>
      <c r="S381" s="22"/>
    </row>
    <row r="382" spans="1:19" x14ac:dyDescent="0.25">
      <c r="A382" s="22"/>
      <c r="B382" s="22"/>
      <c r="C382" s="22"/>
      <c r="D382" s="23"/>
      <c r="H382" s="22"/>
      <c r="L382" s="635"/>
      <c r="M382" s="600"/>
      <c r="N382" s="600"/>
      <c r="O382" s="633"/>
      <c r="P382" s="22"/>
      <c r="Q382" s="22"/>
      <c r="R382" s="22"/>
      <c r="S382" s="22"/>
    </row>
    <row r="383" spans="1:19" x14ac:dyDescent="0.25">
      <c r="A383" s="22"/>
      <c r="B383" s="22"/>
      <c r="C383" s="22"/>
      <c r="D383" s="23"/>
      <c r="H383" s="22"/>
      <c r="L383" s="635"/>
      <c r="M383" s="600"/>
      <c r="N383" s="600"/>
      <c r="O383" s="633"/>
      <c r="P383" s="22"/>
      <c r="Q383" s="22"/>
      <c r="R383" s="22"/>
      <c r="S383" s="22"/>
    </row>
    <row r="384" spans="1:19" x14ac:dyDescent="0.25">
      <c r="A384" s="22"/>
      <c r="B384" s="22"/>
      <c r="C384" s="22"/>
      <c r="D384" s="23"/>
      <c r="H384" s="22"/>
      <c r="L384" s="635"/>
      <c r="M384" s="600"/>
      <c r="N384" s="600"/>
      <c r="O384" s="633"/>
      <c r="P384" s="22"/>
      <c r="Q384" s="22"/>
      <c r="R384" s="22"/>
      <c r="S384" s="22"/>
    </row>
    <row r="385" spans="1:19" x14ac:dyDescent="0.25">
      <c r="A385" s="22"/>
      <c r="B385" s="22"/>
      <c r="C385" s="22"/>
      <c r="D385" s="23"/>
      <c r="H385" s="22"/>
      <c r="L385" s="635"/>
      <c r="M385" s="600"/>
      <c r="N385" s="600"/>
      <c r="O385" s="633"/>
      <c r="P385" s="22"/>
      <c r="Q385" s="22"/>
      <c r="R385" s="22"/>
      <c r="S385" s="22"/>
    </row>
    <row r="386" spans="1:19" x14ac:dyDescent="0.25">
      <c r="A386" s="22"/>
      <c r="B386" s="22"/>
      <c r="C386" s="22"/>
      <c r="D386" s="23"/>
      <c r="H386" s="22"/>
      <c r="L386" s="635"/>
      <c r="M386" s="600"/>
      <c r="N386" s="600"/>
      <c r="O386" s="633"/>
      <c r="P386" s="22"/>
      <c r="Q386" s="22"/>
      <c r="R386" s="22"/>
      <c r="S386" s="22"/>
    </row>
    <row r="387" spans="1:19" x14ac:dyDescent="0.25">
      <c r="A387" s="22"/>
      <c r="B387" s="22"/>
      <c r="C387" s="22"/>
      <c r="D387" s="23"/>
      <c r="H387" s="22"/>
      <c r="L387" s="635"/>
      <c r="M387" s="600"/>
      <c r="N387" s="600"/>
      <c r="O387" s="633"/>
      <c r="P387" s="22"/>
      <c r="Q387" s="22"/>
      <c r="R387" s="22"/>
      <c r="S387" s="22"/>
    </row>
    <row r="388" spans="1:19" x14ac:dyDescent="0.25">
      <c r="A388" s="22"/>
      <c r="B388" s="22"/>
      <c r="C388" s="22"/>
      <c r="D388" s="23"/>
      <c r="H388" s="22"/>
      <c r="L388" s="635"/>
      <c r="M388" s="600"/>
      <c r="N388" s="600"/>
      <c r="O388" s="633"/>
      <c r="P388" s="22"/>
      <c r="Q388" s="22"/>
      <c r="R388" s="22"/>
      <c r="S388" s="22"/>
    </row>
    <row r="389" spans="1:19" x14ac:dyDescent="0.25">
      <c r="A389" s="22"/>
      <c r="B389" s="22"/>
      <c r="C389" s="22"/>
      <c r="D389" s="23"/>
      <c r="H389" s="22"/>
      <c r="L389" s="635"/>
      <c r="M389" s="600"/>
      <c r="N389" s="600"/>
      <c r="O389" s="633"/>
      <c r="P389" s="22"/>
      <c r="Q389" s="22"/>
      <c r="R389" s="22"/>
      <c r="S389" s="22"/>
    </row>
    <row r="390" spans="1:19" x14ac:dyDescent="0.25">
      <c r="A390" s="22"/>
      <c r="B390" s="22"/>
      <c r="C390" s="22"/>
      <c r="D390" s="23"/>
      <c r="H390" s="22"/>
      <c r="L390" s="635"/>
      <c r="M390" s="600"/>
      <c r="N390" s="600"/>
      <c r="O390" s="633"/>
      <c r="P390" s="22"/>
      <c r="Q390" s="22"/>
      <c r="R390" s="22"/>
      <c r="S390" s="22"/>
    </row>
    <row r="391" spans="1:19" x14ac:dyDescent="0.25">
      <c r="A391" s="22"/>
      <c r="B391" s="22"/>
      <c r="C391" s="22"/>
      <c r="D391" s="23"/>
      <c r="H391" s="22"/>
      <c r="L391" s="635"/>
      <c r="M391" s="600"/>
      <c r="N391" s="600"/>
      <c r="O391" s="633"/>
      <c r="P391" s="22"/>
      <c r="Q391" s="22"/>
      <c r="R391" s="22"/>
      <c r="S391" s="22"/>
    </row>
    <row r="392" spans="1:19" x14ac:dyDescent="0.25">
      <c r="A392" s="22"/>
      <c r="B392" s="22"/>
      <c r="C392" s="22"/>
      <c r="D392" s="23"/>
      <c r="H392" s="22"/>
      <c r="L392" s="635"/>
      <c r="M392" s="600"/>
      <c r="N392" s="600"/>
      <c r="O392" s="633"/>
      <c r="P392" s="22"/>
      <c r="Q392" s="22"/>
      <c r="R392" s="22"/>
      <c r="S392" s="22"/>
    </row>
    <row r="393" spans="1:19" x14ac:dyDescent="0.25">
      <c r="A393" s="22"/>
      <c r="B393" s="22"/>
      <c r="C393" s="22"/>
      <c r="D393" s="23"/>
      <c r="H393" s="22"/>
      <c r="L393" s="635"/>
      <c r="M393" s="600"/>
      <c r="N393" s="600"/>
      <c r="O393" s="633"/>
      <c r="P393" s="22"/>
      <c r="Q393" s="22"/>
      <c r="R393" s="22"/>
      <c r="S393" s="22"/>
    </row>
    <row r="394" spans="1:19" x14ac:dyDescent="0.25">
      <c r="A394" s="22"/>
      <c r="B394" s="22"/>
      <c r="C394" s="22"/>
      <c r="D394" s="23"/>
      <c r="H394" s="22"/>
      <c r="L394" s="635"/>
      <c r="M394" s="600"/>
      <c r="N394" s="600"/>
      <c r="O394" s="633"/>
      <c r="P394" s="22"/>
      <c r="Q394" s="22"/>
      <c r="R394" s="22"/>
      <c r="S394" s="22"/>
    </row>
    <row r="395" spans="1:19" x14ac:dyDescent="0.25">
      <c r="A395" s="22"/>
      <c r="B395" s="22"/>
      <c r="C395" s="22"/>
      <c r="D395" s="23"/>
      <c r="H395" s="22"/>
      <c r="L395" s="635"/>
      <c r="M395" s="600"/>
      <c r="N395" s="600"/>
      <c r="O395" s="633"/>
      <c r="P395" s="22"/>
      <c r="Q395" s="22"/>
      <c r="R395" s="22"/>
      <c r="S395" s="22"/>
    </row>
    <row r="396" spans="1:19" x14ac:dyDescent="0.25">
      <c r="A396" s="22"/>
      <c r="B396" s="22"/>
      <c r="C396" s="22"/>
      <c r="D396" s="23"/>
      <c r="H396" s="22"/>
      <c r="L396" s="635"/>
      <c r="M396" s="600"/>
      <c r="N396" s="600"/>
      <c r="O396" s="633"/>
      <c r="P396" s="22"/>
      <c r="Q396" s="22"/>
      <c r="R396" s="22"/>
      <c r="S396" s="22"/>
    </row>
    <row r="397" spans="1:19" x14ac:dyDescent="0.25">
      <c r="A397" s="22"/>
      <c r="B397" s="22"/>
      <c r="C397" s="22"/>
      <c r="D397" s="23"/>
      <c r="H397" s="22"/>
      <c r="L397" s="635"/>
      <c r="M397" s="600"/>
      <c r="N397" s="600"/>
      <c r="O397" s="633"/>
      <c r="P397" s="22"/>
      <c r="Q397" s="22"/>
      <c r="R397" s="22"/>
      <c r="S397" s="22"/>
    </row>
    <row r="398" spans="1:19" x14ac:dyDescent="0.25">
      <c r="A398" s="22"/>
      <c r="B398" s="22"/>
      <c r="C398" s="22"/>
      <c r="D398" s="23"/>
      <c r="H398" s="22"/>
      <c r="L398" s="635"/>
      <c r="M398" s="600"/>
      <c r="N398" s="600"/>
      <c r="O398" s="633"/>
      <c r="P398" s="22"/>
      <c r="Q398" s="22"/>
      <c r="R398" s="22"/>
      <c r="S398" s="22"/>
    </row>
    <row r="399" spans="1:19" x14ac:dyDescent="0.25">
      <c r="A399" s="22"/>
      <c r="B399" s="22"/>
      <c r="C399" s="22"/>
      <c r="D399" s="23"/>
      <c r="H399" s="22"/>
      <c r="L399" s="635"/>
      <c r="M399" s="600"/>
      <c r="N399" s="600"/>
      <c r="O399" s="633"/>
      <c r="P399" s="22"/>
      <c r="Q399" s="22"/>
      <c r="R399" s="22"/>
      <c r="S399" s="22"/>
    </row>
    <row r="400" spans="1:19" x14ac:dyDescent="0.25">
      <c r="A400" s="22"/>
      <c r="B400" s="22"/>
      <c r="C400" s="22"/>
      <c r="D400" s="23"/>
      <c r="H400" s="22"/>
      <c r="L400" s="635"/>
      <c r="M400" s="600"/>
      <c r="N400" s="600"/>
      <c r="O400" s="633"/>
      <c r="P400" s="22"/>
      <c r="Q400" s="22"/>
      <c r="R400" s="22"/>
      <c r="S400" s="22"/>
    </row>
    <row r="401" spans="1:19" x14ac:dyDescent="0.25">
      <c r="A401" s="22"/>
      <c r="B401" s="22"/>
      <c r="C401" s="22"/>
      <c r="D401" s="23"/>
      <c r="H401" s="22"/>
      <c r="L401" s="635"/>
      <c r="M401" s="600"/>
      <c r="N401" s="600"/>
      <c r="O401" s="633"/>
      <c r="P401" s="22"/>
      <c r="Q401" s="22"/>
      <c r="R401" s="22"/>
      <c r="S401" s="22"/>
    </row>
    <row r="402" spans="1:19" x14ac:dyDescent="0.25">
      <c r="A402" s="22"/>
      <c r="B402" s="22"/>
      <c r="C402" s="22"/>
      <c r="D402" s="23"/>
      <c r="H402" s="22"/>
      <c r="L402" s="635"/>
      <c r="M402" s="600"/>
      <c r="N402" s="600"/>
      <c r="O402" s="633"/>
      <c r="P402" s="22"/>
      <c r="Q402" s="22"/>
      <c r="R402" s="22"/>
      <c r="S402" s="22"/>
    </row>
    <row r="403" spans="1:19" x14ac:dyDescent="0.25">
      <c r="A403" s="22"/>
      <c r="B403" s="22"/>
      <c r="C403" s="22"/>
      <c r="D403" s="23"/>
      <c r="H403" s="22"/>
      <c r="L403" s="635"/>
      <c r="M403" s="600"/>
      <c r="N403" s="600"/>
      <c r="O403" s="633"/>
      <c r="P403" s="22"/>
      <c r="Q403" s="22"/>
      <c r="R403" s="22"/>
      <c r="S403" s="22"/>
    </row>
    <row r="404" spans="1:19" x14ac:dyDescent="0.25">
      <c r="A404" s="22"/>
      <c r="B404" s="22"/>
      <c r="C404" s="22"/>
      <c r="D404" s="23"/>
      <c r="H404" s="22"/>
      <c r="L404" s="635"/>
      <c r="M404" s="600"/>
      <c r="N404" s="600"/>
      <c r="O404" s="633"/>
      <c r="P404" s="22"/>
      <c r="Q404" s="22"/>
      <c r="R404" s="22"/>
      <c r="S404" s="22"/>
    </row>
    <row r="405" spans="1:19" x14ac:dyDescent="0.25">
      <c r="A405" s="22"/>
      <c r="B405" s="22"/>
      <c r="C405" s="22"/>
      <c r="D405" s="23"/>
      <c r="H405" s="22"/>
      <c r="L405" s="635"/>
      <c r="M405" s="600"/>
      <c r="N405" s="600"/>
      <c r="O405" s="633"/>
      <c r="P405" s="22"/>
      <c r="Q405" s="22"/>
      <c r="R405" s="22"/>
      <c r="S405" s="22"/>
    </row>
    <row r="406" spans="1:19" x14ac:dyDescent="0.25">
      <c r="A406" s="22"/>
      <c r="B406" s="22"/>
      <c r="C406" s="22"/>
      <c r="D406" s="23"/>
      <c r="H406" s="22"/>
      <c r="L406" s="635"/>
      <c r="M406" s="600"/>
      <c r="N406" s="600"/>
      <c r="O406" s="633"/>
      <c r="P406" s="22"/>
      <c r="Q406" s="22"/>
      <c r="R406" s="22"/>
      <c r="S406" s="22"/>
    </row>
    <row r="407" spans="1:19" x14ac:dyDescent="0.25">
      <c r="A407" s="22"/>
      <c r="B407" s="22"/>
      <c r="C407" s="22"/>
      <c r="D407" s="23"/>
      <c r="H407" s="22"/>
      <c r="L407" s="635"/>
      <c r="M407" s="600"/>
      <c r="N407" s="600"/>
      <c r="O407" s="633"/>
      <c r="P407" s="22"/>
      <c r="Q407" s="22"/>
      <c r="R407" s="22"/>
      <c r="S407" s="22"/>
    </row>
    <row r="408" spans="1:19" x14ac:dyDescent="0.25">
      <c r="A408" s="22"/>
      <c r="B408" s="22"/>
      <c r="C408" s="22"/>
      <c r="D408" s="23"/>
      <c r="H408" s="22"/>
      <c r="L408" s="635"/>
      <c r="M408" s="600"/>
      <c r="N408" s="600"/>
      <c r="O408" s="633"/>
      <c r="P408" s="22"/>
      <c r="Q408" s="22"/>
      <c r="R408" s="22"/>
      <c r="S408" s="22"/>
    </row>
    <row r="409" spans="1:19" x14ac:dyDescent="0.25">
      <c r="A409" s="22"/>
      <c r="B409" s="22"/>
      <c r="C409" s="22"/>
      <c r="D409" s="23"/>
      <c r="H409" s="22"/>
      <c r="L409" s="635"/>
      <c r="M409" s="600"/>
      <c r="N409" s="600"/>
      <c r="O409" s="633"/>
      <c r="P409" s="22"/>
      <c r="Q409" s="22"/>
      <c r="R409" s="22"/>
      <c r="S409" s="22"/>
    </row>
    <row r="410" spans="1:19" x14ac:dyDescent="0.25">
      <c r="A410" s="22"/>
      <c r="B410" s="22"/>
      <c r="C410" s="22"/>
      <c r="D410" s="23"/>
      <c r="H410" s="22"/>
      <c r="L410" s="635"/>
      <c r="M410" s="600"/>
      <c r="N410" s="600"/>
      <c r="O410" s="633"/>
      <c r="P410" s="22"/>
      <c r="Q410" s="22"/>
      <c r="R410" s="22"/>
      <c r="S410" s="22"/>
    </row>
    <row r="411" spans="1:19" x14ac:dyDescent="0.25">
      <c r="A411" s="22"/>
      <c r="B411" s="22"/>
      <c r="C411" s="22"/>
      <c r="D411" s="23"/>
      <c r="H411" s="22"/>
      <c r="L411" s="635"/>
      <c r="M411" s="600"/>
      <c r="N411" s="600"/>
      <c r="O411" s="633"/>
      <c r="P411" s="22"/>
      <c r="Q411" s="22"/>
      <c r="R411" s="22"/>
      <c r="S411" s="22"/>
    </row>
    <row r="412" spans="1:19" x14ac:dyDescent="0.25">
      <c r="A412" s="22"/>
      <c r="B412" s="22"/>
      <c r="C412" s="22"/>
      <c r="D412" s="23"/>
      <c r="H412" s="22"/>
      <c r="L412" s="635"/>
      <c r="M412" s="600"/>
      <c r="N412" s="600"/>
      <c r="O412" s="633"/>
      <c r="P412" s="22"/>
      <c r="Q412" s="22"/>
      <c r="R412" s="22"/>
      <c r="S412" s="22"/>
    </row>
    <row r="413" spans="1:19" x14ac:dyDescent="0.25">
      <c r="A413" s="22"/>
      <c r="B413" s="22"/>
      <c r="C413" s="22"/>
      <c r="D413" s="23"/>
      <c r="H413" s="22"/>
      <c r="L413" s="635"/>
      <c r="M413" s="600"/>
      <c r="N413" s="600"/>
      <c r="O413" s="633"/>
      <c r="P413" s="22"/>
      <c r="Q413" s="22"/>
      <c r="R413" s="22"/>
      <c r="S413" s="22"/>
    </row>
    <row r="414" spans="1:19" x14ac:dyDescent="0.25">
      <c r="A414" s="22"/>
      <c r="B414" s="22"/>
      <c r="C414" s="22"/>
      <c r="D414" s="23"/>
      <c r="H414" s="22"/>
      <c r="L414" s="635"/>
      <c r="M414" s="600"/>
      <c r="N414" s="600"/>
      <c r="O414" s="633"/>
      <c r="P414" s="22"/>
      <c r="Q414" s="22"/>
      <c r="R414" s="22"/>
      <c r="S414" s="22"/>
    </row>
    <row r="415" spans="1:19" x14ac:dyDescent="0.25">
      <c r="A415" s="22"/>
      <c r="B415" s="22"/>
      <c r="C415" s="22"/>
      <c r="D415" s="23"/>
      <c r="H415" s="22"/>
      <c r="L415" s="635"/>
      <c r="M415" s="600"/>
      <c r="N415" s="600"/>
      <c r="O415" s="633"/>
      <c r="P415" s="22"/>
      <c r="Q415" s="22"/>
      <c r="R415" s="22"/>
      <c r="S415" s="22"/>
    </row>
    <row r="416" spans="1:19" x14ac:dyDescent="0.25">
      <c r="A416" s="22"/>
      <c r="B416" s="22"/>
      <c r="C416" s="22"/>
      <c r="D416" s="23"/>
      <c r="H416" s="22"/>
      <c r="L416" s="635"/>
      <c r="M416" s="600"/>
      <c r="N416" s="600"/>
      <c r="O416" s="633"/>
      <c r="P416" s="22"/>
      <c r="Q416" s="22"/>
      <c r="R416" s="22"/>
      <c r="S416" s="22"/>
    </row>
    <row r="417" spans="1:19" x14ac:dyDescent="0.25">
      <c r="A417" s="22"/>
      <c r="B417" s="22"/>
      <c r="C417" s="22"/>
      <c r="D417" s="23"/>
      <c r="H417" s="22"/>
      <c r="L417" s="635"/>
      <c r="M417" s="600"/>
      <c r="N417" s="600"/>
      <c r="O417" s="633"/>
      <c r="P417" s="22"/>
      <c r="Q417" s="22"/>
      <c r="R417" s="22"/>
      <c r="S417" s="22"/>
    </row>
    <row r="418" spans="1:19" x14ac:dyDescent="0.25">
      <c r="A418" s="22"/>
      <c r="B418" s="22"/>
      <c r="C418" s="22"/>
      <c r="D418" s="23"/>
      <c r="H418" s="22"/>
      <c r="L418" s="635"/>
      <c r="M418" s="600"/>
      <c r="N418" s="600"/>
      <c r="O418" s="633"/>
      <c r="P418" s="22"/>
      <c r="Q418" s="22"/>
      <c r="R418" s="22"/>
      <c r="S418" s="22"/>
    </row>
    <row r="419" spans="1:19" x14ac:dyDescent="0.25">
      <c r="A419" s="22"/>
      <c r="B419" s="22"/>
      <c r="C419" s="22"/>
      <c r="D419" s="23"/>
      <c r="H419" s="22"/>
      <c r="L419" s="635"/>
      <c r="M419" s="600"/>
      <c r="N419" s="600"/>
      <c r="O419" s="633"/>
      <c r="P419" s="22"/>
      <c r="Q419" s="22"/>
      <c r="R419" s="22"/>
      <c r="S419" s="22"/>
    </row>
    <row r="420" spans="1:19" x14ac:dyDescent="0.25">
      <c r="A420" s="22"/>
      <c r="B420" s="22"/>
      <c r="C420" s="22"/>
      <c r="D420" s="23"/>
      <c r="H420" s="22"/>
      <c r="L420" s="635"/>
      <c r="M420" s="600"/>
      <c r="N420" s="600"/>
      <c r="O420" s="633"/>
      <c r="P420" s="22"/>
      <c r="Q420" s="22"/>
      <c r="R420" s="22"/>
      <c r="S420" s="22"/>
    </row>
    <row r="421" spans="1:19" x14ac:dyDescent="0.25">
      <c r="A421" s="22"/>
      <c r="B421" s="22"/>
      <c r="C421" s="22"/>
      <c r="D421" s="23"/>
      <c r="H421" s="22"/>
      <c r="L421" s="635"/>
      <c r="M421" s="600"/>
      <c r="N421" s="600"/>
      <c r="O421" s="633"/>
      <c r="P421" s="22"/>
      <c r="Q421" s="22"/>
      <c r="R421" s="22"/>
      <c r="S421" s="22"/>
    </row>
    <row r="422" spans="1:19" x14ac:dyDescent="0.25">
      <c r="A422" s="22"/>
      <c r="B422" s="22"/>
      <c r="C422" s="22"/>
      <c r="D422" s="23"/>
      <c r="H422" s="22"/>
      <c r="L422" s="635"/>
      <c r="M422" s="600"/>
      <c r="N422" s="600"/>
      <c r="O422" s="633"/>
      <c r="P422" s="22"/>
      <c r="Q422" s="22"/>
      <c r="R422" s="22"/>
      <c r="S422" s="22"/>
    </row>
    <row r="423" spans="1:19" x14ac:dyDescent="0.25">
      <c r="A423" s="22"/>
      <c r="B423" s="22"/>
      <c r="C423" s="22"/>
      <c r="D423" s="23"/>
      <c r="H423" s="22"/>
      <c r="L423" s="635"/>
      <c r="M423" s="600"/>
      <c r="N423" s="600"/>
      <c r="O423" s="633"/>
      <c r="P423" s="22"/>
      <c r="Q423" s="22"/>
      <c r="R423" s="22"/>
      <c r="S423" s="22"/>
    </row>
    <row r="424" spans="1:19" x14ac:dyDescent="0.25">
      <c r="A424" s="22"/>
      <c r="B424" s="22"/>
      <c r="C424" s="22"/>
      <c r="D424" s="23"/>
      <c r="H424" s="22"/>
      <c r="L424" s="635"/>
      <c r="M424" s="600"/>
      <c r="N424" s="600"/>
      <c r="O424" s="633"/>
      <c r="P424" s="22"/>
      <c r="Q424" s="22"/>
      <c r="R424" s="22"/>
      <c r="S424" s="22"/>
    </row>
    <row r="425" spans="1:19" x14ac:dyDescent="0.25">
      <c r="A425" s="22"/>
      <c r="B425" s="22"/>
      <c r="C425" s="22"/>
      <c r="D425" s="23"/>
      <c r="H425" s="22"/>
      <c r="L425" s="22"/>
      <c r="P425" s="22"/>
      <c r="Q425" s="22"/>
      <c r="R425" s="22"/>
      <c r="S425" s="22"/>
    </row>
    <row r="426" spans="1:19" x14ac:dyDescent="0.25">
      <c r="A426" s="22"/>
      <c r="B426" s="22"/>
      <c r="C426" s="22"/>
      <c r="D426" s="23"/>
      <c r="H426" s="22"/>
      <c r="L426" s="22"/>
      <c r="P426" s="22"/>
      <c r="Q426" s="22"/>
      <c r="R426" s="22"/>
      <c r="S426" s="22"/>
    </row>
    <row r="427" spans="1:19" x14ac:dyDescent="0.25">
      <c r="A427" s="22"/>
      <c r="B427" s="22"/>
      <c r="C427" s="22"/>
      <c r="D427" s="23"/>
      <c r="H427" s="22"/>
      <c r="L427" s="22"/>
      <c r="P427" s="22"/>
      <c r="Q427" s="22"/>
      <c r="R427" s="22"/>
      <c r="S427" s="22"/>
    </row>
    <row r="428" spans="1:19" x14ac:dyDescent="0.25">
      <c r="A428" s="22"/>
      <c r="B428" s="22"/>
      <c r="C428" s="22"/>
      <c r="D428" s="23"/>
      <c r="H428" s="22"/>
      <c r="L428" s="22"/>
      <c r="P428" s="22"/>
      <c r="Q428" s="22"/>
      <c r="R428" s="22"/>
      <c r="S428" s="22"/>
    </row>
    <row r="429" spans="1:19" x14ac:dyDescent="0.25">
      <c r="A429" s="22"/>
      <c r="B429" s="22"/>
      <c r="C429" s="22"/>
      <c r="D429" s="23"/>
      <c r="H429" s="22"/>
      <c r="L429" s="22"/>
      <c r="P429" s="22"/>
      <c r="Q429" s="22"/>
      <c r="R429" s="22"/>
      <c r="S429" s="22"/>
    </row>
    <row r="430" spans="1:19" x14ac:dyDescent="0.25">
      <c r="A430" s="22"/>
      <c r="B430" s="22"/>
      <c r="C430" s="22"/>
      <c r="D430" s="23"/>
      <c r="H430" s="22"/>
      <c r="L430" s="22"/>
      <c r="P430" s="22"/>
      <c r="Q430" s="22"/>
      <c r="R430" s="22"/>
      <c r="S430" s="22"/>
    </row>
    <row r="431" spans="1:19" x14ac:dyDescent="0.25">
      <c r="A431" s="22"/>
      <c r="B431" s="22"/>
      <c r="C431" s="22"/>
      <c r="D431" s="23"/>
      <c r="H431" s="22"/>
      <c r="L431" s="22"/>
      <c r="P431" s="22"/>
      <c r="Q431" s="22"/>
      <c r="R431" s="22"/>
      <c r="S431" s="22"/>
    </row>
    <row r="432" spans="1:19" x14ac:dyDescent="0.25">
      <c r="A432" s="22"/>
      <c r="B432" s="22"/>
      <c r="C432" s="22"/>
      <c r="D432" s="23"/>
      <c r="H432" s="22"/>
      <c r="L432" s="22"/>
      <c r="P432" s="22"/>
      <c r="Q432" s="22"/>
      <c r="R432" s="22"/>
      <c r="S432" s="22"/>
    </row>
    <row r="433" spans="1:19" x14ac:dyDescent="0.25">
      <c r="A433" s="22"/>
      <c r="B433" s="22"/>
      <c r="C433" s="22"/>
      <c r="D433" s="23"/>
      <c r="H433" s="22"/>
      <c r="L433" s="22"/>
      <c r="P433" s="22"/>
      <c r="Q433" s="22"/>
      <c r="R433" s="22"/>
      <c r="S433" s="22"/>
    </row>
    <row r="434" spans="1:19" x14ac:dyDescent="0.25">
      <c r="A434" s="22"/>
      <c r="B434" s="22"/>
      <c r="C434" s="22"/>
      <c r="D434" s="23"/>
      <c r="H434" s="22"/>
      <c r="L434" s="22"/>
      <c r="P434" s="22"/>
      <c r="Q434" s="22"/>
      <c r="R434" s="22"/>
      <c r="S434" s="22"/>
    </row>
    <row r="435" spans="1:19" x14ac:dyDescent="0.25">
      <c r="A435" s="22"/>
      <c r="B435" s="22"/>
      <c r="C435" s="22"/>
      <c r="D435" s="23"/>
      <c r="H435" s="22"/>
      <c r="L435" s="22"/>
      <c r="P435" s="22"/>
      <c r="Q435" s="22"/>
      <c r="R435" s="22"/>
      <c r="S435" s="22"/>
    </row>
    <row r="436" spans="1:19" x14ac:dyDescent="0.25">
      <c r="A436" s="22"/>
      <c r="B436" s="22"/>
      <c r="C436" s="22"/>
      <c r="D436" s="23"/>
      <c r="H436" s="22"/>
      <c r="L436" s="22"/>
      <c r="P436" s="22"/>
      <c r="Q436" s="22"/>
      <c r="R436" s="22"/>
      <c r="S436" s="22"/>
    </row>
    <row r="437" spans="1:19" x14ac:dyDescent="0.25">
      <c r="A437" s="22"/>
      <c r="B437" s="22"/>
      <c r="C437" s="22"/>
      <c r="D437" s="23"/>
      <c r="H437" s="22"/>
      <c r="L437" s="22"/>
      <c r="P437" s="22"/>
      <c r="Q437" s="22"/>
      <c r="R437" s="22"/>
      <c r="S437" s="22"/>
    </row>
    <row r="438" spans="1:19" x14ac:dyDescent="0.25">
      <c r="A438" s="22"/>
      <c r="B438" s="22"/>
      <c r="C438" s="22"/>
      <c r="D438" s="23"/>
      <c r="H438" s="22"/>
      <c r="L438" s="22"/>
      <c r="P438" s="22"/>
      <c r="Q438" s="22"/>
      <c r="R438" s="22"/>
      <c r="S438" s="22"/>
    </row>
    <row r="439" spans="1:19" x14ac:dyDescent="0.25">
      <c r="A439" s="22"/>
      <c r="B439" s="22"/>
      <c r="C439" s="22"/>
      <c r="D439" s="23"/>
      <c r="H439" s="22"/>
      <c r="L439" s="22"/>
      <c r="P439" s="22"/>
      <c r="Q439" s="22"/>
      <c r="R439" s="22"/>
      <c r="S439" s="22"/>
    </row>
    <row r="440" spans="1:19" x14ac:dyDescent="0.25">
      <c r="A440" s="22"/>
      <c r="B440" s="22"/>
      <c r="C440" s="22"/>
      <c r="D440" s="23"/>
      <c r="H440" s="22"/>
      <c r="L440" s="22"/>
      <c r="P440" s="22"/>
      <c r="Q440" s="22"/>
      <c r="R440" s="22"/>
      <c r="S440" s="22"/>
    </row>
    <row r="441" spans="1:19" x14ac:dyDescent="0.25">
      <c r="A441" s="22"/>
      <c r="B441" s="22"/>
      <c r="C441" s="22"/>
      <c r="D441" s="23"/>
      <c r="H441" s="22"/>
      <c r="L441" s="22"/>
      <c r="P441" s="22"/>
      <c r="Q441" s="22"/>
      <c r="R441" s="22"/>
      <c r="S441" s="22"/>
    </row>
    <row r="442" spans="1:19" x14ac:dyDescent="0.25">
      <c r="A442" s="22"/>
      <c r="B442" s="22"/>
      <c r="C442" s="22"/>
      <c r="D442" s="23"/>
      <c r="H442" s="22"/>
      <c r="L442" s="22"/>
      <c r="P442" s="22"/>
      <c r="Q442" s="22"/>
      <c r="R442" s="22"/>
      <c r="S442" s="22"/>
    </row>
    <row r="443" spans="1:19" x14ac:dyDescent="0.25">
      <c r="A443" s="22"/>
      <c r="B443" s="22"/>
      <c r="C443" s="22"/>
      <c r="D443" s="23"/>
      <c r="H443" s="22"/>
      <c r="L443" s="22"/>
      <c r="P443" s="22"/>
      <c r="Q443" s="22"/>
      <c r="R443" s="22"/>
      <c r="S443" s="22"/>
    </row>
    <row r="444" spans="1:19" x14ac:dyDescent="0.25">
      <c r="A444" s="22"/>
      <c r="B444" s="22"/>
      <c r="C444" s="22"/>
      <c r="D444" s="23"/>
      <c r="H444" s="22"/>
      <c r="L444" s="22"/>
      <c r="P444" s="22"/>
      <c r="Q444" s="22"/>
      <c r="R444" s="22"/>
      <c r="S444" s="22"/>
    </row>
    <row r="445" spans="1:19" x14ac:dyDescent="0.25">
      <c r="A445" s="22"/>
      <c r="B445" s="22"/>
      <c r="C445" s="22"/>
      <c r="D445" s="23"/>
      <c r="H445" s="22"/>
      <c r="L445" s="22"/>
      <c r="P445" s="22"/>
      <c r="Q445" s="22"/>
      <c r="R445" s="22"/>
      <c r="S445" s="22"/>
    </row>
    <row r="446" spans="1:19" x14ac:dyDescent="0.25">
      <c r="A446" s="22"/>
      <c r="B446" s="22"/>
      <c r="C446" s="22"/>
      <c r="D446" s="23"/>
      <c r="H446" s="22"/>
      <c r="L446" s="22"/>
      <c r="P446" s="22"/>
      <c r="Q446" s="22"/>
      <c r="R446" s="22"/>
      <c r="S446" s="22"/>
    </row>
    <row r="447" spans="1:19" x14ac:dyDescent="0.25">
      <c r="A447" s="22"/>
      <c r="B447" s="22"/>
      <c r="C447" s="22"/>
      <c r="D447" s="23"/>
      <c r="H447" s="22"/>
      <c r="L447" s="22"/>
      <c r="P447" s="22"/>
      <c r="Q447" s="22"/>
      <c r="R447" s="22"/>
      <c r="S447" s="22"/>
    </row>
    <row r="448" spans="1:19" x14ac:dyDescent="0.25">
      <c r="A448" s="22"/>
      <c r="B448" s="22"/>
      <c r="C448" s="22"/>
      <c r="D448" s="23"/>
      <c r="H448" s="22"/>
      <c r="L448" s="22"/>
      <c r="P448" s="22"/>
      <c r="Q448" s="22"/>
      <c r="R448" s="22"/>
      <c r="S448" s="22"/>
    </row>
    <row r="449" spans="1:19" x14ac:dyDescent="0.25">
      <c r="A449" s="22"/>
      <c r="B449" s="22"/>
      <c r="C449" s="22"/>
      <c r="D449" s="23"/>
      <c r="H449" s="22"/>
      <c r="L449" s="22"/>
      <c r="P449" s="22"/>
      <c r="Q449" s="22"/>
      <c r="R449" s="22"/>
      <c r="S449" s="22"/>
    </row>
    <row r="450" spans="1:19" x14ac:dyDescent="0.25">
      <c r="A450" s="22"/>
      <c r="B450" s="22"/>
      <c r="C450" s="22"/>
      <c r="D450" s="23"/>
      <c r="H450" s="22"/>
      <c r="L450" s="22"/>
      <c r="P450" s="22"/>
      <c r="Q450" s="22"/>
      <c r="R450" s="22"/>
      <c r="S450" s="22"/>
    </row>
    <row r="451" spans="1:19" x14ac:dyDescent="0.25">
      <c r="A451" s="22"/>
      <c r="B451" s="22"/>
      <c r="C451" s="22"/>
      <c r="D451" s="23"/>
      <c r="H451" s="22"/>
      <c r="L451" s="22"/>
      <c r="P451" s="22"/>
      <c r="Q451" s="22"/>
      <c r="R451" s="22"/>
      <c r="S451" s="22"/>
    </row>
    <row r="452" spans="1:19" x14ac:dyDescent="0.25">
      <c r="A452" s="22"/>
      <c r="B452" s="22"/>
      <c r="C452" s="22"/>
      <c r="D452" s="23"/>
      <c r="H452" s="22"/>
      <c r="L452" s="22"/>
      <c r="P452" s="22"/>
      <c r="Q452" s="22"/>
      <c r="R452" s="22"/>
      <c r="S452" s="22"/>
    </row>
    <row r="453" spans="1:19" x14ac:dyDescent="0.25">
      <c r="A453" s="22"/>
      <c r="B453" s="22"/>
      <c r="C453" s="22"/>
      <c r="D453" s="23"/>
      <c r="H453" s="22"/>
      <c r="L453" s="22"/>
      <c r="P453" s="22"/>
      <c r="Q453" s="22"/>
      <c r="R453" s="22"/>
      <c r="S453" s="22"/>
    </row>
    <row r="454" spans="1:19" x14ac:dyDescent="0.25">
      <c r="A454" s="22"/>
      <c r="B454" s="22"/>
      <c r="C454" s="22"/>
      <c r="D454" s="23"/>
      <c r="H454" s="22"/>
      <c r="L454" s="22"/>
      <c r="P454" s="22"/>
      <c r="Q454" s="22"/>
      <c r="R454" s="22"/>
      <c r="S454" s="22"/>
    </row>
    <row r="455" spans="1:19" x14ac:dyDescent="0.25">
      <c r="A455" s="22"/>
      <c r="B455" s="22"/>
      <c r="C455" s="22"/>
      <c r="D455" s="23"/>
      <c r="H455" s="22"/>
      <c r="L455" s="22"/>
      <c r="P455" s="22"/>
      <c r="Q455" s="22"/>
      <c r="R455" s="22"/>
      <c r="S455" s="22"/>
    </row>
    <row r="456" spans="1:19" x14ac:dyDescent="0.25">
      <c r="A456" s="22"/>
      <c r="B456" s="22"/>
      <c r="C456" s="22"/>
      <c r="D456" s="23"/>
      <c r="H456" s="22"/>
      <c r="L456" s="22"/>
      <c r="P456" s="22"/>
      <c r="Q456" s="22"/>
      <c r="R456" s="22"/>
      <c r="S456" s="22"/>
    </row>
    <row r="457" spans="1:19" x14ac:dyDescent="0.25">
      <c r="A457" s="22"/>
      <c r="B457" s="22"/>
      <c r="C457" s="22"/>
      <c r="D457" s="23"/>
      <c r="H457" s="22"/>
      <c r="L457" s="22"/>
      <c r="P457" s="22"/>
      <c r="Q457" s="22"/>
      <c r="R457" s="22"/>
      <c r="S457" s="22"/>
    </row>
    <row r="458" spans="1:19" x14ac:dyDescent="0.25">
      <c r="A458" s="22"/>
      <c r="B458" s="22"/>
      <c r="C458" s="22"/>
      <c r="D458" s="23"/>
      <c r="H458" s="22"/>
      <c r="L458" s="22"/>
      <c r="P458" s="22"/>
      <c r="Q458" s="22"/>
      <c r="R458" s="22"/>
      <c r="S458" s="22"/>
    </row>
    <row r="459" spans="1:19" x14ac:dyDescent="0.25">
      <c r="A459" s="22"/>
      <c r="B459" s="22"/>
      <c r="C459" s="22"/>
      <c r="D459" s="23"/>
      <c r="H459" s="22"/>
      <c r="L459" s="22"/>
      <c r="P459" s="22"/>
      <c r="Q459" s="22"/>
      <c r="R459" s="22"/>
      <c r="S459" s="22"/>
    </row>
    <row r="460" spans="1:19" x14ac:dyDescent="0.25">
      <c r="A460" s="22"/>
      <c r="B460" s="22"/>
      <c r="C460" s="22"/>
      <c r="D460" s="23"/>
      <c r="H460" s="22"/>
      <c r="L460" s="22"/>
      <c r="P460" s="22"/>
      <c r="Q460" s="22"/>
      <c r="R460" s="22"/>
      <c r="S460" s="22"/>
    </row>
    <row r="461" spans="1:19" x14ac:dyDescent="0.25">
      <c r="A461" s="22"/>
      <c r="B461" s="22"/>
      <c r="C461" s="22"/>
      <c r="D461" s="23"/>
      <c r="H461" s="22"/>
      <c r="L461" s="22"/>
      <c r="P461" s="22"/>
      <c r="Q461" s="22"/>
      <c r="R461" s="22"/>
      <c r="S461" s="22"/>
    </row>
    <row r="462" spans="1:19" x14ac:dyDescent="0.25">
      <c r="A462" s="22"/>
      <c r="B462" s="22"/>
      <c r="C462" s="22"/>
      <c r="D462" s="23"/>
      <c r="H462" s="22"/>
      <c r="L462" s="22"/>
      <c r="P462" s="22"/>
      <c r="Q462" s="22"/>
      <c r="R462" s="22"/>
      <c r="S462" s="22"/>
    </row>
    <row r="463" spans="1:19" x14ac:dyDescent="0.25">
      <c r="A463" s="22"/>
      <c r="B463" s="22"/>
      <c r="C463" s="22"/>
      <c r="D463" s="23"/>
      <c r="H463" s="22"/>
      <c r="L463" s="22"/>
      <c r="P463" s="22"/>
      <c r="Q463" s="22"/>
      <c r="R463" s="22"/>
      <c r="S463" s="22"/>
    </row>
    <row r="464" spans="1:19" x14ac:dyDescent="0.25">
      <c r="A464" s="22"/>
      <c r="B464" s="22"/>
      <c r="C464" s="22"/>
      <c r="D464" s="23"/>
      <c r="H464" s="22"/>
      <c r="L464" s="22"/>
      <c r="P464" s="22"/>
      <c r="Q464" s="22"/>
      <c r="R464" s="22"/>
      <c r="S464" s="22"/>
    </row>
    <row r="465" spans="1:19" x14ac:dyDescent="0.25">
      <c r="A465" s="22"/>
      <c r="B465" s="22"/>
      <c r="C465" s="22"/>
      <c r="D465" s="23"/>
      <c r="H465" s="22"/>
      <c r="L465" s="22"/>
      <c r="P465" s="22"/>
      <c r="Q465" s="22"/>
      <c r="R465" s="22"/>
      <c r="S465" s="22"/>
    </row>
    <row r="466" spans="1:19" x14ac:dyDescent="0.25">
      <c r="A466" s="22"/>
      <c r="B466" s="22"/>
      <c r="C466" s="22"/>
      <c r="D466" s="23"/>
      <c r="H466" s="22"/>
      <c r="L466" s="22"/>
      <c r="P466" s="22"/>
      <c r="Q466" s="22"/>
      <c r="R466" s="22"/>
      <c r="S466" s="22"/>
    </row>
    <row r="467" spans="1:19" x14ac:dyDescent="0.25">
      <c r="A467" s="22"/>
      <c r="B467" s="22"/>
      <c r="C467" s="22"/>
      <c r="D467" s="23"/>
      <c r="H467" s="22"/>
      <c r="L467" s="22"/>
      <c r="P467" s="22"/>
      <c r="Q467" s="22"/>
      <c r="R467" s="22"/>
      <c r="S467" s="22"/>
    </row>
    <row r="468" spans="1:19" x14ac:dyDescent="0.25">
      <c r="A468" s="22"/>
      <c r="B468" s="22"/>
      <c r="C468" s="22"/>
      <c r="D468" s="23"/>
      <c r="H468" s="22"/>
      <c r="L468" s="22"/>
      <c r="P468" s="22"/>
      <c r="Q468" s="22"/>
      <c r="R468" s="22"/>
      <c r="S468" s="22"/>
    </row>
    <row r="469" spans="1:19" x14ac:dyDescent="0.25">
      <c r="A469" s="22"/>
      <c r="B469" s="22"/>
      <c r="C469" s="22"/>
      <c r="D469" s="23"/>
      <c r="H469" s="22"/>
      <c r="L469" s="22"/>
      <c r="P469" s="22"/>
      <c r="Q469" s="22"/>
      <c r="R469" s="22"/>
      <c r="S469" s="22"/>
    </row>
    <row r="470" spans="1:19" x14ac:dyDescent="0.25">
      <c r="A470" s="22"/>
      <c r="B470" s="22"/>
      <c r="C470" s="22"/>
      <c r="D470" s="23"/>
      <c r="H470" s="22"/>
      <c r="L470" s="22"/>
      <c r="P470" s="22"/>
      <c r="Q470" s="22"/>
      <c r="R470" s="22"/>
      <c r="S470" s="22"/>
    </row>
    <row r="471" spans="1:19" x14ac:dyDescent="0.25">
      <c r="A471" s="22"/>
      <c r="B471" s="22"/>
      <c r="C471" s="22"/>
      <c r="D471" s="23"/>
      <c r="H471" s="22"/>
      <c r="L471" s="22"/>
      <c r="P471" s="22"/>
      <c r="Q471" s="22"/>
      <c r="R471" s="22"/>
      <c r="S471" s="22"/>
    </row>
    <row r="472" spans="1:19" x14ac:dyDescent="0.25">
      <c r="A472" s="22"/>
      <c r="B472" s="22"/>
      <c r="C472" s="22"/>
      <c r="D472" s="23"/>
      <c r="H472" s="22"/>
      <c r="L472" s="22"/>
      <c r="P472" s="22"/>
      <c r="Q472" s="22"/>
      <c r="R472" s="22"/>
      <c r="S472" s="22"/>
    </row>
    <row r="473" spans="1:19" x14ac:dyDescent="0.25">
      <c r="A473" s="22"/>
      <c r="B473" s="22"/>
      <c r="C473" s="22"/>
      <c r="D473" s="23"/>
      <c r="H473" s="22"/>
      <c r="L473" s="22"/>
      <c r="P473" s="22"/>
      <c r="Q473" s="22"/>
      <c r="R473" s="22"/>
      <c r="S473" s="22"/>
    </row>
    <row r="474" spans="1:19" x14ac:dyDescent="0.25">
      <c r="A474" s="22"/>
      <c r="B474" s="22"/>
      <c r="C474" s="22"/>
      <c r="D474" s="23"/>
      <c r="H474" s="22"/>
      <c r="L474" s="22"/>
      <c r="P474" s="22"/>
      <c r="Q474" s="22"/>
      <c r="R474" s="22"/>
      <c r="S474" s="22"/>
    </row>
    <row r="475" spans="1:19" x14ac:dyDescent="0.25">
      <c r="A475" s="22"/>
      <c r="B475" s="22"/>
      <c r="C475" s="22"/>
      <c r="D475" s="23"/>
      <c r="H475" s="22"/>
      <c r="L475" s="22"/>
      <c r="P475" s="22"/>
      <c r="Q475" s="22"/>
      <c r="R475" s="22"/>
      <c r="S475" s="22"/>
    </row>
    <row r="476" spans="1:19" x14ac:dyDescent="0.25">
      <c r="A476" s="22"/>
      <c r="B476" s="22"/>
      <c r="C476" s="22"/>
      <c r="D476" s="23"/>
      <c r="H476" s="22"/>
      <c r="L476" s="22"/>
      <c r="P476" s="22"/>
      <c r="Q476" s="22"/>
      <c r="R476" s="22"/>
      <c r="S476" s="22"/>
    </row>
    <row r="477" spans="1:19" x14ac:dyDescent="0.25">
      <c r="A477" s="22"/>
      <c r="B477" s="22"/>
      <c r="C477" s="22"/>
      <c r="D477" s="23"/>
      <c r="H477" s="22"/>
      <c r="L477" s="22"/>
      <c r="P477" s="22"/>
      <c r="Q477" s="22"/>
      <c r="R477" s="22"/>
      <c r="S477" s="22"/>
    </row>
    <row r="478" spans="1:19" x14ac:dyDescent="0.25">
      <c r="A478" s="22"/>
      <c r="B478" s="22"/>
      <c r="C478" s="22"/>
      <c r="D478" s="23"/>
      <c r="H478" s="22"/>
      <c r="L478" s="22"/>
      <c r="P478" s="22"/>
      <c r="Q478" s="22"/>
      <c r="R478" s="22"/>
      <c r="S478" s="22"/>
    </row>
    <row r="479" spans="1:19" x14ac:dyDescent="0.25">
      <c r="A479" s="22"/>
      <c r="B479" s="22"/>
      <c r="C479" s="22"/>
      <c r="D479" s="23"/>
      <c r="H479" s="22"/>
      <c r="L479" s="22"/>
      <c r="P479" s="22"/>
      <c r="Q479" s="22"/>
      <c r="R479" s="22"/>
      <c r="S479" s="22"/>
    </row>
    <row r="480" spans="1:19" x14ac:dyDescent="0.25">
      <c r="A480" s="22"/>
      <c r="B480" s="22"/>
      <c r="C480" s="22"/>
      <c r="D480" s="23"/>
      <c r="H480" s="22"/>
      <c r="L480" s="22"/>
      <c r="P480" s="22"/>
      <c r="Q480" s="22"/>
      <c r="R480" s="22"/>
      <c r="S480" s="22"/>
    </row>
    <row r="481" spans="1:19" x14ac:dyDescent="0.25">
      <c r="A481" s="22"/>
      <c r="B481" s="22"/>
      <c r="C481" s="22"/>
      <c r="D481" s="23"/>
      <c r="H481" s="22"/>
      <c r="L481" s="22"/>
      <c r="P481" s="22"/>
      <c r="Q481" s="22"/>
      <c r="R481" s="22"/>
      <c r="S481" s="22"/>
    </row>
    <row r="482" spans="1:19" x14ac:dyDescent="0.25">
      <c r="A482" s="22"/>
      <c r="B482" s="22"/>
      <c r="C482" s="22"/>
      <c r="D482" s="23"/>
      <c r="H482" s="22"/>
      <c r="L482" s="22"/>
      <c r="P482" s="22"/>
      <c r="Q482" s="22"/>
      <c r="R482" s="22"/>
      <c r="S482" s="22"/>
    </row>
    <row r="483" spans="1:19" x14ac:dyDescent="0.25">
      <c r="A483" s="22"/>
      <c r="B483" s="22"/>
      <c r="C483" s="22"/>
      <c r="D483" s="23"/>
      <c r="H483" s="22"/>
      <c r="L483" s="22"/>
      <c r="P483" s="22"/>
      <c r="Q483" s="22"/>
      <c r="R483" s="22"/>
      <c r="S483" s="22"/>
    </row>
    <row r="484" spans="1:19" x14ac:dyDescent="0.25">
      <c r="A484" s="22"/>
      <c r="B484" s="22"/>
      <c r="C484" s="22"/>
      <c r="D484" s="23"/>
      <c r="H484" s="22"/>
      <c r="L484" s="22"/>
      <c r="P484" s="22"/>
      <c r="Q484" s="22"/>
      <c r="R484" s="22"/>
      <c r="S484" s="22"/>
    </row>
    <row r="485" spans="1:19" x14ac:dyDescent="0.25">
      <c r="A485" s="22"/>
      <c r="B485" s="22"/>
      <c r="C485" s="22"/>
      <c r="D485" s="23"/>
      <c r="H485" s="22"/>
      <c r="L485" s="22"/>
      <c r="P485" s="22"/>
      <c r="Q485" s="22"/>
      <c r="R485" s="22"/>
      <c r="S485" s="22"/>
    </row>
    <row r="486" spans="1:19" x14ac:dyDescent="0.25">
      <c r="A486" s="22"/>
      <c r="B486" s="22"/>
      <c r="C486" s="22"/>
      <c r="D486" s="23"/>
      <c r="H486" s="22"/>
      <c r="L486" s="22"/>
      <c r="P486" s="22"/>
      <c r="Q486" s="22"/>
      <c r="R486" s="22"/>
      <c r="S486" s="22"/>
    </row>
    <row r="487" spans="1:19" x14ac:dyDescent="0.25">
      <c r="A487" s="22"/>
      <c r="B487" s="22"/>
      <c r="C487" s="22"/>
      <c r="D487" s="23"/>
      <c r="H487" s="22"/>
      <c r="L487" s="22"/>
      <c r="P487" s="22"/>
      <c r="Q487" s="22"/>
      <c r="R487" s="22"/>
      <c r="S487" s="22"/>
    </row>
    <row r="488" spans="1:19" x14ac:dyDescent="0.25">
      <c r="A488" s="22"/>
      <c r="B488" s="22"/>
      <c r="C488" s="22"/>
      <c r="D488" s="23"/>
      <c r="H488" s="22"/>
      <c r="L488" s="22"/>
      <c r="P488" s="22"/>
      <c r="Q488" s="22"/>
      <c r="R488" s="22"/>
      <c r="S488" s="22"/>
    </row>
    <row r="489" spans="1:19" x14ac:dyDescent="0.25">
      <c r="A489" s="22"/>
      <c r="B489" s="22"/>
      <c r="C489" s="22"/>
      <c r="D489" s="23"/>
      <c r="H489" s="22"/>
      <c r="L489" s="22"/>
      <c r="P489" s="22"/>
      <c r="Q489" s="22"/>
      <c r="R489" s="22"/>
      <c r="S489" s="22"/>
    </row>
    <row r="490" spans="1:19" x14ac:dyDescent="0.25">
      <c r="A490" s="22"/>
      <c r="B490" s="22"/>
      <c r="C490" s="22"/>
      <c r="D490" s="23"/>
      <c r="H490" s="22"/>
      <c r="L490" s="22"/>
      <c r="P490" s="22"/>
      <c r="Q490" s="22"/>
      <c r="R490" s="22"/>
      <c r="S490" s="22"/>
    </row>
    <row r="491" spans="1:19" x14ac:dyDescent="0.25">
      <c r="A491" s="22"/>
      <c r="B491" s="22"/>
      <c r="C491" s="22"/>
      <c r="D491" s="23"/>
      <c r="H491" s="22"/>
      <c r="L491" s="22"/>
      <c r="P491" s="22"/>
      <c r="Q491" s="22"/>
      <c r="R491" s="22"/>
      <c r="S491" s="22"/>
    </row>
    <row r="492" spans="1:19" x14ac:dyDescent="0.25">
      <c r="A492" s="22"/>
      <c r="B492" s="22"/>
      <c r="C492" s="22"/>
      <c r="D492" s="23"/>
      <c r="H492" s="22"/>
      <c r="L492" s="22"/>
      <c r="P492" s="22"/>
      <c r="Q492" s="22"/>
      <c r="R492" s="22"/>
      <c r="S492" s="22"/>
    </row>
    <row r="493" spans="1:19" x14ac:dyDescent="0.25">
      <c r="A493" s="22"/>
      <c r="B493" s="22"/>
      <c r="C493" s="22"/>
      <c r="D493" s="23"/>
      <c r="H493" s="22"/>
      <c r="L493" s="22"/>
      <c r="P493" s="22"/>
      <c r="Q493" s="22"/>
      <c r="R493" s="22"/>
      <c r="S493" s="22"/>
    </row>
    <row r="494" spans="1:19" x14ac:dyDescent="0.25">
      <c r="A494" s="22"/>
      <c r="B494" s="22"/>
      <c r="C494" s="22"/>
      <c r="D494" s="23"/>
      <c r="H494" s="22"/>
      <c r="L494" s="22"/>
      <c r="P494" s="22"/>
      <c r="Q494" s="22"/>
      <c r="R494" s="22"/>
      <c r="S494" s="22"/>
    </row>
    <row r="495" spans="1:19" x14ac:dyDescent="0.25">
      <c r="A495" s="22"/>
      <c r="B495" s="22"/>
      <c r="C495" s="22"/>
      <c r="D495" s="23"/>
      <c r="H495" s="22"/>
      <c r="L495" s="22"/>
      <c r="P495" s="22"/>
      <c r="Q495" s="22"/>
      <c r="R495" s="22"/>
      <c r="S495" s="22"/>
    </row>
    <row r="496" spans="1:19" x14ac:dyDescent="0.25">
      <c r="A496" s="22"/>
      <c r="B496" s="22"/>
      <c r="C496" s="22"/>
      <c r="D496" s="23"/>
      <c r="H496" s="22"/>
      <c r="L496" s="22"/>
      <c r="P496" s="22"/>
      <c r="Q496" s="22"/>
      <c r="R496" s="22"/>
      <c r="S496" s="22"/>
    </row>
    <row r="497" spans="1:19" x14ac:dyDescent="0.25">
      <c r="A497" s="22"/>
      <c r="B497" s="22"/>
      <c r="C497" s="22"/>
      <c r="D497" s="23"/>
      <c r="H497" s="22"/>
      <c r="L497" s="22"/>
      <c r="P497" s="22"/>
      <c r="Q497" s="22"/>
      <c r="R497" s="22"/>
      <c r="S497" s="22"/>
    </row>
    <row r="498" spans="1:19" x14ac:dyDescent="0.25">
      <c r="A498" s="22"/>
      <c r="B498" s="22"/>
      <c r="C498" s="22"/>
      <c r="D498" s="23"/>
      <c r="H498" s="22"/>
      <c r="L498" s="22"/>
      <c r="P498" s="22"/>
      <c r="Q498" s="22"/>
      <c r="R498" s="22"/>
      <c r="S498" s="22"/>
    </row>
    <row r="499" spans="1:19" x14ac:dyDescent="0.25">
      <c r="A499" s="22"/>
      <c r="B499" s="22"/>
      <c r="C499" s="22"/>
      <c r="D499" s="23"/>
      <c r="H499" s="22"/>
      <c r="L499" s="22"/>
      <c r="P499" s="22"/>
      <c r="Q499" s="22"/>
      <c r="R499" s="22"/>
      <c r="S499" s="22"/>
    </row>
    <row r="500" spans="1:19" x14ac:dyDescent="0.25">
      <c r="A500" s="22"/>
      <c r="B500" s="22"/>
      <c r="C500" s="22"/>
      <c r="D500" s="23"/>
      <c r="H500" s="22"/>
      <c r="L500" s="22"/>
      <c r="P500" s="22"/>
      <c r="Q500" s="22"/>
      <c r="R500" s="22"/>
      <c r="S500" s="22"/>
    </row>
    <row r="501" spans="1:19" x14ac:dyDescent="0.25">
      <c r="A501" s="22"/>
      <c r="B501" s="22"/>
      <c r="C501" s="22"/>
      <c r="D501" s="23"/>
      <c r="H501" s="22"/>
      <c r="L501" s="22"/>
      <c r="P501" s="22"/>
      <c r="Q501" s="22"/>
      <c r="R501" s="22"/>
      <c r="S501" s="22"/>
    </row>
    <row r="502" spans="1:19" x14ac:dyDescent="0.25">
      <c r="A502" s="22"/>
      <c r="B502" s="22"/>
      <c r="C502" s="22"/>
      <c r="D502" s="23"/>
      <c r="H502" s="22"/>
      <c r="L502" s="22"/>
      <c r="P502" s="22"/>
      <c r="Q502" s="22"/>
      <c r="R502" s="22"/>
      <c r="S502" s="22"/>
    </row>
    <row r="503" spans="1:19" x14ac:dyDescent="0.25">
      <c r="A503" s="22"/>
      <c r="B503" s="22"/>
      <c r="C503" s="22"/>
      <c r="D503" s="23"/>
      <c r="H503" s="22"/>
      <c r="L503" s="22"/>
      <c r="P503" s="22"/>
      <c r="Q503" s="22"/>
      <c r="R503" s="22"/>
      <c r="S503" s="22"/>
    </row>
    <row r="504" spans="1:19" x14ac:dyDescent="0.25">
      <c r="A504" s="22"/>
      <c r="B504" s="22"/>
      <c r="C504" s="22"/>
      <c r="D504" s="23"/>
      <c r="H504" s="22"/>
      <c r="L504" s="22"/>
      <c r="P504" s="22"/>
      <c r="Q504" s="22"/>
      <c r="R504" s="22"/>
      <c r="S504" s="22"/>
    </row>
    <row r="505" spans="1:19" x14ac:dyDescent="0.25">
      <c r="A505" s="22"/>
      <c r="B505" s="22"/>
      <c r="C505" s="22"/>
      <c r="D505" s="23"/>
      <c r="H505" s="22"/>
      <c r="L505" s="22"/>
      <c r="P505" s="22"/>
      <c r="Q505" s="22"/>
      <c r="R505" s="22"/>
      <c r="S505" s="22"/>
    </row>
    <row r="506" spans="1:19" x14ac:dyDescent="0.25">
      <c r="A506" s="22"/>
      <c r="B506" s="22"/>
      <c r="C506" s="22"/>
      <c r="D506" s="23"/>
      <c r="H506" s="22"/>
      <c r="L506" s="22"/>
      <c r="P506" s="22"/>
      <c r="Q506" s="22"/>
      <c r="R506" s="22"/>
      <c r="S506" s="22"/>
    </row>
    <row r="507" spans="1:19" x14ac:dyDescent="0.25">
      <c r="A507" s="22"/>
      <c r="B507" s="22"/>
      <c r="C507" s="22"/>
      <c r="D507" s="23"/>
      <c r="H507" s="22"/>
      <c r="L507" s="22"/>
      <c r="P507" s="22"/>
      <c r="Q507" s="22"/>
      <c r="R507" s="22"/>
      <c r="S507" s="22"/>
    </row>
    <row r="508" spans="1:19" x14ac:dyDescent="0.25">
      <c r="A508" s="22"/>
      <c r="B508" s="22"/>
      <c r="C508" s="22"/>
      <c r="D508" s="23"/>
      <c r="H508" s="22"/>
      <c r="L508" s="22"/>
      <c r="P508" s="22"/>
      <c r="Q508" s="22"/>
      <c r="R508" s="22"/>
      <c r="S508" s="22"/>
    </row>
    <row r="509" spans="1:19" x14ac:dyDescent="0.25">
      <c r="A509" s="22"/>
      <c r="B509" s="22"/>
      <c r="C509" s="22"/>
      <c r="D509" s="23"/>
      <c r="H509" s="22"/>
      <c r="L509" s="22"/>
      <c r="P509" s="22"/>
      <c r="Q509" s="22"/>
      <c r="R509" s="22"/>
      <c r="S509" s="22"/>
    </row>
    <row r="510" spans="1:19" x14ac:dyDescent="0.25">
      <c r="A510" s="22"/>
      <c r="B510" s="22"/>
      <c r="C510" s="22"/>
      <c r="D510" s="23"/>
      <c r="H510" s="22"/>
      <c r="L510" s="22"/>
      <c r="P510" s="22"/>
      <c r="Q510" s="22"/>
      <c r="R510" s="22"/>
      <c r="S510" s="22"/>
    </row>
    <row r="511" spans="1:19" x14ac:dyDescent="0.25">
      <c r="A511" s="22"/>
      <c r="B511" s="22"/>
      <c r="C511" s="22"/>
      <c r="D511" s="23"/>
      <c r="H511" s="22"/>
      <c r="L511" s="22"/>
      <c r="P511" s="22"/>
      <c r="Q511" s="22"/>
      <c r="R511" s="22"/>
      <c r="S511" s="22"/>
    </row>
    <row r="512" spans="1:19" x14ac:dyDescent="0.25">
      <c r="A512" s="22"/>
      <c r="B512" s="22"/>
      <c r="C512" s="22"/>
      <c r="D512" s="23"/>
      <c r="H512" s="22"/>
      <c r="L512" s="22"/>
      <c r="P512" s="22"/>
      <c r="Q512" s="22"/>
      <c r="R512" s="22"/>
      <c r="S512" s="22"/>
    </row>
    <row r="513" spans="1:19" x14ac:dyDescent="0.25">
      <c r="A513" s="22"/>
      <c r="B513" s="22"/>
      <c r="C513" s="22"/>
      <c r="D513" s="23"/>
      <c r="H513" s="22"/>
      <c r="L513" s="22"/>
      <c r="P513" s="22"/>
      <c r="Q513" s="22"/>
      <c r="R513" s="22"/>
      <c r="S513" s="22"/>
    </row>
    <row r="514" spans="1:19" x14ac:dyDescent="0.25">
      <c r="A514" s="22"/>
      <c r="B514" s="22"/>
      <c r="C514" s="22"/>
      <c r="D514" s="23"/>
      <c r="H514" s="22"/>
      <c r="L514" s="22"/>
      <c r="P514" s="22"/>
      <c r="Q514" s="22"/>
      <c r="R514" s="22"/>
      <c r="S514" s="22"/>
    </row>
    <row r="515" spans="1:19" x14ac:dyDescent="0.25">
      <c r="A515" s="22"/>
      <c r="B515" s="22"/>
      <c r="C515" s="22"/>
      <c r="D515" s="23"/>
      <c r="H515" s="22"/>
      <c r="L515" s="22"/>
      <c r="P515" s="22"/>
      <c r="Q515" s="22"/>
      <c r="R515" s="22"/>
      <c r="S515" s="22"/>
    </row>
    <row r="516" spans="1:19" x14ac:dyDescent="0.25">
      <c r="A516" s="22"/>
      <c r="B516" s="22"/>
      <c r="C516" s="22"/>
      <c r="D516" s="23"/>
      <c r="H516" s="22"/>
      <c r="L516" s="22"/>
      <c r="P516" s="22"/>
      <c r="Q516" s="22"/>
      <c r="R516" s="22"/>
      <c r="S516" s="22"/>
    </row>
    <row r="517" spans="1:19" x14ac:dyDescent="0.25">
      <c r="A517" s="22"/>
      <c r="B517" s="22"/>
      <c r="C517" s="22"/>
      <c r="D517" s="23"/>
      <c r="H517" s="22"/>
      <c r="L517" s="22"/>
      <c r="P517" s="22"/>
      <c r="Q517" s="22"/>
      <c r="R517" s="22"/>
      <c r="S517" s="22"/>
    </row>
    <row r="518" spans="1:19" x14ac:dyDescent="0.25">
      <c r="A518" s="22"/>
      <c r="B518" s="22"/>
      <c r="C518" s="22"/>
      <c r="D518" s="23"/>
      <c r="H518" s="22"/>
      <c r="L518" s="22"/>
      <c r="P518" s="22"/>
      <c r="Q518" s="22"/>
      <c r="R518" s="22"/>
      <c r="S518" s="22"/>
    </row>
    <row r="519" spans="1:19" x14ac:dyDescent="0.25">
      <c r="A519" s="22"/>
      <c r="B519" s="22"/>
      <c r="C519" s="22"/>
      <c r="D519" s="23"/>
      <c r="H519" s="22"/>
      <c r="L519" s="22"/>
      <c r="P519" s="22"/>
      <c r="Q519" s="22"/>
      <c r="R519" s="22"/>
      <c r="S519" s="22"/>
    </row>
    <row r="520" spans="1:19" x14ac:dyDescent="0.25">
      <c r="A520" s="22"/>
      <c r="B520" s="22"/>
      <c r="C520" s="22"/>
      <c r="D520" s="23"/>
      <c r="H520" s="22"/>
      <c r="L520" s="22"/>
      <c r="P520" s="22"/>
      <c r="Q520" s="22"/>
      <c r="R520" s="22"/>
      <c r="S520" s="22"/>
    </row>
    <row r="521" spans="1:19" x14ac:dyDescent="0.25">
      <c r="A521" s="22"/>
      <c r="B521" s="22"/>
      <c r="C521" s="22"/>
      <c r="D521" s="23"/>
      <c r="H521" s="22"/>
      <c r="L521" s="22"/>
      <c r="P521" s="22"/>
      <c r="Q521" s="22"/>
      <c r="R521" s="22"/>
      <c r="S521" s="22"/>
    </row>
    <row r="522" spans="1:19" x14ac:dyDescent="0.25">
      <c r="A522" s="22"/>
      <c r="B522" s="22"/>
      <c r="C522" s="22"/>
      <c r="D522" s="23"/>
      <c r="H522" s="22"/>
      <c r="L522" s="22"/>
      <c r="P522" s="22"/>
      <c r="Q522" s="22"/>
      <c r="R522" s="22"/>
      <c r="S522" s="22"/>
    </row>
    <row r="523" spans="1:19" x14ac:dyDescent="0.25">
      <c r="A523" s="22"/>
      <c r="B523" s="22"/>
      <c r="C523" s="22"/>
      <c r="D523" s="23"/>
      <c r="H523" s="22"/>
      <c r="L523" s="22"/>
      <c r="P523" s="22"/>
      <c r="Q523" s="22"/>
      <c r="R523" s="22"/>
      <c r="S523" s="22"/>
    </row>
    <row r="524" spans="1:19" x14ac:dyDescent="0.25">
      <c r="A524" s="22"/>
      <c r="B524" s="22"/>
      <c r="C524" s="22"/>
      <c r="D524" s="23"/>
      <c r="H524" s="22"/>
      <c r="L524" s="22"/>
      <c r="P524" s="22"/>
      <c r="Q524" s="22"/>
      <c r="R524" s="22"/>
      <c r="S524" s="22"/>
    </row>
    <row r="525" spans="1:19" x14ac:dyDescent="0.25">
      <c r="A525" s="22"/>
      <c r="B525" s="22"/>
      <c r="C525" s="22"/>
      <c r="D525" s="23"/>
      <c r="H525" s="22"/>
      <c r="L525" s="22"/>
      <c r="P525" s="22"/>
      <c r="Q525" s="22"/>
      <c r="R525" s="22"/>
      <c r="S525" s="22"/>
    </row>
    <row r="526" spans="1:19" x14ac:dyDescent="0.25">
      <c r="A526" s="22"/>
      <c r="B526" s="22"/>
      <c r="C526" s="22"/>
      <c r="D526" s="23"/>
      <c r="H526" s="22"/>
      <c r="L526" s="22"/>
      <c r="P526" s="22"/>
      <c r="Q526" s="22"/>
      <c r="R526" s="22"/>
      <c r="S526" s="22"/>
    </row>
    <row r="527" spans="1:19" x14ac:dyDescent="0.25">
      <c r="A527" s="22"/>
      <c r="B527" s="22"/>
      <c r="C527" s="22"/>
      <c r="D527" s="23"/>
      <c r="H527" s="22"/>
      <c r="L527" s="22"/>
      <c r="P527" s="22"/>
      <c r="Q527" s="22"/>
      <c r="R527" s="22"/>
      <c r="S527" s="22"/>
    </row>
    <row r="528" spans="1:19" x14ac:dyDescent="0.25">
      <c r="A528" s="22"/>
      <c r="B528" s="22"/>
      <c r="C528" s="22"/>
      <c r="D528" s="23"/>
      <c r="H528" s="22"/>
      <c r="L528" s="22"/>
      <c r="P528" s="22"/>
      <c r="Q528" s="22"/>
      <c r="R528" s="22"/>
      <c r="S528" s="22"/>
    </row>
    <row r="529" spans="1:19" x14ac:dyDescent="0.25">
      <c r="A529" s="22"/>
      <c r="B529" s="22"/>
      <c r="C529" s="22"/>
      <c r="D529" s="23"/>
      <c r="H529" s="22"/>
      <c r="L529" s="22"/>
      <c r="P529" s="22"/>
      <c r="Q529" s="22"/>
      <c r="R529" s="22"/>
      <c r="S529" s="22"/>
    </row>
    <row r="530" spans="1:19" x14ac:dyDescent="0.25">
      <c r="A530" s="22"/>
      <c r="B530" s="22"/>
      <c r="C530" s="22"/>
      <c r="D530" s="23"/>
      <c r="H530" s="22"/>
      <c r="L530" s="22"/>
      <c r="P530" s="22"/>
      <c r="Q530" s="22"/>
      <c r="R530" s="22"/>
      <c r="S530" s="22"/>
    </row>
    <row r="531" spans="1:19" x14ac:dyDescent="0.25">
      <c r="A531" s="22"/>
      <c r="B531" s="22"/>
      <c r="C531" s="22"/>
      <c r="D531" s="23"/>
      <c r="H531" s="22"/>
      <c r="L531" s="22"/>
      <c r="P531" s="22"/>
      <c r="Q531" s="22"/>
      <c r="R531" s="22"/>
      <c r="S531" s="22"/>
    </row>
    <row r="532" spans="1:19" x14ac:dyDescent="0.25">
      <c r="A532" s="22"/>
      <c r="B532" s="22"/>
      <c r="C532" s="22"/>
      <c r="D532" s="23"/>
      <c r="H532" s="22"/>
      <c r="L532" s="22"/>
      <c r="P532" s="22"/>
      <c r="Q532" s="22"/>
      <c r="R532" s="22"/>
      <c r="S532" s="22"/>
    </row>
    <row r="533" spans="1:19" x14ac:dyDescent="0.25">
      <c r="A533" s="22"/>
      <c r="B533" s="22"/>
      <c r="C533" s="22"/>
      <c r="D533" s="23"/>
      <c r="H533" s="22"/>
      <c r="L533" s="22"/>
      <c r="P533" s="22"/>
      <c r="Q533" s="22"/>
      <c r="R533" s="22"/>
      <c r="S533" s="22"/>
    </row>
    <row r="534" spans="1:19" x14ac:dyDescent="0.25">
      <c r="A534" s="22"/>
      <c r="B534" s="22"/>
      <c r="C534" s="22"/>
      <c r="D534" s="23"/>
      <c r="H534" s="22"/>
      <c r="L534" s="22"/>
      <c r="P534" s="22"/>
      <c r="Q534" s="22"/>
      <c r="R534" s="22"/>
      <c r="S534" s="22"/>
    </row>
    <row r="535" spans="1:19" x14ac:dyDescent="0.25">
      <c r="A535" s="22"/>
      <c r="B535" s="22"/>
      <c r="C535" s="22"/>
      <c r="D535" s="23"/>
      <c r="H535" s="22"/>
      <c r="L535" s="22"/>
      <c r="P535" s="22"/>
      <c r="Q535" s="22"/>
      <c r="R535" s="22"/>
      <c r="S535" s="22"/>
    </row>
    <row r="536" spans="1:19" x14ac:dyDescent="0.25">
      <c r="A536" s="22"/>
      <c r="B536" s="22"/>
      <c r="C536" s="22"/>
      <c r="D536" s="23"/>
      <c r="H536" s="22"/>
      <c r="L536" s="22"/>
      <c r="P536" s="22"/>
      <c r="Q536" s="22"/>
      <c r="R536" s="22"/>
      <c r="S536" s="22"/>
    </row>
    <row r="537" spans="1:19" x14ac:dyDescent="0.25">
      <c r="A537" s="22"/>
      <c r="B537" s="22"/>
      <c r="C537" s="22"/>
      <c r="D537" s="23"/>
      <c r="H537" s="22"/>
      <c r="L537" s="22"/>
      <c r="P537" s="22"/>
      <c r="Q537" s="22"/>
      <c r="R537" s="22"/>
      <c r="S537" s="22"/>
    </row>
    <row r="538" spans="1:19" x14ac:dyDescent="0.25">
      <c r="A538" s="22"/>
      <c r="B538" s="22"/>
      <c r="C538" s="22"/>
      <c r="D538" s="23"/>
      <c r="H538" s="22"/>
      <c r="L538" s="22"/>
      <c r="P538" s="22"/>
      <c r="Q538" s="22"/>
      <c r="R538" s="22"/>
      <c r="S538" s="22"/>
    </row>
    <row r="539" spans="1:19" x14ac:dyDescent="0.25">
      <c r="A539" s="22"/>
      <c r="B539" s="22"/>
      <c r="C539" s="22"/>
      <c r="D539" s="23"/>
      <c r="H539" s="22"/>
      <c r="L539" s="22"/>
      <c r="P539" s="22"/>
      <c r="Q539" s="22"/>
      <c r="R539" s="22"/>
      <c r="S539" s="22"/>
    </row>
    <row r="540" spans="1:19" x14ac:dyDescent="0.25">
      <c r="A540" s="22"/>
      <c r="B540" s="22"/>
      <c r="C540" s="22"/>
      <c r="D540" s="23"/>
      <c r="H540" s="22"/>
      <c r="L540" s="22"/>
      <c r="P540" s="22"/>
      <c r="Q540" s="22"/>
      <c r="R540" s="22"/>
      <c r="S540" s="22"/>
    </row>
    <row r="541" spans="1:19" x14ac:dyDescent="0.25">
      <c r="A541" s="22"/>
      <c r="B541" s="22"/>
      <c r="C541" s="22"/>
      <c r="D541" s="23"/>
      <c r="H541" s="22"/>
      <c r="L541" s="22"/>
      <c r="P541" s="22"/>
      <c r="Q541" s="22"/>
      <c r="R541" s="22"/>
      <c r="S541" s="22"/>
    </row>
    <row r="542" spans="1:19" x14ac:dyDescent="0.25">
      <c r="A542" s="22"/>
      <c r="B542" s="22"/>
      <c r="C542" s="22"/>
      <c r="D542" s="23"/>
      <c r="H542" s="22"/>
      <c r="L542" s="22"/>
      <c r="P542" s="22"/>
      <c r="Q542" s="22"/>
      <c r="R542" s="22"/>
      <c r="S542" s="22"/>
    </row>
    <row r="543" spans="1:19" x14ac:dyDescent="0.25">
      <c r="A543" s="22"/>
      <c r="B543" s="22"/>
      <c r="C543" s="22"/>
      <c r="D543" s="23"/>
      <c r="H543" s="22"/>
      <c r="L543" s="22"/>
      <c r="P543" s="22"/>
      <c r="Q543" s="22"/>
      <c r="R543" s="22"/>
      <c r="S543" s="22"/>
    </row>
    <row r="544" spans="1:19" x14ac:dyDescent="0.25">
      <c r="A544" s="22"/>
      <c r="B544" s="22"/>
      <c r="C544" s="22"/>
      <c r="D544" s="23"/>
      <c r="H544" s="22"/>
      <c r="L544" s="22"/>
      <c r="P544" s="22"/>
      <c r="Q544" s="22"/>
      <c r="R544" s="22"/>
      <c r="S544" s="22"/>
    </row>
    <row r="545" spans="1:19" x14ac:dyDescent="0.25">
      <c r="A545" s="22"/>
      <c r="B545" s="22"/>
      <c r="C545" s="22"/>
      <c r="D545" s="23"/>
      <c r="H545" s="22"/>
      <c r="L545" s="22"/>
      <c r="P545" s="22"/>
      <c r="Q545" s="22"/>
      <c r="R545" s="22"/>
      <c r="S545" s="22"/>
    </row>
    <row r="546" spans="1:19" x14ac:dyDescent="0.25">
      <c r="A546" s="22"/>
      <c r="B546" s="22"/>
      <c r="C546" s="22"/>
      <c r="D546" s="23"/>
      <c r="H546" s="22"/>
      <c r="L546" s="22"/>
      <c r="P546" s="22"/>
      <c r="Q546" s="22"/>
      <c r="R546" s="22"/>
      <c r="S546" s="22"/>
    </row>
    <row r="547" spans="1:19" x14ac:dyDescent="0.25">
      <c r="A547" s="22"/>
      <c r="B547" s="22"/>
      <c r="C547" s="22"/>
      <c r="D547" s="23"/>
      <c r="H547" s="22"/>
      <c r="L547" s="22"/>
      <c r="P547" s="22"/>
      <c r="Q547" s="22"/>
      <c r="R547" s="22"/>
      <c r="S547" s="22"/>
    </row>
    <row r="548" spans="1:19" x14ac:dyDescent="0.25">
      <c r="A548" s="22"/>
      <c r="B548" s="22"/>
      <c r="C548" s="22"/>
      <c r="D548" s="23"/>
      <c r="H548" s="22"/>
      <c r="L548" s="22"/>
      <c r="P548" s="22"/>
      <c r="Q548" s="22"/>
      <c r="R548" s="22"/>
      <c r="S548" s="22"/>
    </row>
    <row r="549" spans="1:19" x14ac:dyDescent="0.25">
      <c r="A549" s="22"/>
      <c r="B549" s="22"/>
      <c r="C549" s="22"/>
      <c r="D549" s="23"/>
      <c r="H549" s="22"/>
      <c r="L549" s="22"/>
      <c r="P549" s="22"/>
      <c r="Q549" s="22"/>
      <c r="R549" s="22"/>
      <c r="S549" s="22"/>
    </row>
    <row r="550" spans="1:19" x14ac:dyDescent="0.25">
      <c r="A550" s="22"/>
      <c r="B550" s="22"/>
      <c r="C550" s="22"/>
      <c r="D550" s="23"/>
      <c r="H550" s="22"/>
      <c r="L550" s="22"/>
      <c r="P550" s="22"/>
      <c r="Q550" s="22"/>
      <c r="R550" s="22"/>
      <c r="S550" s="22"/>
    </row>
    <row r="551" spans="1:19" x14ac:dyDescent="0.25">
      <c r="A551" s="22"/>
      <c r="B551" s="22"/>
      <c r="C551" s="22"/>
      <c r="D551" s="23"/>
      <c r="H551" s="22"/>
      <c r="L551" s="22"/>
      <c r="P551" s="22"/>
      <c r="Q551" s="22"/>
      <c r="R551" s="22"/>
      <c r="S551" s="22"/>
    </row>
    <row r="552" spans="1:19" x14ac:dyDescent="0.25">
      <c r="A552" s="22"/>
      <c r="B552" s="22"/>
      <c r="C552" s="22"/>
      <c r="D552" s="23"/>
      <c r="H552" s="22"/>
      <c r="L552" s="22"/>
      <c r="P552" s="22"/>
      <c r="Q552" s="22"/>
      <c r="R552" s="22"/>
      <c r="S552" s="22"/>
    </row>
    <row r="553" spans="1:19" x14ac:dyDescent="0.25">
      <c r="A553" s="22"/>
      <c r="B553" s="22"/>
      <c r="C553" s="22"/>
      <c r="D553" s="23"/>
      <c r="H553" s="22"/>
      <c r="L553" s="22"/>
      <c r="P553" s="22"/>
      <c r="Q553" s="22"/>
      <c r="R553" s="22"/>
      <c r="S553" s="22"/>
    </row>
    <row r="554" spans="1:19" x14ac:dyDescent="0.25">
      <c r="A554" s="22"/>
      <c r="B554" s="22"/>
      <c r="C554" s="22"/>
      <c r="D554" s="23"/>
      <c r="H554" s="22"/>
      <c r="L554" s="22"/>
      <c r="P554" s="22"/>
      <c r="Q554" s="22"/>
      <c r="R554" s="22"/>
      <c r="S554" s="22"/>
    </row>
    <row r="555" spans="1:19" x14ac:dyDescent="0.25">
      <c r="A555" s="22"/>
      <c r="B555" s="22"/>
      <c r="C555" s="22"/>
      <c r="D555" s="23"/>
      <c r="H555" s="22"/>
      <c r="L555" s="22"/>
      <c r="P555" s="22"/>
      <c r="Q555" s="22"/>
      <c r="R555" s="22"/>
      <c r="S555" s="22"/>
    </row>
    <row r="556" spans="1:19" x14ac:dyDescent="0.25">
      <c r="A556" s="22"/>
      <c r="B556" s="22"/>
      <c r="C556" s="22"/>
      <c r="D556" s="23"/>
      <c r="H556" s="22"/>
      <c r="L556" s="22"/>
      <c r="P556" s="22"/>
      <c r="Q556" s="22"/>
      <c r="R556" s="22"/>
      <c r="S556" s="22"/>
    </row>
    <row r="557" spans="1:19" x14ac:dyDescent="0.25">
      <c r="A557" s="22"/>
      <c r="B557" s="22"/>
      <c r="C557" s="22"/>
      <c r="D557" s="23"/>
      <c r="H557" s="22"/>
      <c r="L557" s="22"/>
      <c r="P557" s="22"/>
      <c r="Q557" s="22"/>
      <c r="R557" s="22"/>
      <c r="S557" s="22"/>
    </row>
    <row r="558" spans="1:19" x14ac:dyDescent="0.25">
      <c r="A558" s="22"/>
      <c r="B558" s="22"/>
      <c r="C558" s="22"/>
      <c r="D558" s="23"/>
      <c r="H558" s="22"/>
      <c r="L558" s="22"/>
      <c r="P558" s="22"/>
      <c r="Q558" s="22"/>
      <c r="R558" s="22"/>
      <c r="S558" s="22"/>
    </row>
    <row r="559" spans="1:19" x14ac:dyDescent="0.25">
      <c r="A559" s="22"/>
      <c r="B559" s="22"/>
      <c r="C559" s="22"/>
      <c r="D559" s="23"/>
      <c r="H559" s="22"/>
      <c r="L559" s="22"/>
      <c r="P559" s="22"/>
      <c r="Q559" s="22"/>
      <c r="R559" s="22"/>
      <c r="S559" s="22"/>
    </row>
    <row r="560" spans="1:19" x14ac:dyDescent="0.25">
      <c r="A560" s="22"/>
      <c r="B560" s="22"/>
      <c r="C560" s="22"/>
      <c r="D560" s="23"/>
      <c r="H560" s="22"/>
      <c r="L560" s="22"/>
      <c r="P560" s="22"/>
      <c r="Q560" s="22"/>
      <c r="R560" s="22"/>
      <c r="S560" s="22"/>
    </row>
    <row r="561" spans="1:19" x14ac:dyDescent="0.25">
      <c r="A561" s="22"/>
      <c r="B561" s="22"/>
      <c r="C561" s="22"/>
      <c r="D561" s="23"/>
      <c r="H561" s="22"/>
      <c r="L561" s="22"/>
      <c r="P561" s="22"/>
      <c r="Q561" s="22"/>
      <c r="R561" s="22"/>
      <c r="S561" s="22"/>
    </row>
    <row r="562" spans="1:19" x14ac:dyDescent="0.25">
      <c r="A562" s="22"/>
      <c r="B562" s="22"/>
      <c r="C562" s="22"/>
      <c r="D562" s="23"/>
      <c r="H562" s="22"/>
      <c r="L562" s="22"/>
      <c r="P562" s="22"/>
      <c r="Q562" s="22"/>
      <c r="R562" s="22"/>
      <c r="S562" s="22"/>
    </row>
    <row r="563" spans="1:19" x14ac:dyDescent="0.25">
      <c r="A563" s="22"/>
      <c r="B563" s="22"/>
      <c r="C563" s="22"/>
      <c r="D563" s="23"/>
      <c r="H563" s="22"/>
      <c r="L563" s="22"/>
      <c r="P563" s="22"/>
      <c r="Q563" s="22"/>
      <c r="R563" s="22"/>
      <c r="S563" s="22"/>
    </row>
    <row r="564" spans="1:19" x14ac:dyDescent="0.25">
      <c r="A564" s="22"/>
      <c r="B564" s="22"/>
      <c r="C564" s="22"/>
      <c r="D564" s="23"/>
      <c r="H564" s="22"/>
      <c r="L564" s="22"/>
      <c r="P564" s="22"/>
      <c r="Q564" s="22"/>
      <c r="R564" s="22"/>
      <c r="S564" s="22"/>
    </row>
    <row r="565" spans="1:19" x14ac:dyDescent="0.25">
      <c r="A565" s="22"/>
      <c r="B565" s="22"/>
      <c r="C565" s="22"/>
      <c r="D565" s="23"/>
      <c r="H565" s="22"/>
      <c r="L565" s="22"/>
      <c r="P565" s="22"/>
      <c r="Q565" s="22"/>
      <c r="R565" s="22"/>
      <c r="S565" s="22"/>
    </row>
    <row r="566" spans="1:19" x14ac:dyDescent="0.25">
      <c r="A566" s="22"/>
      <c r="B566" s="22"/>
      <c r="C566" s="22"/>
      <c r="D566" s="23"/>
      <c r="H566" s="22"/>
      <c r="L566" s="22"/>
      <c r="P566" s="22"/>
      <c r="Q566" s="22"/>
      <c r="R566" s="22"/>
      <c r="S566" s="22"/>
    </row>
    <row r="567" spans="1:19" x14ac:dyDescent="0.25">
      <c r="A567" s="22"/>
      <c r="B567" s="22"/>
      <c r="C567" s="22"/>
      <c r="D567" s="23"/>
      <c r="H567" s="22"/>
      <c r="L567" s="22"/>
      <c r="P567" s="22"/>
      <c r="Q567" s="22"/>
      <c r="R567" s="22"/>
      <c r="S567" s="22"/>
    </row>
    <row r="568" spans="1:19" x14ac:dyDescent="0.25">
      <c r="A568" s="22"/>
      <c r="B568" s="22"/>
      <c r="C568" s="22"/>
      <c r="D568" s="23"/>
      <c r="H568" s="22"/>
      <c r="L568" s="22"/>
      <c r="P568" s="22"/>
      <c r="Q568" s="22"/>
      <c r="R568" s="22"/>
      <c r="S568" s="22"/>
    </row>
    <row r="569" spans="1:19" x14ac:dyDescent="0.25">
      <c r="A569" s="22"/>
      <c r="B569" s="22"/>
      <c r="C569" s="22"/>
      <c r="D569" s="23"/>
      <c r="H569" s="22"/>
      <c r="L569" s="22"/>
      <c r="P569" s="22"/>
      <c r="Q569" s="22"/>
      <c r="R569" s="22"/>
      <c r="S569" s="22"/>
    </row>
    <row r="570" spans="1:19" x14ac:dyDescent="0.25">
      <c r="A570" s="22"/>
      <c r="B570" s="22"/>
      <c r="C570" s="22"/>
      <c r="D570" s="23"/>
      <c r="H570" s="22"/>
      <c r="L570" s="22"/>
      <c r="P570" s="22"/>
      <c r="Q570" s="22"/>
      <c r="R570" s="22"/>
      <c r="S570" s="22"/>
    </row>
    <row r="571" spans="1:19" x14ac:dyDescent="0.25">
      <c r="A571" s="22"/>
      <c r="B571" s="22"/>
      <c r="C571" s="22"/>
      <c r="D571" s="23"/>
      <c r="H571" s="22"/>
      <c r="L571" s="22"/>
      <c r="P571" s="22"/>
      <c r="Q571" s="22"/>
      <c r="R571" s="22"/>
      <c r="S571" s="22"/>
    </row>
    <row r="572" spans="1:19" x14ac:dyDescent="0.25">
      <c r="A572" s="22"/>
      <c r="B572" s="22"/>
      <c r="C572" s="22"/>
      <c r="D572" s="23"/>
      <c r="H572" s="22"/>
      <c r="L572" s="22"/>
      <c r="P572" s="22"/>
      <c r="Q572" s="22"/>
      <c r="R572" s="22"/>
      <c r="S572" s="22"/>
    </row>
    <row r="573" spans="1:19" x14ac:dyDescent="0.25">
      <c r="A573" s="22"/>
      <c r="B573" s="22"/>
      <c r="C573" s="22"/>
      <c r="D573" s="23"/>
      <c r="H573" s="22"/>
      <c r="L573" s="22"/>
      <c r="P573" s="22"/>
      <c r="Q573" s="22"/>
      <c r="R573" s="22"/>
      <c r="S573" s="22"/>
    </row>
    <row r="574" spans="1:19" x14ac:dyDescent="0.25">
      <c r="A574" s="22"/>
      <c r="B574" s="22"/>
      <c r="C574" s="22"/>
      <c r="D574" s="23"/>
      <c r="H574" s="22"/>
      <c r="L574" s="22"/>
      <c r="P574" s="22"/>
      <c r="Q574" s="22"/>
      <c r="R574" s="22"/>
      <c r="S574" s="22"/>
    </row>
    <row r="575" spans="1:19" x14ac:dyDescent="0.25">
      <c r="A575" s="22"/>
      <c r="B575" s="22"/>
      <c r="C575" s="22"/>
      <c r="D575" s="23"/>
      <c r="H575" s="22"/>
      <c r="L575" s="22"/>
      <c r="P575" s="22"/>
      <c r="Q575" s="22"/>
      <c r="R575" s="22"/>
      <c r="S575" s="22"/>
    </row>
    <row r="576" spans="1:19" x14ac:dyDescent="0.25">
      <c r="A576" s="22"/>
      <c r="B576" s="22"/>
      <c r="C576" s="22"/>
      <c r="D576" s="23"/>
      <c r="H576" s="22"/>
      <c r="L576" s="22"/>
      <c r="P576" s="22"/>
      <c r="Q576" s="22"/>
      <c r="R576" s="22"/>
      <c r="S576" s="22"/>
    </row>
    <row r="577" spans="1:19" x14ac:dyDescent="0.25">
      <c r="A577" s="22"/>
      <c r="B577" s="22"/>
      <c r="C577" s="22"/>
      <c r="D577" s="23"/>
      <c r="H577" s="22"/>
      <c r="L577" s="22"/>
      <c r="P577" s="22"/>
      <c r="Q577" s="22"/>
      <c r="R577" s="22"/>
      <c r="S577" s="22"/>
    </row>
    <row r="578" spans="1:19" x14ac:dyDescent="0.25">
      <c r="A578" s="22"/>
      <c r="B578" s="22"/>
      <c r="C578" s="22"/>
      <c r="D578" s="23"/>
      <c r="H578" s="22"/>
      <c r="L578" s="22"/>
      <c r="P578" s="22"/>
      <c r="Q578" s="22"/>
      <c r="R578" s="22"/>
      <c r="S578" s="22"/>
    </row>
    <row r="579" spans="1:19" x14ac:dyDescent="0.25">
      <c r="A579" s="22"/>
      <c r="B579" s="22"/>
      <c r="C579" s="22"/>
      <c r="D579" s="23"/>
      <c r="H579" s="22"/>
      <c r="L579" s="22"/>
      <c r="P579" s="22"/>
      <c r="Q579" s="22"/>
      <c r="R579" s="22"/>
      <c r="S579" s="22"/>
    </row>
    <row r="580" spans="1:19" x14ac:dyDescent="0.25">
      <c r="A580" s="22"/>
      <c r="B580" s="22"/>
      <c r="C580" s="22"/>
      <c r="D580" s="23"/>
      <c r="H580" s="22"/>
      <c r="L580" s="22"/>
      <c r="P580" s="22"/>
      <c r="Q580" s="22"/>
      <c r="R580" s="22"/>
      <c r="S580" s="22"/>
    </row>
    <row r="581" spans="1:19" x14ac:dyDescent="0.25">
      <c r="A581" s="22"/>
      <c r="B581" s="22"/>
      <c r="C581" s="22"/>
      <c r="D581" s="23"/>
      <c r="H581" s="22"/>
      <c r="L581" s="22"/>
      <c r="P581" s="22"/>
      <c r="Q581" s="22"/>
      <c r="R581" s="22"/>
      <c r="S581" s="22"/>
    </row>
    <row r="582" spans="1:19" x14ac:dyDescent="0.25">
      <c r="A582" s="22"/>
      <c r="B582" s="22"/>
      <c r="C582" s="22"/>
      <c r="D582" s="23"/>
      <c r="H582" s="22"/>
      <c r="L582" s="22"/>
      <c r="P582" s="22"/>
      <c r="Q582" s="22"/>
      <c r="R582" s="22"/>
      <c r="S582" s="22"/>
    </row>
    <row r="583" spans="1:19" x14ac:dyDescent="0.25">
      <c r="A583" s="22"/>
      <c r="B583" s="22"/>
      <c r="C583" s="22"/>
      <c r="D583" s="23"/>
      <c r="H583" s="22"/>
      <c r="L583" s="22"/>
      <c r="P583" s="22"/>
      <c r="Q583" s="22"/>
      <c r="R583" s="22"/>
      <c r="S583" s="22"/>
    </row>
    <row r="584" spans="1:19" x14ac:dyDescent="0.25">
      <c r="A584" s="22"/>
      <c r="B584" s="22"/>
      <c r="C584" s="22"/>
      <c r="D584" s="23"/>
      <c r="H584" s="22"/>
      <c r="L584" s="22"/>
      <c r="P584" s="22"/>
      <c r="Q584" s="22"/>
      <c r="R584" s="22"/>
      <c r="S584" s="22"/>
    </row>
    <row r="585" spans="1:19" x14ac:dyDescent="0.25">
      <c r="A585" s="22"/>
      <c r="B585" s="22"/>
      <c r="C585" s="22"/>
      <c r="D585" s="23"/>
      <c r="H585" s="22"/>
      <c r="L585" s="22"/>
      <c r="P585" s="22"/>
      <c r="Q585" s="22"/>
      <c r="R585" s="22"/>
      <c r="S585" s="22"/>
    </row>
    <row r="586" spans="1:19" x14ac:dyDescent="0.25">
      <c r="A586" s="22"/>
      <c r="B586" s="22"/>
      <c r="C586" s="22"/>
      <c r="D586" s="23"/>
      <c r="H586" s="22"/>
      <c r="L586" s="22"/>
      <c r="P586" s="22"/>
      <c r="Q586" s="22"/>
      <c r="R586" s="22"/>
      <c r="S586" s="22"/>
    </row>
    <row r="587" spans="1:19" x14ac:dyDescent="0.25">
      <c r="A587" s="22"/>
      <c r="B587" s="22"/>
      <c r="C587" s="22"/>
      <c r="D587" s="23"/>
      <c r="H587" s="22"/>
      <c r="L587" s="22"/>
      <c r="P587" s="22"/>
      <c r="Q587" s="22"/>
      <c r="R587" s="22"/>
      <c r="S587" s="22"/>
    </row>
    <row r="588" spans="1:19" x14ac:dyDescent="0.25">
      <c r="A588" s="22"/>
      <c r="B588" s="22"/>
      <c r="C588" s="22"/>
      <c r="D588" s="23"/>
      <c r="H588" s="22"/>
      <c r="L588" s="22"/>
      <c r="P588" s="22"/>
      <c r="Q588" s="22"/>
      <c r="R588" s="22"/>
      <c r="S588" s="22"/>
    </row>
    <row r="589" spans="1:19" x14ac:dyDescent="0.25">
      <c r="A589" s="22"/>
      <c r="B589" s="22"/>
      <c r="C589" s="22"/>
      <c r="D589" s="23"/>
      <c r="H589" s="22"/>
      <c r="L589" s="22"/>
      <c r="P589" s="22"/>
      <c r="Q589" s="22"/>
      <c r="R589" s="22"/>
      <c r="S589" s="22"/>
    </row>
    <row r="590" spans="1:19" x14ac:dyDescent="0.25">
      <c r="A590" s="22"/>
      <c r="B590" s="22"/>
      <c r="C590" s="22"/>
      <c r="D590" s="23"/>
      <c r="H590" s="22"/>
      <c r="L590" s="22"/>
      <c r="P590" s="22"/>
      <c r="Q590" s="22"/>
      <c r="R590" s="22"/>
      <c r="S590" s="22"/>
    </row>
    <row r="591" spans="1:19" x14ac:dyDescent="0.25">
      <c r="A591" s="22"/>
      <c r="B591" s="22"/>
      <c r="C591" s="22"/>
      <c r="D591" s="23"/>
      <c r="H591" s="22"/>
      <c r="L591" s="22"/>
      <c r="P591" s="22"/>
      <c r="Q591" s="22"/>
      <c r="R591" s="22"/>
      <c r="S591" s="22"/>
    </row>
    <row r="592" spans="1:19" x14ac:dyDescent="0.25">
      <c r="A592" s="22"/>
      <c r="B592" s="22"/>
      <c r="C592" s="22"/>
      <c r="D592" s="23"/>
      <c r="H592" s="22"/>
      <c r="L592" s="22"/>
      <c r="P592" s="22"/>
      <c r="Q592" s="22"/>
      <c r="R592" s="22"/>
      <c r="S592" s="22"/>
    </row>
    <row r="593" spans="1:19" x14ac:dyDescent="0.25">
      <c r="A593" s="22"/>
      <c r="B593" s="22"/>
      <c r="C593" s="22"/>
      <c r="D593" s="23"/>
      <c r="H593" s="22"/>
      <c r="L593" s="22"/>
      <c r="P593" s="22"/>
      <c r="Q593" s="22"/>
      <c r="R593" s="22"/>
      <c r="S593" s="22"/>
    </row>
    <row r="594" spans="1:19" x14ac:dyDescent="0.25">
      <c r="A594" s="22"/>
      <c r="B594" s="22"/>
      <c r="C594" s="22"/>
      <c r="D594" s="23"/>
      <c r="H594" s="22"/>
      <c r="L594" s="22"/>
      <c r="P594" s="22"/>
      <c r="Q594" s="22"/>
      <c r="R594" s="22"/>
      <c r="S594" s="22"/>
    </row>
    <row r="595" spans="1:19" x14ac:dyDescent="0.25">
      <c r="A595" s="22"/>
      <c r="B595" s="22"/>
      <c r="C595" s="22"/>
      <c r="D595" s="23"/>
      <c r="H595" s="22"/>
      <c r="L595" s="22"/>
      <c r="P595" s="22"/>
      <c r="Q595" s="22"/>
      <c r="R595" s="22"/>
      <c r="S595" s="22"/>
    </row>
    <row r="596" spans="1:19" x14ac:dyDescent="0.25">
      <c r="A596" s="22"/>
      <c r="B596" s="22"/>
      <c r="C596" s="22"/>
      <c r="D596" s="23"/>
      <c r="H596" s="22"/>
      <c r="L596" s="22"/>
      <c r="P596" s="22"/>
      <c r="Q596" s="22"/>
      <c r="R596" s="22"/>
      <c r="S596" s="22"/>
    </row>
    <row r="597" spans="1:19" x14ac:dyDescent="0.25">
      <c r="A597" s="22"/>
      <c r="B597" s="22"/>
      <c r="C597" s="22"/>
      <c r="D597" s="23"/>
      <c r="H597" s="22"/>
      <c r="L597" s="22"/>
      <c r="P597" s="22"/>
      <c r="Q597" s="22"/>
      <c r="R597" s="22"/>
      <c r="S597" s="22"/>
    </row>
    <row r="598" spans="1:19" x14ac:dyDescent="0.25">
      <c r="A598" s="22"/>
      <c r="B598" s="22"/>
      <c r="C598" s="22"/>
      <c r="D598" s="23"/>
      <c r="H598" s="22"/>
      <c r="L598" s="22"/>
      <c r="P598" s="22"/>
      <c r="Q598" s="22"/>
      <c r="R598" s="22"/>
      <c r="S598" s="22"/>
    </row>
    <row r="599" spans="1:19" x14ac:dyDescent="0.25">
      <c r="A599" s="22"/>
      <c r="B599" s="22"/>
      <c r="C599" s="22"/>
      <c r="D599" s="23"/>
      <c r="H599" s="22"/>
      <c r="L599" s="22"/>
      <c r="P599" s="22"/>
      <c r="Q599" s="22"/>
      <c r="R599" s="22"/>
      <c r="S599" s="22"/>
    </row>
    <row r="600" spans="1:19" x14ac:dyDescent="0.25">
      <c r="A600" s="22"/>
      <c r="B600" s="22"/>
      <c r="C600" s="22"/>
      <c r="D600" s="23"/>
      <c r="H600" s="22"/>
      <c r="L600" s="22"/>
      <c r="P600" s="22"/>
      <c r="Q600" s="22"/>
      <c r="R600" s="22"/>
      <c r="S600" s="22"/>
    </row>
    <row r="601" spans="1:19" x14ac:dyDescent="0.25">
      <c r="A601" s="22"/>
      <c r="B601" s="22"/>
      <c r="C601" s="22"/>
      <c r="D601" s="23"/>
      <c r="H601" s="22"/>
      <c r="L601" s="22"/>
      <c r="P601" s="22"/>
      <c r="Q601" s="22"/>
      <c r="R601" s="22"/>
      <c r="S601" s="22"/>
    </row>
    <row r="602" spans="1:19" x14ac:dyDescent="0.25">
      <c r="A602" s="22"/>
      <c r="B602" s="22"/>
      <c r="C602" s="22"/>
      <c r="D602" s="23"/>
      <c r="H602" s="22"/>
      <c r="L602" s="22"/>
      <c r="P602" s="22"/>
      <c r="Q602" s="22"/>
      <c r="R602" s="22"/>
      <c r="S602" s="22"/>
    </row>
    <row r="603" spans="1:19" x14ac:dyDescent="0.25">
      <c r="A603" s="22"/>
      <c r="B603" s="22"/>
      <c r="C603" s="22"/>
      <c r="D603" s="23"/>
      <c r="H603" s="22"/>
      <c r="L603" s="22"/>
      <c r="P603" s="22"/>
      <c r="Q603" s="22"/>
      <c r="R603" s="22"/>
      <c r="S603" s="22"/>
    </row>
    <row r="604" spans="1:19" x14ac:dyDescent="0.25">
      <c r="A604" s="22"/>
      <c r="B604" s="22"/>
      <c r="C604" s="22"/>
      <c r="D604" s="23"/>
      <c r="H604" s="22"/>
      <c r="L604" s="22"/>
      <c r="P604" s="22"/>
      <c r="Q604" s="22"/>
      <c r="R604" s="22"/>
      <c r="S604" s="22"/>
    </row>
    <row r="605" spans="1:19" x14ac:dyDescent="0.25">
      <c r="A605" s="22"/>
      <c r="B605" s="22"/>
      <c r="C605" s="22"/>
      <c r="D605" s="23"/>
      <c r="H605" s="22"/>
      <c r="L605" s="22"/>
      <c r="P605" s="22"/>
      <c r="Q605" s="22"/>
      <c r="R605" s="22"/>
      <c r="S605" s="22"/>
    </row>
    <row r="606" spans="1:19" x14ac:dyDescent="0.25">
      <c r="A606" s="22"/>
      <c r="B606" s="22"/>
      <c r="C606" s="22"/>
      <c r="D606" s="23"/>
      <c r="H606" s="22"/>
      <c r="L606" s="22"/>
      <c r="P606" s="22"/>
      <c r="Q606" s="22"/>
      <c r="R606" s="22"/>
      <c r="S606" s="22"/>
    </row>
    <row r="607" spans="1:19" x14ac:dyDescent="0.25">
      <c r="A607" s="22"/>
      <c r="B607" s="22"/>
      <c r="C607" s="22"/>
      <c r="D607" s="23"/>
      <c r="H607" s="22"/>
      <c r="L607" s="22"/>
      <c r="P607" s="22"/>
      <c r="Q607" s="22"/>
      <c r="R607" s="22"/>
      <c r="S607" s="22"/>
    </row>
    <row r="608" spans="1:19" x14ac:dyDescent="0.25">
      <c r="A608" s="22"/>
      <c r="B608" s="22"/>
      <c r="C608" s="22"/>
      <c r="D608" s="23"/>
      <c r="H608" s="22"/>
      <c r="L608" s="22"/>
      <c r="P608" s="22"/>
      <c r="Q608" s="22"/>
      <c r="R608" s="22"/>
      <c r="S608" s="22"/>
    </row>
    <row r="609" spans="1:19" x14ac:dyDescent="0.25">
      <c r="A609" s="22"/>
      <c r="B609" s="22"/>
      <c r="C609" s="22"/>
      <c r="D609" s="23"/>
      <c r="H609" s="22"/>
      <c r="L609" s="22"/>
      <c r="P609" s="22"/>
      <c r="Q609" s="22"/>
      <c r="R609" s="22"/>
      <c r="S609" s="22"/>
    </row>
    <row r="610" spans="1:19" x14ac:dyDescent="0.25">
      <c r="A610" s="22"/>
      <c r="B610" s="22"/>
      <c r="C610" s="22"/>
      <c r="D610" s="23"/>
      <c r="H610" s="22"/>
      <c r="L610" s="22"/>
      <c r="P610" s="22"/>
      <c r="Q610" s="22"/>
      <c r="R610" s="22"/>
      <c r="S610" s="22"/>
    </row>
    <row r="611" spans="1:19" x14ac:dyDescent="0.25">
      <c r="A611" s="22"/>
      <c r="B611" s="22"/>
      <c r="C611" s="22"/>
      <c r="D611" s="23"/>
      <c r="H611" s="22"/>
      <c r="L611" s="22"/>
      <c r="P611" s="22"/>
      <c r="Q611" s="22"/>
      <c r="R611" s="22"/>
      <c r="S611" s="22"/>
    </row>
    <row r="612" spans="1:19" x14ac:dyDescent="0.25">
      <c r="A612" s="22"/>
      <c r="B612" s="22"/>
      <c r="C612" s="22"/>
      <c r="D612" s="23"/>
      <c r="H612" s="22"/>
      <c r="L612" s="22"/>
      <c r="P612" s="22"/>
      <c r="Q612" s="22"/>
      <c r="R612" s="22"/>
      <c r="S612" s="22"/>
    </row>
    <row r="613" spans="1:19" x14ac:dyDescent="0.25">
      <c r="A613" s="22"/>
      <c r="B613" s="22"/>
      <c r="C613" s="22"/>
      <c r="D613" s="23"/>
      <c r="H613" s="22"/>
      <c r="L613" s="22"/>
      <c r="P613" s="22"/>
      <c r="Q613" s="22"/>
      <c r="R613" s="22"/>
      <c r="S613" s="22"/>
    </row>
    <row r="614" spans="1:19" x14ac:dyDescent="0.25">
      <c r="A614" s="22"/>
      <c r="B614" s="22"/>
      <c r="C614" s="22"/>
      <c r="D614" s="23"/>
      <c r="H614" s="22"/>
      <c r="L614" s="22"/>
      <c r="P614" s="22"/>
      <c r="Q614" s="22"/>
      <c r="R614" s="22"/>
      <c r="S614" s="22"/>
    </row>
    <row r="615" spans="1:19" x14ac:dyDescent="0.25">
      <c r="A615" s="22"/>
      <c r="B615" s="22"/>
      <c r="C615" s="22"/>
      <c r="D615" s="23"/>
      <c r="H615" s="22"/>
      <c r="L615" s="22"/>
      <c r="P615" s="22"/>
      <c r="Q615" s="22"/>
      <c r="R615" s="22"/>
      <c r="S615" s="22"/>
    </row>
    <row r="616" spans="1:19" x14ac:dyDescent="0.25">
      <c r="A616" s="22"/>
      <c r="B616" s="22"/>
      <c r="C616" s="22"/>
      <c r="D616" s="23"/>
      <c r="H616" s="22"/>
      <c r="L616" s="22"/>
      <c r="P616" s="22"/>
      <c r="Q616" s="22"/>
      <c r="R616" s="22"/>
      <c r="S616" s="22"/>
    </row>
    <row r="617" spans="1:19" x14ac:dyDescent="0.25">
      <c r="A617" s="22"/>
      <c r="B617" s="22"/>
      <c r="C617" s="22"/>
      <c r="D617" s="23"/>
      <c r="H617" s="22"/>
      <c r="L617" s="22"/>
      <c r="P617" s="22"/>
      <c r="Q617" s="22"/>
      <c r="R617" s="22"/>
      <c r="S617" s="22"/>
    </row>
    <row r="618" spans="1:19" x14ac:dyDescent="0.25">
      <c r="A618" s="22"/>
      <c r="B618" s="22"/>
      <c r="C618" s="22"/>
      <c r="D618" s="23"/>
      <c r="H618" s="22"/>
      <c r="L618" s="22"/>
      <c r="P618" s="22"/>
      <c r="Q618" s="22"/>
      <c r="R618" s="22"/>
      <c r="S618" s="22"/>
    </row>
    <row r="619" spans="1:19" x14ac:dyDescent="0.25">
      <c r="A619" s="22"/>
      <c r="B619" s="22"/>
      <c r="C619" s="22"/>
      <c r="D619" s="23"/>
      <c r="H619" s="22"/>
      <c r="L619" s="22"/>
      <c r="P619" s="22"/>
      <c r="Q619" s="22"/>
      <c r="R619" s="22"/>
      <c r="S619" s="22"/>
    </row>
    <row r="620" spans="1:19" x14ac:dyDescent="0.25">
      <c r="A620" s="22"/>
      <c r="B620" s="22"/>
      <c r="C620" s="22"/>
      <c r="D620" s="23"/>
      <c r="H620" s="22"/>
      <c r="L620" s="22"/>
      <c r="P620" s="22"/>
      <c r="Q620" s="22"/>
      <c r="R620" s="22"/>
      <c r="S620" s="22"/>
    </row>
    <row r="621" spans="1:19" x14ac:dyDescent="0.25">
      <c r="A621" s="22"/>
      <c r="B621" s="22"/>
      <c r="C621" s="22"/>
      <c r="D621" s="23"/>
      <c r="H621" s="22"/>
      <c r="L621" s="22"/>
      <c r="P621" s="22"/>
      <c r="Q621" s="22"/>
      <c r="R621" s="22"/>
      <c r="S621" s="22"/>
    </row>
    <row r="622" spans="1:19" x14ac:dyDescent="0.25">
      <c r="A622" s="22"/>
      <c r="B622" s="22"/>
      <c r="C622" s="22"/>
      <c r="D622" s="23"/>
      <c r="H622" s="22"/>
      <c r="L622" s="22"/>
      <c r="P622" s="22"/>
      <c r="Q622" s="22"/>
      <c r="R622" s="22"/>
      <c r="S622" s="22"/>
    </row>
    <row r="623" spans="1:19" x14ac:dyDescent="0.25">
      <c r="A623" s="22"/>
      <c r="B623" s="22"/>
      <c r="C623" s="22"/>
      <c r="D623" s="23"/>
      <c r="H623" s="22"/>
      <c r="L623" s="22"/>
      <c r="P623" s="22"/>
      <c r="Q623" s="22"/>
      <c r="R623" s="22"/>
      <c r="S623" s="22"/>
    </row>
    <row r="624" spans="1:19" x14ac:dyDescent="0.25">
      <c r="A624" s="22"/>
      <c r="B624" s="22"/>
      <c r="C624" s="22"/>
      <c r="D624" s="23"/>
      <c r="H624" s="22"/>
      <c r="L624" s="22"/>
      <c r="P624" s="22"/>
      <c r="Q624" s="22"/>
      <c r="R624" s="22"/>
      <c r="S624" s="22"/>
    </row>
    <row r="625" spans="1:19" x14ac:dyDescent="0.25">
      <c r="A625" s="22"/>
      <c r="B625" s="22"/>
      <c r="C625" s="22"/>
      <c r="D625" s="23"/>
      <c r="H625" s="22"/>
      <c r="L625" s="22"/>
      <c r="P625" s="22"/>
      <c r="Q625" s="22"/>
      <c r="R625" s="22"/>
      <c r="S625" s="22"/>
    </row>
    <row r="626" spans="1:19" x14ac:dyDescent="0.25">
      <c r="A626" s="22"/>
      <c r="B626" s="22"/>
      <c r="C626" s="22"/>
      <c r="D626" s="23"/>
      <c r="H626" s="22"/>
      <c r="L626" s="22"/>
      <c r="P626" s="22"/>
      <c r="Q626" s="22"/>
      <c r="R626" s="22"/>
      <c r="S626" s="22"/>
    </row>
    <row r="627" spans="1:19" x14ac:dyDescent="0.25">
      <c r="A627" s="22"/>
      <c r="B627" s="22"/>
      <c r="C627" s="22"/>
      <c r="D627" s="23"/>
      <c r="H627" s="22"/>
      <c r="L627" s="22"/>
      <c r="P627" s="22"/>
      <c r="Q627" s="22"/>
      <c r="R627" s="22"/>
      <c r="S627" s="22"/>
    </row>
    <row r="628" spans="1:19" x14ac:dyDescent="0.25">
      <c r="A628" s="22"/>
      <c r="B628" s="22"/>
      <c r="C628" s="22"/>
      <c r="D628" s="23"/>
      <c r="H628" s="22"/>
      <c r="L628" s="22"/>
      <c r="P628" s="22"/>
      <c r="Q628" s="22"/>
      <c r="R628" s="22"/>
      <c r="S628" s="22"/>
    </row>
    <row r="629" spans="1:19" x14ac:dyDescent="0.25">
      <c r="A629" s="22"/>
      <c r="B629" s="22"/>
      <c r="C629" s="22"/>
      <c r="D629" s="23"/>
      <c r="H629" s="22"/>
      <c r="L629" s="22"/>
      <c r="P629" s="22"/>
      <c r="Q629" s="22"/>
      <c r="R629" s="22"/>
      <c r="S629" s="22"/>
    </row>
    <row r="630" spans="1:19" x14ac:dyDescent="0.25">
      <c r="A630" s="22"/>
      <c r="B630" s="22"/>
      <c r="C630" s="22"/>
      <c r="D630" s="23"/>
      <c r="H630" s="22"/>
      <c r="L630" s="22"/>
      <c r="P630" s="22"/>
      <c r="Q630" s="22"/>
      <c r="R630" s="22"/>
      <c r="S630" s="22"/>
    </row>
    <row r="631" spans="1:19" x14ac:dyDescent="0.25">
      <c r="A631" s="22"/>
      <c r="B631" s="22"/>
      <c r="C631" s="22"/>
      <c r="D631" s="23"/>
      <c r="H631" s="22"/>
      <c r="L631" s="22"/>
      <c r="P631" s="22"/>
      <c r="Q631" s="22"/>
      <c r="R631" s="22"/>
      <c r="S631" s="22"/>
    </row>
    <row r="632" spans="1:19" x14ac:dyDescent="0.25">
      <c r="A632" s="22"/>
      <c r="B632" s="22"/>
      <c r="C632" s="22"/>
      <c r="D632" s="23"/>
      <c r="H632" s="22"/>
      <c r="L632" s="22"/>
      <c r="P632" s="22"/>
      <c r="Q632" s="22"/>
      <c r="R632" s="22"/>
      <c r="S632" s="22"/>
    </row>
    <row r="633" spans="1:19" x14ac:dyDescent="0.25">
      <c r="A633" s="22"/>
      <c r="B633" s="22"/>
      <c r="C633" s="22"/>
      <c r="D633" s="23"/>
      <c r="H633" s="22"/>
      <c r="L633" s="22"/>
      <c r="P633" s="22"/>
      <c r="Q633" s="22"/>
      <c r="R633" s="22"/>
      <c r="S633" s="22"/>
    </row>
    <row r="634" spans="1:19" x14ac:dyDescent="0.25">
      <c r="A634" s="22"/>
      <c r="B634" s="22"/>
      <c r="C634" s="22"/>
      <c r="D634" s="23"/>
      <c r="H634" s="22"/>
      <c r="L634" s="22"/>
      <c r="P634" s="22"/>
      <c r="Q634" s="22"/>
      <c r="R634" s="22"/>
      <c r="S634" s="22"/>
    </row>
    <row r="635" spans="1:19" x14ac:dyDescent="0.25">
      <c r="A635" s="22"/>
      <c r="B635" s="22"/>
      <c r="C635" s="22"/>
      <c r="D635" s="23"/>
      <c r="H635" s="22"/>
      <c r="L635" s="22"/>
      <c r="P635" s="22"/>
      <c r="Q635" s="22"/>
      <c r="R635" s="22"/>
      <c r="S635" s="22"/>
    </row>
    <row r="636" spans="1:19" x14ac:dyDescent="0.25">
      <c r="A636" s="22"/>
      <c r="B636" s="22"/>
      <c r="C636" s="22"/>
      <c r="D636" s="23"/>
      <c r="H636" s="22"/>
      <c r="L636" s="22"/>
      <c r="P636" s="22"/>
      <c r="Q636" s="22"/>
      <c r="R636" s="22"/>
      <c r="S636" s="22"/>
    </row>
    <row r="637" spans="1:19" x14ac:dyDescent="0.25">
      <c r="A637" s="22"/>
      <c r="B637" s="22"/>
      <c r="C637" s="22"/>
      <c r="D637" s="23"/>
      <c r="H637" s="22"/>
      <c r="L637" s="22"/>
      <c r="P637" s="22"/>
      <c r="Q637" s="22"/>
      <c r="R637" s="22"/>
      <c r="S637" s="22"/>
    </row>
    <row r="638" spans="1:19" x14ac:dyDescent="0.25">
      <c r="A638" s="22"/>
      <c r="B638" s="22"/>
      <c r="C638" s="22"/>
      <c r="D638" s="23"/>
      <c r="H638" s="22"/>
      <c r="L638" s="22"/>
      <c r="P638" s="22"/>
      <c r="Q638" s="22"/>
      <c r="R638" s="22"/>
      <c r="S638" s="22"/>
    </row>
    <row r="639" spans="1:19" x14ac:dyDescent="0.25">
      <c r="A639" s="22"/>
      <c r="B639" s="22"/>
      <c r="C639" s="22"/>
      <c r="D639" s="23"/>
      <c r="H639" s="22"/>
      <c r="L639" s="22"/>
      <c r="P639" s="22"/>
      <c r="Q639" s="22"/>
      <c r="R639" s="22"/>
      <c r="S639" s="22"/>
    </row>
    <row r="640" spans="1:19" x14ac:dyDescent="0.25">
      <c r="A640" s="22"/>
      <c r="B640" s="22"/>
      <c r="C640" s="22"/>
      <c r="D640" s="23"/>
      <c r="H640" s="22"/>
      <c r="L640" s="22"/>
      <c r="P640" s="22"/>
      <c r="Q640" s="22"/>
      <c r="R640" s="22"/>
      <c r="S640" s="22"/>
    </row>
    <row r="641" spans="1:19" x14ac:dyDescent="0.25">
      <c r="A641" s="22"/>
      <c r="B641" s="22"/>
      <c r="C641" s="22"/>
      <c r="D641" s="23"/>
      <c r="H641" s="22"/>
      <c r="L641" s="22"/>
      <c r="P641" s="22"/>
      <c r="Q641" s="22"/>
      <c r="R641" s="22"/>
      <c r="S641" s="22"/>
    </row>
    <row r="642" spans="1:19" x14ac:dyDescent="0.25">
      <c r="A642" s="22"/>
      <c r="B642" s="22"/>
      <c r="C642" s="22"/>
      <c r="D642" s="23"/>
      <c r="H642" s="22"/>
      <c r="L642" s="22"/>
      <c r="P642" s="22"/>
      <c r="Q642" s="22"/>
      <c r="R642" s="22"/>
      <c r="S642" s="22"/>
    </row>
    <row r="643" spans="1:19" x14ac:dyDescent="0.25">
      <c r="A643" s="22"/>
      <c r="B643" s="22"/>
      <c r="C643" s="22"/>
      <c r="D643" s="23"/>
      <c r="H643" s="22"/>
      <c r="L643" s="22"/>
      <c r="P643" s="22"/>
      <c r="Q643" s="22"/>
      <c r="R643" s="22"/>
      <c r="S643" s="22"/>
    </row>
    <row r="644" spans="1:19" x14ac:dyDescent="0.25">
      <c r="A644" s="22"/>
      <c r="B644" s="22"/>
      <c r="C644" s="22"/>
      <c r="D644" s="23"/>
      <c r="H644" s="22"/>
      <c r="L644" s="22"/>
      <c r="P644" s="22"/>
      <c r="Q644" s="22"/>
      <c r="R644" s="22"/>
      <c r="S644" s="22"/>
    </row>
    <row r="645" spans="1:19" x14ac:dyDescent="0.25">
      <c r="A645" s="22"/>
      <c r="B645" s="22"/>
      <c r="C645" s="22"/>
      <c r="D645" s="23"/>
      <c r="H645" s="22"/>
      <c r="L645" s="22"/>
      <c r="P645" s="22"/>
      <c r="Q645" s="22"/>
      <c r="R645" s="22"/>
      <c r="S645" s="22"/>
    </row>
    <row r="646" spans="1:19" x14ac:dyDescent="0.25">
      <c r="A646" s="22"/>
      <c r="B646" s="22"/>
      <c r="C646" s="22"/>
      <c r="D646" s="23"/>
      <c r="H646" s="22"/>
      <c r="L646" s="22"/>
      <c r="P646" s="22"/>
      <c r="Q646" s="22"/>
      <c r="R646" s="22"/>
      <c r="S646" s="22"/>
    </row>
    <row r="647" spans="1:19" x14ac:dyDescent="0.25">
      <c r="A647" s="22"/>
      <c r="B647" s="22"/>
      <c r="C647" s="22"/>
      <c r="D647" s="23"/>
      <c r="H647" s="22"/>
      <c r="L647" s="22"/>
      <c r="P647" s="22"/>
      <c r="Q647" s="22"/>
      <c r="R647" s="22"/>
      <c r="S647" s="22"/>
    </row>
    <row r="648" spans="1:19" x14ac:dyDescent="0.25">
      <c r="A648" s="22"/>
      <c r="B648" s="22"/>
      <c r="C648" s="22"/>
      <c r="D648" s="23"/>
      <c r="H648" s="22"/>
      <c r="L648" s="22"/>
      <c r="P648" s="22"/>
      <c r="Q648" s="22"/>
      <c r="R648" s="22"/>
      <c r="S648" s="22"/>
    </row>
    <row r="649" spans="1:19" x14ac:dyDescent="0.25">
      <c r="A649" s="22"/>
      <c r="B649" s="22"/>
      <c r="C649" s="22"/>
      <c r="D649" s="23"/>
      <c r="H649" s="22"/>
      <c r="L649" s="22"/>
      <c r="P649" s="22"/>
      <c r="Q649" s="22"/>
      <c r="R649" s="22"/>
      <c r="S649" s="22"/>
    </row>
    <row r="650" spans="1:19" x14ac:dyDescent="0.25">
      <c r="A650" s="22"/>
      <c r="B650" s="22"/>
      <c r="C650" s="22"/>
      <c r="D650" s="23"/>
      <c r="H650" s="22"/>
      <c r="L650" s="22"/>
      <c r="P650" s="22"/>
      <c r="Q650" s="22"/>
      <c r="R650" s="22"/>
      <c r="S650" s="22"/>
    </row>
    <row r="651" spans="1:19" x14ac:dyDescent="0.25">
      <c r="A651" s="22"/>
      <c r="B651" s="22"/>
      <c r="C651" s="22"/>
      <c r="D651" s="23"/>
      <c r="H651" s="22"/>
      <c r="L651" s="22"/>
      <c r="P651" s="22"/>
      <c r="Q651" s="22"/>
      <c r="R651" s="22"/>
      <c r="S651" s="22"/>
    </row>
    <row r="652" spans="1:19" x14ac:dyDescent="0.25">
      <c r="A652" s="22"/>
      <c r="B652" s="22"/>
      <c r="C652" s="22"/>
      <c r="D652" s="23"/>
      <c r="H652" s="22"/>
      <c r="L652" s="22"/>
      <c r="P652" s="22"/>
      <c r="Q652" s="22"/>
      <c r="R652" s="22"/>
      <c r="S652" s="22"/>
    </row>
    <row r="653" spans="1:19" x14ac:dyDescent="0.25">
      <c r="A653" s="22"/>
      <c r="B653" s="22"/>
      <c r="C653" s="22"/>
      <c r="D653" s="23"/>
      <c r="H653" s="22"/>
      <c r="L653" s="22"/>
      <c r="P653" s="22"/>
      <c r="Q653" s="22"/>
      <c r="R653" s="22"/>
      <c r="S653" s="22"/>
    </row>
    <row r="654" spans="1:19" x14ac:dyDescent="0.25">
      <c r="A654" s="22"/>
      <c r="B654" s="22"/>
      <c r="C654" s="22"/>
      <c r="D654" s="23"/>
      <c r="H654" s="22"/>
      <c r="L654" s="22"/>
      <c r="P654" s="22"/>
      <c r="Q654" s="22"/>
      <c r="R654" s="22"/>
      <c r="S654" s="22"/>
    </row>
    <row r="655" spans="1:19" x14ac:dyDescent="0.25">
      <c r="A655" s="22"/>
      <c r="B655" s="22"/>
      <c r="C655" s="22"/>
      <c r="D655" s="23"/>
      <c r="H655" s="22"/>
      <c r="L655" s="22"/>
      <c r="P655" s="22"/>
      <c r="Q655" s="22"/>
      <c r="R655" s="22"/>
      <c r="S655" s="22"/>
    </row>
    <row r="656" spans="1:19" x14ac:dyDescent="0.25">
      <c r="A656" s="22"/>
      <c r="B656" s="22"/>
      <c r="C656" s="22"/>
      <c r="D656" s="23"/>
      <c r="H656" s="22"/>
      <c r="L656" s="22"/>
      <c r="P656" s="22"/>
      <c r="Q656" s="22"/>
      <c r="R656" s="22"/>
      <c r="S656" s="22"/>
    </row>
    <row r="657" spans="1:19" x14ac:dyDescent="0.25">
      <c r="A657" s="22"/>
      <c r="B657" s="22"/>
      <c r="C657" s="22"/>
      <c r="D657" s="23"/>
      <c r="H657" s="22"/>
      <c r="L657" s="22"/>
      <c r="P657" s="22"/>
      <c r="Q657" s="22"/>
      <c r="R657" s="22"/>
      <c r="S657" s="22"/>
    </row>
    <row r="658" spans="1:19" x14ac:dyDescent="0.25">
      <c r="A658" s="22"/>
      <c r="B658" s="22"/>
      <c r="C658" s="22"/>
      <c r="D658" s="23"/>
      <c r="H658" s="22"/>
      <c r="L658" s="22"/>
      <c r="P658" s="22"/>
      <c r="Q658" s="22"/>
      <c r="R658" s="22"/>
      <c r="S658" s="22"/>
    </row>
    <row r="659" spans="1:19" x14ac:dyDescent="0.25">
      <c r="A659" s="22"/>
      <c r="B659" s="22"/>
      <c r="C659" s="22"/>
      <c r="D659" s="23"/>
      <c r="H659" s="22"/>
      <c r="L659" s="22"/>
      <c r="P659" s="22"/>
      <c r="Q659" s="22"/>
      <c r="R659" s="22"/>
      <c r="S659" s="22"/>
    </row>
    <row r="660" spans="1:19" x14ac:dyDescent="0.25">
      <c r="A660" s="22"/>
      <c r="B660" s="22"/>
      <c r="C660" s="22"/>
      <c r="D660" s="23"/>
      <c r="H660" s="22"/>
      <c r="L660" s="22"/>
      <c r="P660" s="22"/>
      <c r="Q660" s="22"/>
      <c r="R660" s="22"/>
      <c r="S660" s="22"/>
    </row>
    <row r="661" spans="1:19" x14ac:dyDescent="0.25">
      <c r="A661" s="22"/>
      <c r="B661" s="22"/>
      <c r="C661" s="22"/>
      <c r="D661" s="23"/>
      <c r="H661" s="22"/>
      <c r="L661" s="22"/>
      <c r="P661" s="22"/>
      <c r="Q661" s="22"/>
      <c r="R661" s="22"/>
      <c r="S661" s="22"/>
    </row>
    <row r="662" spans="1:19" x14ac:dyDescent="0.25">
      <c r="A662" s="22"/>
      <c r="B662" s="22"/>
      <c r="C662" s="22"/>
      <c r="D662" s="23"/>
      <c r="H662" s="22"/>
      <c r="L662" s="22"/>
      <c r="P662" s="22"/>
      <c r="Q662" s="22"/>
      <c r="R662" s="22"/>
      <c r="S662" s="22"/>
    </row>
    <row r="663" spans="1:19" x14ac:dyDescent="0.25">
      <c r="A663" s="22"/>
      <c r="B663" s="22"/>
      <c r="C663" s="22"/>
      <c r="D663" s="23"/>
      <c r="H663" s="22"/>
      <c r="L663" s="22"/>
      <c r="P663" s="22"/>
      <c r="Q663" s="22"/>
      <c r="R663" s="22"/>
      <c r="S663" s="22"/>
    </row>
    <row r="664" spans="1:19" x14ac:dyDescent="0.25">
      <c r="A664" s="22"/>
      <c r="B664" s="22"/>
      <c r="C664" s="22"/>
      <c r="D664" s="23"/>
      <c r="H664" s="22"/>
      <c r="L664" s="22"/>
      <c r="P664" s="22"/>
      <c r="Q664" s="22"/>
      <c r="R664" s="22"/>
      <c r="S664" s="22"/>
    </row>
    <row r="665" spans="1:19" x14ac:dyDescent="0.25">
      <c r="A665" s="22"/>
      <c r="B665" s="22"/>
      <c r="C665" s="22"/>
      <c r="D665" s="23"/>
      <c r="H665" s="22"/>
      <c r="L665" s="22"/>
      <c r="P665" s="22"/>
      <c r="Q665" s="22"/>
      <c r="R665" s="22"/>
      <c r="S665" s="22"/>
    </row>
    <row r="666" spans="1:19" x14ac:dyDescent="0.25">
      <c r="A666" s="22"/>
      <c r="B666" s="22"/>
      <c r="C666" s="22"/>
      <c r="D666" s="23"/>
      <c r="H666" s="22"/>
      <c r="L666" s="22"/>
      <c r="P666" s="22"/>
      <c r="Q666" s="22"/>
      <c r="R666" s="22"/>
      <c r="S666" s="22"/>
    </row>
    <row r="667" spans="1:19" x14ac:dyDescent="0.25">
      <c r="A667" s="22"/>
      <c r="B667" s="22"/>
      <c r="C667" s="22"/>
      <c r="D667" s="23"/>
      <c r="H667" s="22"/>
      <c r="L667" s="22"/>
      <c r="P667" s="22"/>
      <c r="Q667" s="22"/>
      <c r="R667" s="22"/>
      <c r="S667" s="22"/>
    </row>
    <row r="668" spans="1:19" x14ac:dyDescent="0.25">
      <c r="A668" s="22"/>
      <c r="B668" s="22"/>
      <c r="C668" s="22"/>
      <c r="D668" s="23"/>
      <c r="H668" s="22"/>
      <c r="L668" s="22"/>
      <c r="P668" s="22"/>
      <c r="Q668" s="22"/>
      <c r="R668" s="22"/>
      <c r="S668" s="22"/>
    </row>
    <row r="669" spans="1:19" x14ac:dyDescent="0.25">
      <c r="A669" s="22"/>
      <c r="B669" s="22"/>
      <c r="C669" s="22"/>
      <c r="D669" s="23"/>
      <c r="H669" s="22"/>
      <c r="L669" s="22"/>
      <c r="P669" s="22"/>
      <c r="Q669" s="22"/>
      <c r="R669" s="22"/>
      <c r="S669" s="22"/>
    </row>
    <row r="670" spans="1:19" x14ac:dyDescent="0.25">
      <c r="A670" s="22"/>
      <c r="B670" s="22"/>
      <c r="C670" s="22"/>
      <c r="D670" s="23"/>
      <c r="H670" s="22"/>
      <c r="L670" s="22"/>
      <c r="P670" s="22"/>
      <c r="Q670" s="22"/>
      <c r="R670" s="22"/>
      <c r="S670" s="22"/>
    </row>
    <row r="671" spans="1:19" x14ac:dyDescent="0.25">
      <c r="A671" s="22"/>
      <c r="B671" s="22"/>
      <c r="C671" s="22"/>
      <c r="D671" s="23"/>
      <c r="H671" s="22"/>
      <c r="L671" s="22"/>
      <c r="P671" s="22"/>
      <c r="Q671" s="22"/>
      <c r="R671" s="22"/>
      <c r="S671" s="22"/>
    </row>
    <row r="672" spans="1:19" x14ac:dyDescent="0.25">
      <c r="A672" s="22"/>
      <c r="B672" s="22"/>
      <c r="C672" s="22"/>
      <c r="D672" s="23"/>
      <c r="H672" s="22"/>
      <c r="L672" s="22"/>
      <c r="P672" s="22"/>
      <c r="Q672" s="22"/>
      <c r="R672" s="22"/>
      <c r="S672" s="22"/>
    </row>
    <row r="673" spans="1:19" x14ac:dyDescent="0.25">
      <c r="A673" s="22"/>
      <c r="B673" s="22"/>
      <c r="C673" s="22"/>
      <c r="D673" s="23"/>
      <c r="H673" s="22"/>
      <c r="L673" s="22"/>
      <c r="P673" s="22"/>
      <c r="Q673" s="22"/>
      <c r="R673" s="22"/>
      <c r="S673" s="22"/>
    </row>
    <row r="674" spans="1:19" x14ac:dyDescent="0.25">
      <c r="A674" s="22"/>
      <c r="B674" s="22"/>
      <c r="C674" s="22"/>
      <c r="D674" s="23"/>
      <c r="H674" s="22"/>
      <c r="L674" s="22"/>
      <c r="P674" s="22"/>
      <c r="Q674" s="22"/>
      <c r="R674" s="22"/>
      <c r="S674" s="22"/>
    </row>
    <row r="675" spans="1:19" x14ac:dyDescent="0.25">
      <c r="A675" s="22"/>
      <c r="B675" s="22"/>
      <c r="C675" s="22"/>
      <c r="D675" s="23"/>
      <c r="H675" s="22"/>
      <c r="L675" s="22"/>
      <c r="P675" s="22"/>
      <c r="Q675" s="22"/>
      <c r="R675" s="22"/>
      <c r="S675" s="22"/>
    </row>
    <row r="676" spans="1:19" x14ac:dyDescent="0.25">
      <c r="A676" s="22"/>
      <c r="B676" s="22"/>
      <c r="C676" s="22"/>
      <c r="D676" s="23"/>
      <c r="H676" s="22"/>
      <c r="L676" s="22"/>
      <c r="P676" s="22"/>
      <c r="Q676" s="22"/>
      <c r="R676" s="22"/>
      <c r="S676" s="22"/>
    </row>
    <row r="677" spans="1:19" x14ac:dyDescent="0.25">
      <c r="A677" s="22"/>
      <c r="B677" s="22"/>
      <c r="C677" s="22"/>
      <c r="D677" s="23"/>
      <c r="H677" s="22"/>
      <c r="L677" s="22"/>
      <c r="P677" s="22"/>
      <c r="Q677" s="22"/>
      <c r="R677" s="22"/>
      <c r="S677" s="22"/>
    </row>
    <row r="678" spans="1:19" x14ac:dyDescent="0.25">
      <c r="A678" s="22"/>
      <c r="B678" s="22"/>
      <c r="C678" s="22"/>
      <c r="D678" s="23"/>
      <c r="H678" s="22"/>
      <c r="L678" s="22"/>
      <c r="P678" s="22"/>
      <c r="Q678" s="22"/>
      <c r="R678" s="22"/>
      <c r="S678" s="22"/>
    </row>
    <row r="679" spans="1:19" x14ac:dyDescent="0.25">
      <c r="A679" s="22"/>
      <c r="B679" s="22"/>
      <c r="C679" s="22"/>
      <c r="D679" s="23"/>
      <c r="H679" s="22"/>
      <c r="L679" s="22"/>
      <c r="P679" s="22"/>
      <c r="Q679" s="22"/>
      <c r="R679" s="22"/>
      <c r="S679" s="22"/>
    </row>
    <row r="680" spans="1:19" x14ac:dyDescent="0.25">
      <c r="A680" s="22"/>
      <c r="B680" s="22"/>
      <c r="C680" s="22"/>
      <c r="D680" s="23"/>
      <c r="H680" s="22"/>
      <c r="L680" s="22"/>
      <c r="P680" s="22"/>
      <c r="Q680" s="22"/>
      <c r="R680" s="22"/>
      <c r="S680" s="22"/>
    </row>
    <row r="681" spans="1:19" x14ac:dyDescent="0.25">
      <c r="A681" s="22"/>
      <c r="B681" s="22"/>
      <c r="C681" s="22"/>
      <c r="D681" s="23"/>
      <c r="H681" s="22"/>
      <c r="L681" s="22"/>
      <c r="P681" s="22"/>
      <c r="Q681" s="22"/>
      <c r="R681" s="22"/>
      <c r="S681" s="22"/>
    </row>
    <row r="682" spans="1:19" x14ac:dyDescent="0.25">
      <c r="A682" s="22"/>
      <c r="B682" s="22"/>
      <c r="C682" s="22"/>
      <c r="D682" s="23"/>
      <c r="H682" s="22"/>
      <c r="L682" s="22"/>
      <c r="P682" s="22"/>
      <c r="Q682" s="22"/>
      <c r="R682" s="22"/>
      <c r="S682" s="22"/>
    </row>
    <row r="683" spans="1:19" x14ac:dyDescent="0.25">
      <c r="A683" s="22"/>
      <c r="B683" s="22"/>
      <c r="C683" s="22"/>
      <c r="D683" s="23"/>
      <c r="H683" s="22"/>
      <c r="L683" s="22"/>
      <c r="P683" s="22"/>
      <c r="Q683" s="22"/>
      <c r="R683" s="22"/>
      <c r="S683" s="22"/>
    </row>
    <row r="684" spans="1:19" x14ac:dyDescent="0.25">
      <c r="A684" s="22"/>
      <c r="B684" s="22"/>
      <c r="C684" s="22"/>
      <c r="D684" s="23"/>
      <c r="H684" s="22"/>
      <c r="L684" s="22"/>
      <c r="P684" s="22"/>
      <c r="Q684" s="22"/>
      <c r="R684" s="22"/>
      <c r="S684" s="22"/>
    </row>
    <row r="685" spans="1:19" x14ac:dyDescent="0.25">
      <c r="A685" s="22"/>
      <c r="B685" s="22"/>
      <c r="C685" s="22"/>
      <c r="D685" s="23"/>
      <c r="H685" s="22"/>
      <c r="L685" s="22"/>
      <c r="P685" s="22"/>
      <c r="Q685" s="22"/>
      <c r="R685" s="22"/>
      <c r="S685" s="22"/>
    </row>
    <row r="686" spans="1:19" x14ac:dyDescent="0.25">
      <c r="A686" s="22"/>
      <c r="B686" s="22"/>
      <c r="C686" s="22"/>
      <c r="D686" s="23"/>
      <c r="H686" s="22"/>
      <c r="L686" s="22"/>
      <c r="P686" s="22"/>
      <c r="Q686" s="22"/>
      <c r="R686" s="22"/>
      <c r="S686" s="22"/>
    </row>
    <row r="687" spans="1:19" x14ac:dyDescent="0.25">
      <c r="A687" s="22"/>
      <c r="B687" s="22"/>
      <c r="C687" s="22"/>
      <c r="D687" s="23"/>
      <c r="H687" s="22"/>
      <c r="L687" s="22"/>
      <c r="P687" s="22"/>
      <c r="Q687" s="22"/>
      <c r="R687" s="22"/>
      <c r="S687" s="22"/>
    </row>
    <row r="688" spans="1:19" x14ac:dyDescent="0.25">
      <c r="A688" s="22"/>
      <c r="B688" s="22"/>
      <c r="C688" s="22"/>
      <c r="D688" s="23"/>
      <c r="H688" s="22"/>
      <c r="L688" s="22"/>
      <c r="P688" s="22"/>
      <c r="Q688" s="22"/>
      <c r="R688" s="22"/>
      <c r="S688" s="22"/>
    </row>
    <row r="689" spans="1:19" x14ac:dyDescent="0.25">
      <c r="A689" s="22"/>
      <c r="B689" s="22"/>
      <c r="C689" s="22"/>
      <c r="D689" s="23"/>
      <c r="H689" s="22"/>
      <c r="L689" s="22"/>
      <c r="P689" s="22"/>
      <c r="Q689" s="22"/>
      <c r="R689" s="22"/>
      <c r="S689" s="22"/>
    </row>
    <row r="690" spans="1:19" x14ac:dyDescent="0.25">
      <c r="A690" s="22"/>
      <c r="B690" s="22"/>
      <c r="C690" s="22"/>
      <c r="D690" s="23"/>
      <c r="H690" s="22"/>
      <c r="L690" s="22"/>
      <c r="P690" s="22"/>
      <c r="Q690" s="22"/>
      <c r="R690" s="22"/>
      <c r="S690" s="22"/>
    </row>
    <row r="691" spans="1:19" x14ac:dyDescent="0.25">
      <c r="A691" s="22"/>
      <c r="B691" s="22"/>
      <c r="C691" s="22"/>
      <c r="D691" s="23"/>
      <c r="H691" s="22"/>
      <c r="L691" s="22"/>
      <c r="P691" s="22"/>
      <c r="Q691" s="22"/>
      <c r="R691" s="22"/>
      <c r="S691" s="22"/>
    </row>
    <row r="692" spans="1:19" x14ac:dyDescent="0.25">
      <c r="A692" s="22"/>
      <c r="B692" s="22"/>
      <c r="C692" s="22"/>
      <c r="D692" s="23"/>
      <c r="H692" s="22"/>
      <c r="L692" s="22"/>
      <c r="P692" s="22"/>
      <c r="Q692" s="22"/>
      <c r="R692" s="22"/>
      <c r="S692" s="22"/>
    </row>
    <row r="693" spans="1:19" x14ac:dyDescent="0.25">
      <c r="A693" s="22"/>
      <c r="B693" s="22"/>
      <c r="C693" s="22"/>
      <c r="D693" s="23"/>
      <c r="H693" s="22"/>
      <c r="L693" s="22"/>
      <c r="P693" s="22"/>
      <c r="Q693" s="22"/>
      <c r="R693" s="22"/>
      <c r="S693" s="22"/>
    </row>
    <row r="694" spans="1:19" x14ac:dyDescent="0.25">
      <c r="A694" s="22"/>
      <c r="B694" s="22"/>
      <c r="C694" s="22"/>
      <c r="D694" s="23"/>
      <c r="H694" s="22"/>
      <c r="L694" s="22"/>
      <c r="P694" s="22"/>
      <c r="Q694" s="22"/>
      <c r="R694" s="22"/>
      <c r="S694" s="22"/>
    </row>
    <row r="695" spans="1:19" x14ac:dyDescent="0.25">
      <c r="A695" s="22"/>
      <c r="B695" s="22"/>
      <c r="C695" s="22"/>
      <c r="D695" s="23"/>
      <c r="H695" s="22"/>
      <c r="L695" s="22"/>
      <c r="P695" s="22"/>
      <c r="Q695" s="22"/>
      <c r="R695" s="22"/>
      <c r="S695" s="22"/>
    </row>
    <row r="696" spans="1:19" x14ac:dyDescent="0.25">
      <c r="A696" s="22"/>
      <c r="B696" s="22"/>
      <c r="C696" s="22"/>
      <c r="D696" s="23"/>
      <c r="H696" s="22"/>
      <c r="L696" s="22"/>
      <c r="P696" s="22"/>
      <c r="Q696" s="22"/>
      <c r="R696" s="22"/>
      <c r="S696" s="22"/>
    </row>
    <row r="697" spans="1:19" x14ac:dyDescent="0.25">
      <c r="A697" s="22"/>
      <c r="B697" s="22"/>
      <c r="C697" s="22"/>
      <c r="D697" s="23"/>
      <c r="H697" s="22"/>
      <c r="L697" s="22"/>
      <c r="P697" s="22"/>
      <c r="Q697" s="22"/>
      <c r="R697" s="22"/>
      <c r="S697" s="22"/>
    </row>
    <row r="698" spans="1:19" x14ac:dyDescent="0.25">
      <c r="A698" s="22"/>
      <c r="B698" s="22"/>
      <c r="C698" s="22"/>
      <c r="D698" s="23"/>
      <c r="H698" s="22"/>
      <c r="L698" s="22"/>
      <c r="P698" s="22"/>
      <c r="Q698" s="22"/>
      <c r="R698" s="22"/>
      <c r="S698" s="22"/>
    </row>
    <row r="699" spans="1:19" x14ac:dyDescent="0.25">
      <c r="A699" s="22"/>
      <c r="B699" s="22"/>
      <c r="C699" s="22"/>
      <c r="D699" s="23"/>
      <c r="H699" s="22"/>
      <c r="L699" s="22"/>
      <c r="P699" s="22"/>
      <c r="Q699" s="22"/>
      <c r="R699" s="22"/>
      <c r="S699" s="22"/>
    </row>
    <row r="700" spans="1:19" x14ac:dyDescent="0.25">
      <c r="A700" s="22"/>
      <c r="B700" s="22"/>
      <c r="C700" s="22"/>
      <c r="D700" s="23"/>
      <c r="H700" s="22"/>
      <c r="L700" s="22"/>
      <c r="P700" s="22"/>
      <c r="Q700" s="22"/>
      <c r="R700" s="22"/>
      <c r="S700" s="22"/>
    </row>
    <row r="701" spans="1:19" x14ac:dyDescent="0.25">
      <c r="A701" s="22"/>
      <c r="B701" s="22"/>
      <c r="C701" s="22"/>
      <c r="D701" s="23"/>
      <c r="H701" s="22"/>
      <c r="L701" s="22"/>
      <c r="P701" s="22"/>
      <c r="Q701" s="22"/>
      <c r="R701" s="22"/>
      <c r="S701" s="22"/>
    </row>
    <row r="702" spans="1:19" x14ac:dyDescent="0.25">
      <c r="A702" s="22"/>
      <c r="B702" s="22"/>
      <c r="C702" s="22"/>
      <c r="D702" s="23"/>
      <c r="H702" s="22"/>
      <c r="L702" s="22"/>
      <c r="P702" s="22"/>
      <c r="Q702" s="22"/>
      <c r="R702" s="22"/>
      <c r="S702" s="22"/>
    </row>
    <row r="703" spans="1:19" x14ac:dyDescent="0.25">
      <c r="A703" s="22"/>
      <c r="B703" s="22"/>
      <c r="C703" s="22"/>
      <c r="D703" s="23"/>
      <c r="H703" s="22"/>
      <c r="L703" s="22"/>
      <c r="P703" s="22"/>
      <c r="Q703" s="22"/>
      <c r="R703" s="22"/>
      <c r="S703" s="22"/>
    </row>
    <row r="704" spans="1:19" x14ac:dyDescent="0.25">
      <c r="A704" s="22"/>
      <c r="B704" s="22"/>
      <c r="C704" s="22"/>
      <c r="D704" s="23"/>
      <c r="H704" s="22"/>
      <c r="L704" s="22"/>
      <c r="P704" s="22"/>
      <c r="Q704" s="22"/>
      <c r="R704" s="22"/>
      <c r="S704" s="22"/>
    </row>
    <row r="705" spans="1:19" x14ac:dyDescent="0.25">
      <c r="A705" s="22"/>
      <c r="B705" s="22"/>
      <c r="C705" s="22"/>
      <c r="D705" s="23"/>
      <c r="H705" s="22"/>
      <c r="L705" s="22"/>
      <c r="P705" s="22"/>
      <c r="Q705" s="22"/>
      <c r="R705" s="22"/>
      <c r="S705" s="22"/>
    </row>
    <row r="706" spans="1:19" x14ac:dyDescent="0.25">
      <c r="A706" s="22"/>
      <c r="B706" s="22"/>
      <c r="C706" s="22"/>
      <c r="D706" s="23"/>
      <c r="H706" s="22"/>
      <c r="L706" s="22"/>
      <c r="P706" s="22"/>
      <c r="Q706" s="22"/>
      <c r="R706" s="22"/>
      <c r="S706" s="22"/>
    </row>
    <row r="707" spans="1:19" x14ac:dyDescent="0.25">
      <c r="A707" s="22"/>
      <c r="B707" s="22"/>
      <c r="C707" s="22"/>
      <c r="D707" s="23"/>
      <c r="H707" s="22"/>
      <c r="L707" s="22"/>
      <c r="P707" s="22"/>
      <c r="Q707" s="22"/>
      <c r="R707" s="22"/>
      <c r="S707" s="22"/>
    </row>
    <row r="708" spans="1:19" x14ac:dyDescent="0.25">
      <c r="A708" s="22"/>
      <c r="B708" s="22"/>
      <c r="C708" s="22"/>
      <c r="D708" s="23"/>
      <c r="H708" s="22"/>
      <c r="L708" s="22"/>
      <c r="P708" s="22"/>
      <c r="Q708" s="22"/>
      <c r="R708" s="22"/>
      <c r="S708" s="22"/>
    </row>
    <row r="709" spans="1:19" x14ac:dyDescent="0.25">
      <c r="A709" s="22"/>
      <c r="B709" s="22"/>
      <c r="C709" s="22"/>
      <c r="D709" s="23"/>
      <c r="H709" s="22"/>
      <c r="L709" s="22"/>
      <c r="P709" s="22"/>
      <c r="Q709" s="22"/>
      <c r="R709" s="22"/>
      <c r="S709" s="22"/>
    </row>
    <row r="710" spans="1:19" x14ac:dyDescent="0.25">
      <c r="A710" s="22"/>
      <c r="B710" s="22"/>
      <c r="C710" s="22"/>
      <c r="D710" s="23"/>
      <c r="H710" s="22"/>
      <c r="L710" s="22"/>
      <c r="P710" s="22"/>
      <c r="Q710" s="22"/>
      <c r="R710" s="22"/>
      <c r="S710" s="22"/>
    </row>
    <row r="711" spans="1:19" x14ac:dyDescent="0.25">
      <c r="A711" s="22"/>
      <c r="B711" s="22"/>
      <c r="C711" s="22"/>
      <c r="D711" s="23"/>
      <c r="H711" s="22"/>
      <c r="L711" s="22"/>
      <c r="P711" s="22"/>
      <c r="Q711" s="22"/>
      <c r="R711" s="22"/>
      <c r="S711" s="22"/>
    </row>
    <row r="712" spans="1:19" x14ac:dyDescent="0.25">
      <c r="A712" s="22"/>
      <c r="B712" s="22"/>
      <c r="C712" s="22"/>
      <c r="D712" s="23"/>
      <c r="H712" s="22"/>
      <c r="L712" s="22"/>
      <c r="P712" s="22"/>
      <c r="Q712" s="22"/>
      <c r="R712" s="22"/>
      <c r="S712" s="22"/>
    </row>
    <row r="713" spans="1:19" x14ac:dyDescent="0.25">
      <c r="A713" s="22"/>
      <c r="B713" s="22"/>
      <c r="C713" s="22"/>
      <c r="D713" s="23"/>
      <c r="H713" s="22"/>
      <c r="L713" s="22"/>
      <c r="P713" s="22"/>
      <c r="Q713" s="22"/>
      <c r="R713" s="22"/>
      <c r="S713" s="22"/>
    </row>
    <row r="714" spans="1:19" x14ac:dyDescent="0.25">
      <c r="A714" s="22"/>
      <c r="B714" s="22"/>
      <c r="C714" s="22"/>
      <c r="D714" s="23"/>
      <c r="H714" s="22"/>
      <c r="L714" s="22"/>
      <c r="P714" s="22"/>
      <c r="Q714" s="22"/>
      <c r="R714" s="22"/>
      <c r="S714" s="22"/>
    </row>
    <row r="715" spans="1:19" x14ac:dyDescent="0.25">
      <c r="A715" s="22"/>
      <c r="B715" s="22"/>
      <c r="C715" s="22"/>
      <c r="D715" s="23"/>
      <c r="H715" s="22"/>
      <c r="L715" s="22"/>
      <c r="P715" s="22"/>
      <c r="Q715" s="22"/>
      <c r="R715" s="22"/>
      <c r="S715" s="22"/>
    </row>
    <row r="716" spans="1:19" x14ac:dyDescent="0.25">
      <c r="A716" s="22"/>
      <c r="B716" s="22"/>
      <c r="C716" s="22"/>
      <c r="D716" s="23"/>
      <c r="H716" s="22"/>
      <c r="L716" s="22"/>
      <c r="P716" s="22"/>
      <c r="Q716" s="22"/>
      <c r="R716" s="22"/>
      <c r="S716" s="22"/>
    </row>
    <row r="717" spans="1:19" x14ac:dyDescent="0.25">
      <c r="A717" s="22"/>
      <c r="B717" s="22"/>
      <c r="C717" s="22"/>
      <c r="D717" s="23"/>
      <c r="H717" s="22"/>
      <c r="L717" s="22"/>
      <c r="P717" s="22"/>
      <c r="Q717" s="22"/>
      <c r="R717" s="22"/>
      <c r="S717" s="22"/>
    </row>
    <row r="718" spans="1:19" x14ac:dyDescent="0.25">
      <c r="A718" s="22"/>
      <c r="B718" s="22"/>
      <c r="C718" s="22"/>
      <c r="D718" s="23"/>
      <c r="H718" s="22"/>
      <c r="L718" s="22"/>
      <c r="P718" s="22"/>
      <c r="Q718" s="22"/>
      <c r="R718" s="22"/>
      <c r="S718" s="22"/>
    </row>
    <row r="719" spans="1:19" x14ac:dyDescent="0.25">
      <c r="A719" s="22"/>
      <c r="B719" s="22"/>
      <c r="C719" s="22"/>
      <c r="D719" s="23"/>
      <c r="H719" s="22"/>
      <c r="L719" s="22"/>
      <c r="P719" s="22"/>
      <c r="Q719" s="22"/>
      <c r="R719" s="22"/>
      <c r="S719" s="22"/>
    </row>
    <row r="720" spans="1:19" x14ac:dyDescent="0.25">
      <c r="A720" s="22"/>
      <c r="B720" s="22"/>
      <c r="C720" s="22"/>
      <c r="D720" s="23"/>
      <c r="H720" s="22"/>
      <c r="L720" s="22"/>
      <c r="P720" s="22"/>
      <c r="Q720" s="22"/>
      <c r="R720" s="22"/>
      <c r="S720" s="22"/>
    </row>
    <row r="721" spans="1:19" x14ac:dyDescent="0.25">
      <c r="A721" s="22"/>
      <c r="B721" s="22"/>
      <c r="C721" s="22"/>
      <c r="D721" s="23"/>
      <c r="H721" s="22"/>
      <c r="L721" s="22"/>
      <c r="P721" s="22"/>
      <c r="Q721" s="22"/>
      <c r="R721" s="22"/>
      <c r="S721" s="22"/>
    </row>
    <row r="722" spans="1:19" x14ac:dyDescent="0.25">
      <c r="A722" s="22"/>
      <c r="B722" s="22"/>
      <c r="C722" s="22"/>
      <c r="D722" s="23"/>
      <c r="H722" s="22"/>
      <c r="L722" s="22"/>
      <c r="P722" s="22"/>
      <c r="Q722" s="22"/>
      <c r="R722" s="22"/>
      <c r="S722" s="22"/>
    </row>
    <row r="723" spans="1:19" x14ac:dyDescent="0.25">
      <c r="A723" s="22"/>
      <c r="B723" s="22"/>
      <c r="C723" s="22"/>
      <c r="D723" s="23"/>
      <c r="H723" s="22"/>
      <c r="L723" s="22"/>
      <c r="P723" s="22"/>
      <c r="Q723" s="22"/>
      <c r="R723" s="22"/>
      <c r="S723" s="22"/>
    </row>
    <row r="724" spans="1:19" x14ac:dyDescent="0.25">
      <c r="A724" s="22"/>
      <c r="B724" s="22"/>
      <c r="C724" s="22"/>
      <c r="D724" s="23"/>
      <c r="H724" s="22"/>
      <c r="L724" s="22"/>
      <c r="P724" s="22"/>
      <c r="Q724" s="22"/>
      <c r="R724" s="22"/>
      <c r="S724" s="22"/>
    </row>
    <row r="725" spans="1:19" x14ac:dyDescent="0.25">
      <c r="A725" s="22"/>
      <c r="B725" s="22"/>
      <c r="C725" s="22"/>
      <c r="D725" s="23"/>
      <c r="H725" s="22"/>
      <c r="L725" s="22"/>
      <c r="P725" s="22"/>
      <c r="Q725" s="22"/>
      <c r="R725" s="22"/>
      <c r="S725" s="22"/>
    </row>
    <row r="726" spans="1:19" x14ac:dyDescent="0.25">
      <c r="A726" s="22"/>
      <c r="B726" s="22"/>
      <c r="C726" s="22"/>
      <c r="D726" s="23"/>
      <c r="H726" s="22"/>
      <c r="L726" s="22"/>
      <c r="P726" s="22"/>
      <c r="Q726" s="22"/>
      <c r="R726" s="22"/>
      <c r="S726" s="22"/>
    </row>
    <row r="727" spans="1:19" x14ac:dyDescent="0.25">
      <c r="A727" s="22"/>
      <c r="B727" s="22"/>
      <c r="C727" s="22"/>
      <c r="D727" s="23"/>
      <c r="H727" s="22"/>
      <c r="L727" s="22"/>
      <c r="P727" s="22"/>
      <c r="Q727" s="22"/>
      <c r="R727" s="22"/>
      <c r="S727" s="22"/>
    </row>
    <row r="728" spans="1:19" x14ac:dyDescent="0.25">
      <c r="A728" s="22"/>
      <c r="B728" s="22"/>
      <c r="C728" s="22"/>
      <c r="D728" s="23"/>
      <c r="H728" s="22"/>
      <c r="L728" s="22"/>
      <c r="P728" s="22"/>
      <c r="Q728" s="22"/>
      <c r="R728" s="22"/>
      <c r="S728" s="22"/>
    </row>
    <row r="729" spans="1:19" x14ac:dyDescent="0.25">
      <c r="A729" s="22"/>
      <c r="B729" s="22"/>
      <c r="C729" s="22"/>
      <c r="D729" s="23"/>
      <c r="H729" s="22"/>
      <c r="L729" s="22"/>
      <c r="P729" s="22"/>
      <c r="Q729" s="22"/>
      <c r="R729" s="22"/>
      <c r="S729" s="22"/>
    </row>
    <row r="730" spans="1:19" x14ac:dyDescent="0.25">
      <c r="A730" s="22"/>
      <c r="B730" s="22"/>
      <c r="C730" s="22"/>
      <c r="D730" s="23"/>
      <c r="H730" s="22"/>
      <c r="L730" s="22"/>
      <c r="P730" s="22"/>
      <c r="Q730" s="22"/>
      <c r="R730" s="22"/>
      <c r="S730" s="22"/>
    </row>
    <row r="731" spans="1:19" x14ac:dyDescent="0.25">
      <c r="A731" s="22"/>
      <c r="B731" s="22"/>
      <c r="C731" s="22"/>
      <c r="D731" s="23"/>
      <c r="H731" s="22"/>
      <c r="L731" s="22"/>
      <c r="P731" s="22"/>
      <c r="Q731" s="22"/>
      <c r="R731" s="22"/>
      <c r="S731" s="22"/>
    </row>
    <row r="732" spans="1:19" x14ac:dyDescent="0.25">
      <c r="A732" s="22"/>
      <c r="B732" s="22"/>
      <c r="C732" s="22"/>
      <c r="D732" s="23"/>
      <c r="H732" s="22"/>
      <c r="L732" s="22"/>
      <c r="P732" s="22"/>
      <c r="Q732" s="22"/>
      <c r="R732" s="22"/>
      <c r="S732" s="22"/>
    </row>
    <row r="733" spans="1:19" x14ac:dyDescent="0.25">
      <c r="A733" s="22"/>
      <c r="B733" s="22"/>
      <c r="C733" s="22"/>
      <c r="D733" s="23"/>
      <c r="H733" s="22"/>
      <c r="L733" s="22"/>
      <c r="P733" s="22"/>
      <c r="Q733" s="22"/>
      <c r="R733" s="22"/>
      <c r="S733" s="22"/>
    </row>
    <row r="734" spans="1:19" x14ac:dyDescent="0.25">
      <c r="A734" s="22"/>
      <c r="B734" s="22"/>
      <c r="C734" s="22"/>
      <c r="D734" s="23"/>
      <c r="H734" s="22"/>
      <c r="L734" s="22"/>
      <c r="P734" s="22"/>
      <c r="Q734" s="22"/>
      <c r="R734" s="22"/>
      <c r="S734" s="22"/>
    </row>
    <row r="735" spans="1:19" x14ac:dyDescent="0.25">
      <c r="A735" s="22"/>
      <c r="B735" s="22"/>
      <c r="C735" s="22"/>
      <c r="D735" s="23"/>
      <c r="H735" s="22"/>
      <c r="L735" s="22"/>
      <c r="P735" s="22"/>
      <c r="Q735" s="22"/>
      <c r="R735" s="22"/>
      <c r="S735" s="22"/>
    </row>
    <row r="736" spans="1:19" x14ac:dyDescent="0.25">
      <c r="A736" s="22"/>
      <c r="B736" s="22"/>
      <c r="C736" s="22"/>
      <c r="D736" s="23"/>
      <c r="H736" s="22"/>
      <c r="L736" s="22"/>
      <c r="P736" s="22"/>
      <c r="Q736" s="22"/>
      <c r="R736" s="22"/>
      <c r="S736" s="22"/>
    </row>
    <row r="737" spans="1:19" x14ac:dyDescent="0.25">
      <c r="A737" s="22"/>
      <c r="B737" s="22"/>
      <c r="C737" s="22"/>
      <c r="D737" s="23"/>
      <c r="H737" s="22"/>
      <c r="L737" s="22"/>
      <c r="P737" s="22"/>
      <c r="Q737" s="22"/>
      <c r="R737" s="22"/>
      <c r="S737" s="22"/>
    </row>
    <row r="738" spans="1:19" x14ac:dyDescent="0.25">
      <c r="A738" s="22"/>
      <c r="B738" s="22"/>
      <c r="C738" s="22"/>
      <c r="D738" s="23"/>
      <c r="H738" s="22"/>
      <c r="L738" s="22"/>
      <c r="P738" s="22"/>
      <c r="Q738" s="22"/>
      <c r="R738" s="22"/>
      <c r="S738" s="22"/>
    </row>
    <row r="739" spans="1:19" x14ac:dyDescent="0.25">
      <c r="A739" s="22"/>
      <c r="B739" s="22"/>
      <c r="C739" s="22"/>
      <c r="D739" s="23"/>
      <c r="H739" s="22"/>
      <c r="L739" s="22"/>
      <c r="P739" s="22"/>
      <c r="Q739" s="22"/>
      <c r="R739" s="22"/>
      <c r="S739" s="22"/>
    </row>
    <row r="740" spans="1:19" x14ac:dyDescent="0.25">
      <c r="A740" s="22"/>
      <c r="B740" s="22"/>
      <c r="C740" s="22"/>
      <c r="D740" s="23"/>
      <c r="H740" s="22"/>
      <c r="L740" s="22"/>
      <c r="P740" s="22"/>
      <c r="Q740" s="22"/>
      <c r="R740" s="22"/>
      <c r="S740" s="22"/>
    </row>
    <row r="741" spans="1:19" x14ac:dyDescent="0.25">
      <c r="A741" s="22"/>
      <c r="B741" s="22"/>
      <c r="C741" s="22"/>
      <c r="D741" s="23"/>
      <c r="H741" s="22"/>
      <c r="L741" s="22"/>
      <c r="P741" s="22"/>
      <c r="Q741" s="22"/>
      <c r="R741" s="22"/>
      <c r="S741" s="22"/>
    </row>
    <row r="742" spans="1:19" x14ac:dyDescent="0.25">
      <c r="A742" s="22"/>
      <c r="B742" s="22"/>
      <c r="C742" s="22"/>
      <c r="D742" s="23"/>
      <c r="H742" s="22"/>
      <c r="L742" s="22"/>
      <c r="P742" s="22"/>
      <c r="Q742" s="22"/>
      <c r="R742" s="22"/>
      <c r="S742" s="22"/>
    </row>
    <row r="743" spans="1:19" x14ac:dyDescent="0.25">
      <c r="A743" s="22"/>
      <c r="B743" s="22"/>
      <c r="C743" s="22"/>
      <c r="D743" s="23"/>
      <c r="H743" s="22"/>
      <c r="L743" s="22"/>
      <c r="P743" s="22"/>
      <c r="Q743" s="22"/>
      <c r="R743" s="22"/>
      <c r="S743" s="22"/>
    </row>
    <row r="744" spans="1:19" x14ac:dyDescent="0.25">
      <c r="A744" s="22"/>
      <c r="B744" s="22"/>
      <c r="C744" s="22"/>
      <c r="D744" s="23"/>
      <c r="H744" s="22"/>
      <c r="L744" s="22"/>
      <c r="P744" s="22"/>
      <c r="Q744" s="22"/>
      <c r="R744" s="22"/>
      <c r="S744" s="22"/>
    </row>
    <row r="745" spans="1:19" x14ac:dyDescent="0.25">
      <c r="A745" s="22"/>
      <c r="B745" s="22"/>
      <c r="C745" s="22"/>
      <c r="D745" s="23"/>
      <c r="H745" s="22"/>
      <c r="L745" s="22"/>
      <c r="P745" s="22"/>
      <c r="Q745" s="22"/>
      <c r="R745" s="22"/>
      <c r="S745" s="22"/>
    </row>
    <row r="746" spans="1:19" x14ac:dyDescent="0.25">
      <c r="A746" s="22"/>
      <c r="B746" s="22"/>
      <c r="C746" s="22"/>
      <c r="D746" s="23"/>
      <c r="H746" s="22"/>
      <c r="L746" s="22"/>
      <c r="P746" s="22"/>
      <c r="Q746" s="22"/>
      <c r="R746" s="22"/>
      <c r="S746" s="22"/>
    </row>
    <row r="747" spans="1:19" x14ac:dyDescent="0.25">
      <c r="A747" s="22"/>
      <c r="B747" s="22"/>
      <c r="C747" s="22"/>
      <c r="D747" s="23"/>
      <c r="H747" s="22"/>
      <c r="L747" s="22"/>
      <c r="P747" s="22"/>
      <c r="Q747" s="22"/>
      <c r="R747" s="22"/>
      <c r="S747" s="22"/>
    </row>
    <row r="748" spans="1:19" x14ac:dyDescent="0.25">
      <c r="A748" s="22"/>
      <c r="B748" s="22"/>
      <c r="C748" s="22"/>
      <c r="D748" s="23"/>
      <c r="H748" s="22"/>
      <c r="L748" s="22"/>
      <c r="P748" s="22"/>
      <c r="Q748" s="22"/>
      <c r="R748" s="22"/>
      <c r="S748" s="22"/>
    </row>
    <row r="749" spans="1:19" x14ac:dyDescent="0.25">
      <c r="A749" s="22"/>
      <c r="B749" s="22"/>
      <c r="C749" s="22"/>
      <c r="D749" s="23"/>
      <c r="H749" s="22"/>
      <c r="L749" s="22"/>
      <c r="P749" s="22"/>
      <c r="Q749" s="22"/>
      <c r="R749" s="22"/>
      <c r="S749" s="22"/>
    </row>
    <row r="750" spans="1:19" x14ac:dyDescent="0.25">
      <c r="A750" s="22"/>
      <c r="B750" s="22"/>
      <c r="C750" s="22"/>
      <c r="D750" s="23"/>
      <c r="H750" s="22"/>
      <c r="L750" s="22"/>
      <c r="P750" s="22"/>
      <c r="Q750" s="22"/>
      <c r="R750" s="22"/>
      <c r="S750" s="22"/>
    </row>
    <row r="751" spans="1:19" x14ac:dyDescent="0.25">
      <c r="A751" s="22"/>
      <c r="B751" s="22"/>
      <c r="C751" s="22"/>
      <c r="D751" s="23"/>
      <c r="H751" s="22"/>
      <c r="L751" s="22"/>
      <c r="P751" s="22"/>
      <c r="Q751" s="22"/>
      <c r="R751" s="22"/>
      <c r="S751" s="22"/>
    </row>
    <row r="752" spans="1:19" x14ac:dyDescent="0.25">
      <c r="A752" s="22"/>
      <c r="B752" s="22"/>
      <c r="C752" s="22"/>
      <c r="D752" s="23"/>
      <c r="H752" s="22"/>
      <c r="L752" s="22"/>
      <c r="P752" s="22"/>
      <c r="Q752" s="22"/>
      <c r="R752" s="22"/>
      <c r="S752" s="22"/>
    </row>
    <row r="753" spans="1:19" x14ac:dyDescent="0.25">
      <c r="A753" s="22"/>
      <c r="B753" s="22"/>
      <c r="C753" s="22"/>
      <c r="D753" s="23"/>
      <c r="H753" s="22"/>
      <c r="L753" s="22"/>
      <c r="P753" s="22"/>
      <c r="Q753" s="22"/>
      <c r="R753" s="22"/>
      <c r="S753" s="22"/>
    </row>
    <row r="754" spans="1:19" x14ac:dyDescent="0.25">
      <c r="A754" s="22"/>
      <c r="B754" s="22"/>
      <c r="C754" s="22"/>
      <c r="D754" s="23"/>
      <c r="H754" s="22"/>
      <c r="L754" s="22"/>
      <c r="P754" s="22"/>
      <c r="Q754" s="22"/>
      <c r="R754" s="22"/>
      <c r="S754" s="22"/>
    </row>
    <row r="755" spans="1:19" x14ac:dyDescent="0.25">
      <c r="A755" s="22"/>
      <c r="B755" s="22"/>
      <c r="C755" s="22"/>
      <c r="D755" s="23"/>
      <c r="H755" s="22"/>
      <c r="L755" s="22"/>
      <c r="P755" s="22"/>
      <c r="Q755" s="22"/>
      <c r="R755" s="22"/>
      <c r="S755" s="22"/>
    </row>
    <row r="756" spans="1:19" x14ac:dyDescent="0.25">
      <c r="A756" s="22"/>
      <c r="B756" s="22"/>
      <c r="C756" s="22"/>
      <c r="D756" s="23"/>
      <c r="H756" s="22"/>
      <c r="L756" s="22"/>
      <c r="P756" s="22"/>
      <c r="Q756" s="22"/>
      <c r="R756" s="22"/>
      <c r="S756" s="22"/>
    </row>
    <row r="757" spans="1:19" x14ac:dyDescent="0.25">
      <c r="A757" s="22"/>
      <c r="B757" s="22"/>
      <c r="C757" s="22"/>
      <c r="D757" s="23"/>
      <c r="H757" s="22"/>
      <c r="L757" s="22"/>
      <c r="P757" s="22"/>
      <c r="Q757" s="22"/>
      <c r="R757" s="22"/>
      <c r="S757" s="22"/>
    </row>
    <row r="758" spans="1:19" x14ac:dyDescent="0.25">
      <c r="A758" s="22"/>
      <c r="B758" s="22"/>
      <c r="C758" s="22"/>
      <c r="D758" s="23"/>
      <c r="H758" s="22"/>
      <c r="L758" s="22"/>
      <c r="P758" s="22"/>
      <c r="Q758" s="22"/>
      <c r="R758" s="22"/>
      <c r="S758" s="22"/>
    </row>
    <row r="759" spans="1:19" x14ac:dyDescent="0.25">
      <c r="A759" s="22"/>
      <c r="B759" s="22"/>
      <c r="C759" s="22"/>
      <c r="D759" s="23"/>
      <c r="H759" s="22"/>
      <c r="L759" s="22"/>
      <c r="P759" s="22"/>
      <c r="Q759" s="22"/>
      <c r="R759" s="22"/>
      <c r="S759" s="22"/>
    </row>
    <row r="760" spans="1:19" x14ac:dyDescent="0.25">
      <c r="A760" s="22"/>
      <c r="B760" s="22"/>
      <c r="C760" s="22"/>
      <c r="D760" s="23"/>
      <c r="H760" s="22"/>
      <c r="L760" s="22"/>
      <c r="P760" s="22"/>
      <c r="Q760" s="22"/>
      <c r="R760" s="22"/>
      <c r="S760" s="22"/>
    </row>
    <row r="761" spans="1:19" x14ac:dyDescent="0.25">
      <c r="A761" s="22"/>
      <c r="B761" s="22"/>
      <c r="C761" s="22"/>
      <c r="D761" s="23"/>
      <c r="H761" s="22"/>
      <c r="L761" s="22"/>
      <c r="P761" s="22"/>
      <c r="Q761" s="22"/>
      <c r="R761" s="22"/>
      <c r="S761" s="22"/>
    </row>
    <row r="762" spans="1:19" x14ac:dyDescent="0.25">
      <c r="A762" s="22"/>
      <c r="B762" s="22"/>
      <c r="C762" s="22"/>
      <c r="D762" s="23"/>
      <c r="H762" s="22"/>
      <c r="L762" s="22"/>
      <c r="P762" s="22"/>
      <c r="Q762" s="22"/>
      <c r="R762" s="22"/>
      <c r="S762" s="22"/>
    </row>
    <row r="763" spans="1:19" x14ac:dyDescent="0.25">
      <c r="A763" s="22"/>
      <c r="B763" s="22"/>
      <c r="C763" s="22"/>
      <c r="D763" s="23"/>
      <c r="H763" s="22"/>
      <c r="L763" s="22"/>
      <c r="P763" s="22"/>
      <c r="Q763" s="22"/>
      <c r="R763" s="22"/>
      <c r="S763" s="22"/>
    </row>
    <row r="764" spans="1:19" x14ac:dyDescent="0.25">
      <c r="A764" s="22"/>
      <c r="B764" s="22"/>
      <c r="C764" s="22"/>
      <c r="D764" s="23"/>
      <c r="H764" s="22"/>
      <c r="L764" s="22"/>
      <c r="P764" s="22"/>
      <c r="Q764" s="22"/>
      <c r="R764" s="22"/>
      <c r="S764" s="22"/>
    </row>
    <row r="765" spans="1:19" x14ac:dyDescent="0.25">
      <c r="A765" s="22"/>
      <c r="B765" s="22"/>
      <c r="C765" s="22"/>
      <c r="D765" s="23"/>
      <c r="H765" s="22"/>
      <c r="L765" s="22"/>
      <c r="P765" s="22"/>
      <c r="Q765" s="22"/>
      <c r="R765" s="22"/>
      <c r="S765" s="22"/>
    </row>
    <row r="766" spans="1:19" x14ac:dyDescent="0.25">
      <c r="A766" s="22"/>
      <c r="B766" s="22"/>
      <c r="C766" s="22"/>
      <c r="D766" s="23"/>
      <c r="H766" s="22"/>
      <c r="L766" s="22"/>
      <c r="P766" s="22"/>
      <c r="Q766" s="22"/>
      <c r="R766" s="22"/>
      <c r="S766" s="22"/>
    </row>
    <row r="767" spans="1:19" x14ac:dyDescent="0.25">
      <c r="A767" s="22"/>
      <c r="B767" s="22"/>
      <c r="C767" s="22"/>
      <c r="D767" s="23"/>
      <c r="H767" s="22"/>
      <c r="L767" s="22"/>
      <c r="P767" s="22"/>
      <c r="Q767" s="22"/>
      <c r="R767" s="22"/>
      <c r="S767" s="22"/>
    </row>
    <row r="768" spans="1:19" x14ac:dyDescent="0.25">
      <c r="A768" s="22"/>
      <c r="B768" s="22"/>
      <c r="C768" s="22"/>
      <c r="D768" s="23"/>
      <c r="H768" s="22"/>
      <c r="L768" s="22"/>
      <c r="P768" s="22"/>
      <c r="Q768" s="22"/>
      <c r="R768" s="22"/>
      <c r="S768" s="22"/>
    </row>
    <row r="769" spans="1:19" x14ac:dyDescent="0.25">
      <c r="A769" s="22"/>
      <c r="B769" s="22"/>
      <c r="C769" s="22"/>
      <c r="D769" s="23"/>
      <c r="H769" s="22"/>
      <c r="L769" s="22"/>
      <c r="P769" s="22"/>
      <c r="Q769" s="22"/>
      <c r="R769" s="22"/>
      <c r="S769" s="22"/>
    </row>
    <row r="770" spans="1:19" x14ac:dyDescent="0.25">
      <c r="A770" s="22"/>
      <c r="B770" s="22"/>
      <c r="C770" s="22"/>
      <c r="D770" s="23"/>
      <c r="H770" s="22"/>
      <c r="L770" s="22"/>
      <c r="P770" s="22"/>
      <c r="Q770" s="22"/>
      <c r="R770" s="22"/>
      <c r="S770" s="22"/>
    </row>
    <row r="771" spans="1:19" x14ac:dyDescent="0.25">
      <c r="A771" s="22"/>
      <c r="B771" s="22"/>
      <c r="C771" s="22"/>
      <c r="D771" s="23"/>
      <c r="H771" s="22"/>
      <c r="L771" s="22"/>
      <c r="P771" s="22"/>
      <c r="Q771" s="22"/>
      <c r="R771" s="22"/>
      <c r="S771" s="22"/>
    </row>
    <row r="772" spans="1:19" x14ac:dyDescent="0.25">
      <c r="A772" s="22"/>
      <c r="B772" s="22"/>
      <c r="C772" s="22"/>
      <c r="D772" s="23"/>
      <c r="H772" s="22"/>
      <c r="L772" s="22"/>
      <c r="P772" s="22"/>
      <c r="Q772" s="22"/>
      <c r="R772" s="22"/>
      <c r="S772" s="22"/>
    </row>
    <row r="773" spans="1:19" x14ac:dyDescent="0.25">
      <c r="A773" s="22"/>
      <c r="B773" s="22"/>
      <c r="C773" s="22"/>
      <c r="D773" s="23"/>
      <c r="H773" s="22"/>
      <c r="L773" s="22"/>
      <c r="P773" s="22"/>
      <c r="Q773" s="22"/>
      <c r="R773" s="22"/>
      <c r="S773" s="22"/>
    </row>
    <row r="774" spans="1:19" x14ac:dyDescent="0.25">
      <c r="A774" s="22"/>
      <c r="B774" s="22"/>
      <c r="C774" s="22"/>
      <c r="D774" s="23"/>
      <c r="H774" s="22"/>
      <c r="L774" s="22"/>
      <c r="P774" s="22"/>
      <c r="Q774" s="22"/>
      <c r="R774" s="22"/>
      <c r="S774" s="22"/>
    </row>
    <row r="775" spans="1:19" x14ac:dyDescent="0.25">
      <c r="A775" s="22"/>
      <c r="B775" s="22"/>
      <c r="C775" s="22"/>
      <c r="D775" s="23"/>
      <c r="H775" s="22"/>
      <c r="L775" s="22"/>
      <c r="P775" s="22"/>
      <c r="Q775" s="22"/>
      <c r="R775" s="22"/>
      <c r="S775" s="22"/>
    </row>
    <row r="776" spans="1:19" x14ac:dyDescent="0.25">
      <c r="A776" s="22"/>
      <c r="B776" s="22"/>
      <c r="C776" s="22"/>
      <c r="D776" s="23"/>
      <c r="H776" s="22"/>
      <c r="L776" s="22"/>
      <c r="P776" s="22"/>
      <c r="Q776" s="22"/>
      <c r="R776" s="22"/>
      <c r="S776" s="22"/>
    </row>
    <row r="777" spans="1:19" x14ac:dyDescent="0.25">
      <c r="A777" s="22"/>
      <c r="B777" s="22"/>
      <c r="C777" s="22"/>
      <c r="D777" s="23"/>
      <c r="H777" s="22"/>
      <c r="L777" s="22"/>
      <c r="P777" s="22"/>
      <c r="Q777" s="22"/>
      <c r="R777" s="22"/>
      <c r="S777" s="22"/>
    </row>
    <row r="778" spans="1:19" x14ac:dyDescent="0.25">
      <c r="A778" s="22"/>
      <c r="B778" s="22"/>
      <c r="C778" s="22"/>
      <c r="D778" s="23"/>
      <c r="H778" s="22"/>
      <c r="L778" s="22"/>
      <c r="P778" s="22"/>
      <c r="Q778" s="22"/>
      <c r="R778" s="22"/>
      <c r="S778" s="22"/>
    </row>
    <row r="779" spans="1:19" x14ac:dyDescent="0.25">
      <c r="A779" s="22"/>
      <c r="B779" s="22"/>
      <c r="C779" s="22"/>
      <c r="D779" s="23"/>
      <c r="H779" s="22"/>
      <c r="L779" s="22"/>
      <c r="P779" s="22"/>
      <c r="Q779" s="22"/>
      <c r="R779" s="22"/>
      <c r="S779" s="22"/>
    </row>
    <row r="780" spans="1:19" x14ac:dyDescent="0.25">
      <c r="A780" s="22"/>
      <c r="B780" s="22"/>
      <c r="C780" s="22"/>
      <c r="D780" s="23"/>
      <c r="H780" s="22"/>
      <c r="L780" s="22"/>
      <c r="P780" s="22"/>
      <c r="Q780" s="22"/>
      <c r="R780" s="22"/>
      <c r="S780" s="22"/>
    </row>
    <row r="781" spans="1:19" x14ac:dyDescent="0.25">
      <c r="A781" s="22"/>
      <c r="B781" s="22"/>
      <c r="C781" s="22"/>
      <c r="D781" s="23"/>
      <c r="H781" s="22"/>
      <c r="L781" s="22"/>
      <c r="P781" s="22"/>
      <c r="Q781" s="22"/>
      <c r="R781" s="22"/>
      <c r="S781" s="22"/>
    </row>
    <row r="782" spans="1:19" x14ac:dyDescent="0.25">
      <c r="A782" s="22"/>
      <c r="B782" s="22"/>
      <c r="C782" s="22"/>
      <c r="D782" s="23"/>
      <c r="H782" s="22"/>
      <c r="L782" s="22"/>
      <c r="P782" s="22"/>
      <c r="Q782" s="22"/>
      <c r="R782" s="22"/>
      <c r="S782" s="22"/>
    </row>
    <row r="783" spans="1:19" x14ac:dyDescent="0.25">
      <c r="A783" s="22"/>
      <c r="B783" s="22"/>
      <c r="C783" s="22"/>
      <c r="D783" s="23"/>
      <c r="H783" s="22"/>
      <c r="L783" s="22"/>
      <c r="P783" s="22"/>
      <c r="Q783" s="22"/>
      <c r="R783" s="22"/>
      <c r="S783" s="22"/>
    </row>
    <row r="784" spans="1:19" x14ac:dyDescent="0.25">
      <c r="A784" s="22"/>
      <c r="B784" s="22"/>
      <c r="C784" s="22"/>
      <c r="D784" s="23"/>
      <c r="H784" s="22"/>
      <c r="L784" s="22"/>
      <c r="P784" s="22"/>
      <c r="Q784" s="22"/>
      <c r="R784" s="22"/>
      <c r="S784" s="22"/>
    </row>
    <row r="785" spans="1:19" x14ac:dyDescent="0.25">
      <c r="A785" s="22"/>
      <c r="B785" s="22"/>
      <c r="C785" s="22"/>
      <c r="D785" s="23"/>
      <c r="H785" s="22"/>
      <c r="L785" s="22"/>
      <c r="P785" s="22"/>
      <c r="Q785" s="22"/>
      <c r="R785" s="22"/>
      <c r="S785" s="22"/>
    </row>
    <row r="786" spans="1:19" x14ac:dyDescent="0.25">
      <c r="A786" s="22"/>
      <c r="B786" s="22"/>
      <c r="C786" s="22"/>
      <c r="D786" s="23"/>
      <c r="H786" s="22"/>
      <c r="L786" s="22"/>
      <c r="P786" s="22"/>
      <c r="Q786" s="22"/>
      <c r="R786" s="22"/>
      <c r="S786" s="22"/>
    </row>
    <row r="787" spans="1:19" x14ac:dyDescent="0.25">
      <c r="A787" s="22"/>
      <c r="B787" s="22"/>
      <c r="C787" s="22"/>
      <c r="D787" s="23"/>
      <c r="H787" s="22"/>
      <c r="L787" s="22"/>
      <c r="P787" s="22"/>
      <c r="Q787" s="22"/>
      <c r="R787" s="22"/>
      <c r="S787" s="22"/>
    </row>
    <row r="788" spans="1:19" x14ac:dyDescent="0.25">
      <c r="A788" s="22"/>
      <c r="B788" s="22"/>
      <c r="C788" s="22"/>
      <c r="D788" s="23"/>
      <c r="H788" s="22"/>
      <c r="L788" s="22"/>
      <c r="P788" s="22"/>
      <c r="Q788" s="22"/>
      <c r="R788" s="22"/>
      <c r="S788" s="22"/>
    </row>
    <row r="789" spans="1:19" x14ac:dyDescent="0.25">
      <c r="A789" s="22"/>
      <c r="B789" s="22"/>
      <c r="C789" s="22"/>
      <c r="D789" s="23"/>
      <c r="H789" s="22"/>
      <c r="L789" s="22"/>
      <c r="P789" s="22"/>
      <c r="Q789" s="22"/>
      <c r="R789" s="22"/>
      <c r="S789" s="22"/>
    </row>
    <row r="790" spans="1:19" x14ac:dyDescent="0.25">
      <c r="A790" s="22"/>
      <c r="B790" s="22"/>
      <c r="C790" s="22"/>
      <c r="D790" s="23"/>
      <c r="H790" s="22"/>
      <c r="L790" s="22"/>
      <c r="P790" s="22"/>
      <c r="Q790" s="22"/>
      <c r="R790" s="22"/>
      <c r="S790" s="22"/>
    </row>
    <row r="791" spans="1:19" x14ac:dyDescent="0.25">
      <c r="A791" s="22"/>
      <c r="B791" s="22"/>
      <c r="C791" s="22"/>
      <c r="D791" s="23"/>
      <c r="H791" s="22"/>
      <c r="L791" s="22"/>
      <c r="P791" s="22"/>
      <c r="Q791" s="22"/>
      <c r="R791" s="22"/>
      <c r="S791" s="22"/>
    </row>
    <row r="792" spans="1:19" x14ac:dyDescent="0.25">
      <c r="A792" s="22"/>
      <c r="B792" s="22"/>
      <c r="C792" s="22"/>
      <c r="D792" s="23"/>
      <c r="H792" s="22"/>
      <c r="L792" s="22"/>
      <c r="P792" s="22"/>
      <c r="Q792" s="22"/>
      <c r="R792" s="22"/>
      <c r="S792" s="22"/>
    </row>
    <row r="793" spans="1:19" x14ac:dyDescent="0.25">
      <c r="A793" s="22"/>
      <c r="B793" s="22"/>
      <c r="C793" s="22"/>
      <c r="D793" s="23"/>
      <c r="H793" s="22"/>
      <c r="L793" s="22"/>
      <c r="P793" s="22"/>
      <c r="Q793" s="22"/>
      <c r="R793" s="22"/>
      <c r="S793" s="22"/>
    </row>
    <row r="794" spans="1:19" x14ac:dyDescent="0.25">
      <c r="A794" s="22"/>
      <c r="B794" s="22"/>
      <c r="C794" s="22"/>
      <c r="D794" s="23"/>
      <c r="H794" s="22"/>
      <c r="L794" s="22"/>
      <c r="P794" s="22"/>
      <c r="Q794" s="22"/>
      <c r="R794" s="22"/>
      <c r="S794" s="22"/>
    </row>
    <row r="795" spans="1:19" x14ac:dyDescent="0.25">
      <c r="A795" s="22"/>
      <c r="B795" s="22"/>
      <c r="C795" s="22"/>
      <c r="D795" s="23"/>
      <c r="H795" s="22"/>
      <c r="L795" s="22"/>
      <c r="P795" s="22"/>
      <c r="Q795" s="22"/>
      <c r="R795" s="22"/>
      <c r="S795" s="22"/>
    </row>
    <row r="796" spans="1:19" x14ac:dyDescent="0.25">
      <c r="A796" s="22"/>
      <c r="B796" s="22"/>
      <c r="C796" s="22"/>
      <c r="D796" s="23"/>
      <c r="H796" s="22"/>
      <c r="L796" s="22"/>
      <c r="P796" s="22"/>
      <c r="Q796" s="22"/>
      <c r="R796" s="22"/>
      <c r="S796" s="22"/>
    </row>
    <row r="797" spans="1:19" x14ac:dyDescent="0.25">
      <c r="A797" s="22"/>
      <c r="B797" s="22"/>
      <c r="C797" s="22"/>
      <c r="D797" s="23"/>
      <c r="H797" s="22"/>
      <c r="L797" s="22"/>
      <c r="P797" s="22"/>
      <c r="Q797" s="22"/>
      <c r="R797" s="22"/>
      <c r="S797" s="22"/>
    </row>
    <row r="798" spans="1:19" x14ac:dyDescent="0.25">
      <c r="A798" s="22"/>
      <c r="B798" s="22"/>
      <c r="C798" s="22"/>
      <c r="D798" s="23"/>
      <c r="H798" s="22"/>
      <c r="L798" s="22"/>
      <c r="P798" s="22"/>
      <c r="Q798" s="22"/>
      <c r="R798" s="22"/>
      <c r="S798" s="22"/>
    </row>
    <row r="799" spans="1:19" x14ac:dyDescent="0.25">
      <c r="A799" s="22"/>
      <c r="B799" s="22"/>
      <c r="C799" s="22"/>
      <c r="D799" s="23"/>
      <c r="H799" s="22"/>
      <c r="L799" s="22"/>
      <c r="P799" s="22"/>
      <c r="Q799" s="22"/>
      <c r="R799" s="22"/>
      <c r="S799" s="22"/>
    </row>
    <row r="800" spans="1:19" x14ac:dyDescent="0.25">
      <c r="A800" s="22"/>
      <c r="B800" s="22"/>
      <c r="C800" s="22"/>
      <c r="D800" s="23"/>
      <c r="H800" s="22"/>
      <c r="L800" s="22"/>
      <c r="P800" s="22"/>
      <c r="Q800" s="22"/>
      <c r="R800" s="22"/>
      <c r="S800" s="22"/>
    </row>
    <row r="801" spans="1:19" x14ac:dyDescent="0.25">
      <c r="A801" s="22"/>
      <c r="B801" s="22"/>
      <c r="C801" s="22"/>
      <c r="D801" s="23"/>
      <c r="H801" s="22"/>
      <c r="L801" s="22"/>
      <c r="P801" s="22"/>
      <c r="Q801" s="22"/>
      <c r="R801" s="22"/>
      <c r="S801" s="22"/>
    </row>
    <row r="802" spans="1:19" x14ac:dyDescent="0.25">
      <c r="A802" s="22"/>
      <c r="B802" s="22"/>
      <c r="C802" s="22"/>
      <c r="D802" s="23"/>
      <c r="H802" s="22"/>
      <c r="L802" s="22"/>
      <c r="P802" s="22"/>
      <c r="Q802" s="22"/>
      <c r="R802" s="22"/>
      <c r="S802" s="22"/>
    </row>
    <row r="803" spans="1:19" x14ac:dyDescent="0.25">
      <c r="A803" s="22"/>
      <c r="B803" s="22"/>
      <c r="C803" s="22"/>
      <c r="D803" s="23"/>
      <c r="H803" s="22"/>
      <c r="L803" s="22"/>
      <c r="P803" s="22"/>
      <c r="Q803" s="22"/>
      <c r="R803" s="22"/>
      <c r="S803" s="22"/>
    </row>
    <row r="804" spans="1:19" x14ac:dyDescent="0.25">
      <c r="A804" s="22"/>
      <c r="B804" s="22"/>
      <c r="C804" s="22"/>
      <c r="D804" s="23"/>
      <c r="H804" s="22"/>
      <c r="L804" s="22"/>
      <c r="P804" s="22"/>
      <c r="Q804" s="22"/>
      <c r="R804" s="22"/>
      <c r="S804" s="22"/>
    </row>
    <row r="805" spans="1:19" x14ac:dyDescent="0.25">
      <c r="A805" s="22"/>
      <c r="B805" s="22"/>
      <c r="C805" s="22"/>
      <c r="D805" s="23"/>
      <c r="H805" s="22"/>
      <c r="L805" s="22"/>
      <c r="P805" s="22"/>
      <c r="Q805" s="22"/>
      <c r="R805" s="22"/>
      <c r="S805" s="22"/>
    </row>
    <row r="806" spans="1:19" x14ac:dyDescent="0.25">
      <c r="A806" s="22"/>
      <c r="B806" s="22"/>
      <c r="C806" s="22"/>
      <c r="D806" s="23"/>
      <c r="H806" s="22"/>
      <c r="L806" s="22"/>
      <c r="P806" s="22"/>
      <c r="Q806" s="22"/>
      <c r="R806" s="22"/>
      <c r="S806" s="22"/>
    </row>
    <row r="807" spans="1:19" x14ac:dyDescent="0.25">
      <c r="A807" s="22"/>
      <c r="B807" s="22"/>
      <c r="C807" s="22"/>
      <c r="D807" s="23"/>
      <c r="H807" s="22"/>
      <c r="L807" s="22"/>
      <c r="P807" s="22"/>
      <c r="Q807" s="22"/>
      <c r="R807" s="22"/>
      <c r="S807" s="22"/>
    </row>
    <row r="808" spans="1:19" x14ac:dyDescent="0.25">
      <c r="A808" s="22"/>
      <c r="B808" s="22"/>
      <c r="C808" s="22"/>
      <c r="D808" s="23"/>
      <c r="H808" s="22"/>
      <c r="L808" s="22"/>
      <c r="P808" s="22"/>
      <c r="Q808" s="22"/>
      <c r="R808" s="22"/>
      <c r="S808" s="22"/>
    </row>
    <row r="809" spans="1:19" x14ac:dyDescent="0.25">
      <c r="A809" s="22"/>
      <c r="B809" s="22"/>
      <c r="C809" s="22"/>
      <c r="D809" s="23"/>
      <c r="H809" s="22"/>
      <c r="L809" s="22"/>
      <c r="P809" s="22"/>
      <c r="Q809" s="22"/>
      <c r="R809" s="22"/>
      <c r="S809" s="22"/>
    </row>
    <row r="810" spans="1:19" x14ac:dyDescent="0.25">
      <c r="A810" s="22"/>
      <c r="B810" s="22"/>
      <c r="C810" s="22"/>
      <c r="D810" s="23"/>
      <c r="H810" s="22"/>
      <c r="L810" s="22"/>
      <c r="P810" s="22"/>
      <c r="Q810" s="22"/>
      <c r="R810" s="22"/>
      <c r="S810" s="22"/>
    </row>
    <row r="811" spans="1:19" x14ac:dyDescent="0.25">
      <c r="A811" s="22"/>
      <c r="B811" s="22"/>
      <c r="C811" s="22"/>
      <c r="D811" s="23"/>
      <c r="H811" s="22"/>
      <c r="L811" s="22"/>
      <c r="P811" s="22"/>
      <c r="Q811" s="22"/>
      <c r="R811" s="22"/>
      <c r="S811" s="22"/>
    </row>
    <row r="812" spans="1:19" x14ac:dyDescent="0.25">
      <c r="A812" s="22"/>
      <c r="B812" s="22"/>
      <c r="C812" s="22"/>
      <c r="D812" s="23"/>
      <c r="H812" s="22"/>
      <c r="L812" s="22"/>
      <c r="P812" s="22"/>
      <c r="Q812" s="22"/>
      <c r="R812" s="22"/>
      <c r="S812" s="22"/>
    </row>
    <row r="813" spans="1:19" x14ac:dyDescent="0.25">
      <c r="A813" s="22"/>
      <c r="B813" s="22"/>
      <c r="C813" s="22"/>
      <c r="D813" s="23"/>
      <c r="H813" s="22"/>
      <c r="L813" s="22"/>
      <c r="P813" s="22"/>
      <c r="Q813" s="22"/>
      <c r="R813" s="22"/>
      <c r="S813" s="22"/>
    </row>
    <row r="814" spans="1:19" x14ac:dyDescent="0.25">
      <c r="A814" s="22"/>
      <c r="B814" s="22"/>
      <c r="C814" s="22"/>
      <c r="D814" s="23"/>
      <c r="H814" s="22"/>
      <c r="L814" s="22"/>
      <c r="P814" s="22"/>
      <c r="Q814" s="22"/>
      <c r="R814" s="22"/>
      <c r="S814" s="22"/>
    </row>
    <row r="815" spans="1:19" x14ac:dyDescent="0.25">
      <c r="A815" s="22"/>
      <c r="B815" s="22"/>
      <c r="C815" s="22"/>
      <c r="D815" s="23"/>
      <c r="H815" s="22"/>
      <c r="L815" s="22"/>
      <c r="P815" s="22"/>
      <c r="Q815" s="22"/>
      <c r="R815" s="22"/>
      <c r="S815" s="22"/>
    </row>
    <row r="816" spans="1:19" x14ac:dyDescent="0.25">
      <c r="A816" s="22"/>
      <c r="B816" s="22"/>
      <c r="C816" s="22"/>
      <c r="D816" s="23"/>
      <c r="H816" s="22"/>
      <c r="L816" s="22"/>
      <c r="P816" s="22"/>
      <c r="Q816" s="22"/>
      <c r="R816" s="22"/>
      <c r="S816" s="22"/>
    </row>
    <row r="817" spans="1:19" x14ac:dyDescent="0.25">
      <c r="A817" s="22"/>
      <c r="B817" s="22"/>
      <c r="C817" s="22"/>
      <c r="D817" s="23"/>
      <c r="H817" s="22"/>
      <c r="L817" s="22"/>
      <c r="P817" s="22"/>
      <c r="Q817" s="22"/>
      <c r="R817" s="22"/>
      <c r="S817" s="22"/>
    </row>
    <row r="818" spans="1:19" x14ac:dyDescent="0.25">
      <c r="A818" s="22"/>
      <c r="B818" s="22"/>
      <c r="C818" s="22"/>
      <c r="D818" s="23"/>
      <c r="H818" s="22"/>
      <c r="L818" s="22"/>
      <c r="P818" s="22"/>
      <c r="Q818" s="22"/>
      <c r="R818" s="22"/>
      <c r="S818" s="22"/>
    </row>
    <row r="819" spans="1:19" x14ac:dyDescent="0.25">
      <c r="A819" s="22"/>
      <c r="B819" s="22"/>
      <c r="C819" s="22"/>
      <c r="D819" s="23"/>
      <c r="H819" s="22"/>
      <c r="L819" s="22"/>
      <c r="P819" s="22"/>
      <c r="Q819" s="22"/>
      <c r="R819" s="22"/>
      <c r="S819" s="22"/>
    </row>
    <row r="820" spans="1:19" x14ac:dyDescent="0.25">
      <c r="A820" s="22"/>
      <c r="B820" s="22"/>
      <c r="C820" s="22"/>
      <c r="D820" s="23"/>
      <c r="H820" s="22"/>
      <c r="L820" s="22"/>
      <c r="P820" s="22"/>
      <c r="Q820" s="22"/>
      <c r="R820" s="22"/>
      <c r="S820" s="22"/>
    </row>
    <row r="821" spans="1:19" x14ac:dyDescent="0.25">
      <c r="A821" s="22"/>
      <c r="B821" s="22"/>
      <c r="C821" s="22"/>
      <c r="D821" s="23"/>
      <c r="H821" s="22"/>
      <c r="L821" s="22"/>
      <c r="P821" s="22"/>
      <c r="Q821" s="22"/>
      <c r="R821" s="22"/>
      <c r="S821" s="22"/>
    </row>
    <row r="822" spans="1:19" x14ac:dyDescent="0.25">
      <c r="A822" s="22"/>
      <c r="B822" s="22"/>
      <c r="C822" s="22"/>
      <c r="D822" s="23"/>
      <c r="H822" s="22"/>
      <c r="L822" s="22"/>
      <c r="P822" s="22"/>
      <c r="Q822" s="22"/>
      <c r="R822" s="22"/>
      <c r="S822" s="22"/>
    </row>
    <row r="823" spans="1:19" x14ac:dyDescent="0.25">
      <c r="A823" s="22"/>
      <c r="B823" s="22"/>
      <c r="C823" s="22"/>
      <c r="D823" s="23"/>
      <c r="H823" s="22"/>
      <c r="L823" s="22"/>
      <c r="P823" s="22"/>
      <c r="Q823" s="22"/>
      <c r="R823" s="22"/>
      <c r="S823" s="22"/>
    </row>
    <row r="824" spans="1:19" x14ac:dyDescent="0.25">
      <c r="A824" s="22"/>
      <c r="B824" s="22"/>
      <c r="C824" s="22"/>
      <c r="D824" s="23"/>
      <c r="H824" s="22"/>
      <c r="L824" s="22"/>
      <c r="P824" s="22"/>
      <c r="Q824" s="22"/>
      <c r="R824" s="22"/>
      <c r="S824" s="22"/>
    </row>
    <row r="825" spans="1:19" x14ac:dyDescent="0.25">
      <c r="A825" s="22"/>
      <c r="B825" s="22"/>
      <c r="C825" s="22"/>
      <c r="D825" s="23"/>
      <c r="H825" s="22"/>
      <c r="L825" s="22"/>
      <c r="P825" s="22"/>
      <c r="Q825" s="22"/>
      <c r="R825" s="22"/>
      <c r="S825" s="22"/>
    </row>
    <row r="826" spans="1:19" x14ac:dyDescent="0.25">
      <c r="A826" s="22"/>
      <c r="B826" s="22"/>
      <c r="C826" s="22"/>
      <c r="D826" s="23"/>
      <c r="H826" s="22"/>
      <c r="L826" s="22"/>
      <c r="P826" s="22"/>
      <c r="Q826" s="22"/>
      <c r="R826" s="22"/>
      <c r="S826" s="22"/>
    </row>
    <row r="827" spans="1:19" x14ac:dyDescent="0.25">
      <c r="A827" s="22"/>
      <c r="B827" s="22"/>
      <c r="C827" s="22"/>
      <c r="D827" s="23"/>
      <c r="H827" s="22"/>
      <c r="L827" s="22"/>
      <c r="P827" s="22"/>
      <c r="Q827" s="22"/>
      <c r="R827" s="22"/>
      <c r="S827" s="22"/>
    </row>
    <row r="828" spans="1:19" x14ac:dyDescent="0.25">
      <c r="A828" s="22"/>
      <c r="B828" s="22"/>
      <c r="C828" s="22"/>
      <c r="D828" s="23"/>
      <c r="H828" s="22"/>
      <c r="L828" s="22"/>
      <c r="P828" s="22"/>
      <c r="Q828" s="22"/>
      <c r="R828" s="22"/>
      <c r="S828" s="22"/>
    </row>
    <row r="829" spans="1:19" x14ac:dyDescent="0.25">
      <c r="A829" s="22"/>
      <c r="B829" s="22"/>
      <c r="C829" s="22"/>
      <c r="D829" s="23"/>
      <c r="H829" s="22"/>
      <c r="L829" s="22"/>
      <c r="P829" s="22"/>
      <c r="Q829" s="22"/>
      <c r="R829" s="22"/>
      <c r="S829" s="22"/>
    </row>
    <row r="830" spans="1:19" x14ac:dyDescent="0.25">
      <c r="A830" s="22"/>
      <c r="B830" s="22"/>
      <c r="C830" s="22"/>
      <c r="D830" s="23"/>
      <c r="H830" s="22"/>
      <c r="L830" s="22"/>
      <c r="P830" s="22"/>
      <c r="Q830" s="22"/>
      <c r="R830" s="22"/>
      <c r="S830" s="22"/>
    </row>
    <row r="831" spans="1:19" x14ac:dyDescent="0.25">
      <c r="A831" s="22"/>
      <c r="B831" s="22"/>
      <c r="C831" s="22"/>
      <c r="D831" s="23"/>
      <c r="H831" s="22"/>
      <c r="L831" s="22"/>
      <c r="P831" s="22"/>
      <c r="Q831" s="22"/>
      <c r="R831" s="22"/>
      <c r="S831" s="22"/>
    </row>
    <row r="832" spans="1:19" x14ac:dyDescent="0.25">
      <c r="A832" s="22"/>
      <c r="B832" s="22"/>
      <c r="C832" s="22"/>
      <c r="D832" s="23"/>
      <c r="H832" s="22"/>
      <c r="L832" s="22"/>
      <c r="P832" s="22"/>
      <c r="Q832" s="22"/>
      <c r="R832" s="22"/>
      <c r="S832" s="22"/>
    </row>
    <row r="833" spans="1:19" x14ac:dyDescent="0.25">
      <c r="A833" s="22"/>
      <c r="B833" s="22"/>
      <c r="C833" s="22"/>
      <c r="D833" s="23"/>
      <c r="H833" s="22"/>
      <c r="L833" s="22"/>
      <c r="P833" s="22"/>
      <c r="Q833" s="22"/>
      <c r="R833" s="22"/>
      <c r="S833" s="22"/>
    </row>
    <row r="834" spans="1:19" x14ac:dyDescent="0.25">
      <c r="A834" s="22"/>
      <c r="B834" s="22"/>
      <c r="C834" s="22"/>
      <c r="D834" s="23"/>
      <c r="H834" s="22"/>
      <c r="L834" s="22"/>
      <c r="P834" s="22"/>
      <c r="Q834" s="22"/>
      <c r="R834" s="22"/>
      <c r="S834" s="22"/>
    </row>
    <row r="835" spans="1:19" x14ac:dyDescent="0.25">
      <c r="A835" s="22"/>
      <c r="B835" s="22"/>
      <c r="C835" s="22"/>
      <c r="D835" s="23"/>
      <c r="H835" s="22"/>
      <c r="L835" s="22"/>
      <c r="P835" s="22"/>
      <c r="Q835" s="22"/>
      <c r="R835" s="22"/>
      <c r="S835" s="22"/>
    </row>
    <row r="836" spans="1:19" x14ac:dyDescent="0.25">
      <c r="A836" s="22"/>
      <c r="B836" s="22"/>
      <c r="C836" s="22"/>
      <c r="D836" s="23"/>
      <c r="H836" s="22"/>
      <c r="L836" s="22"/>
      <c r="P836" s="22"/>
      <c r="Q836" s="22"/>
      <c r="R836" s="22"/>
      <c r="S836" s="22"/>
    </row>
    <row r="837" spans="1:19" x14ac:dyDescent="0.25">
      <c r="A837" s="22"/>
      <c r="B837" s="22"/>
      <c r="C837" s="22"/>
      <c r="D837" s="23"/>
      <c r="H837" s="22"/>
      <c r="L837" s="22"/>
      <c r="P837" s="22"/>
      <c r="Q837" s="22"/>
      <c r="R837" s="22"/>
      <c r="S837" s="22"/>
    </row>
    <row r="838" spans="1:19" x14ac:dyDescent="0.25">
      <c r="A838" s="22"/>
      <c r="B838" s="22"/>
      <c r="C838" s="22"/>
      <c r="D838" s="23"/>
      <c r="H838" s="22"/>
      <c r="L838" s="22"/>
      <c r="P838" s="22"/>
      <c r="Q838" s="22"/>
      <c r="R838" s="22"/>
      <c r="S838" s="22"/>
    </row>
    <row r="839" spans="1:19" x14ac:dyDescent="0.25">
      <c r="A839" s="22"/>
      <c r="B839" s="22"/>
      <c r="C839" s="22"/>
      <c r="D839" s="23"/>
      <c r="H839" s="22"/>
      <c r="L839" s="22"/>
      <c r="P839" s="22"/>
      <c r="Q839" s="22"/>
      <c r="R839" s="22"/>
      <c r="S839" s="22"/>
    </row>
    <row r="840" spans="1:19" x14ac:dyDescent="0.25">
      <c r="A840" s="22"/>
      <c r="B840" s="22"/>
      <c r="C840" s="22"/>
      <c r="D840" s="23"/>
      <c r="H840" s="22"/>
      <c r="L840" s="22"/>
      <c r="P840" s="22"/>
      <c r="Q840" s="22"/>
      <c r="R840" s="22"/>
      <c r="S840" s="22"/>
    </row>
    <row r="841" spans="1:19" x14ac:dyDescent="0.25">
      <c r="A841" s="22"/>
      <c r="B841" s="22"/>
      <c r="C841" s="22"/>
      <c r="D841" s="23"/>
      <c r="H841" s="22"/>
      <c r="L841" s="22"/>
      <c r="P841" s="22"/>
      <c r="Q841" s="22"/>
      <c r="R841" s="22"/>
      <c r="S841" s="22"/>
    </row>
    <row r="842" spans="1:19" x14ac:dyDescent="0.25">
      <c r="A842" s="22"/>
      <c r="B842" s="22"/>
      <c r="C842" s="22"/>
      <c r="D842" s="23"/>
      <c r="H842" s="22"/>
      <c r="L842" s="22"/>
      <c r="P842" s="22"/>
      <c r="Q842" s="22"/>
      <c r="R842" s="22"/>
      <c r="S842" s="22"/>
    </row>
    <row r="843" spans="1:19" x14ac:dyDescent="0.25">
      <c r="A843" s="22"/>
      <c r="B843" s="22"/>
      <c r="C843" s="22"/>
      <c r="D843" s="23"/>
      <c r="H843" s="22"/>
      <c r="L843" s="22"/>
      <c r="P843" s="22"/>
      <c r="Q843" s="22"/>
      <c r="R843" s="22"/>
      <c r="S843" s="22"/>
    </row>
    <row r="844" spans="1:19" x14ac:dyDescent="0.25">
      <c r="A844" s="22"/>
      <c r="B844" s="22"/>
      <c r="C844" s="22"/>
      <c r="D844" s="23"/>
      <c r="H844" s="22"/>
      <c r="L844" s="22"/>
      <c r="P844" s="22"/>
      <c r="Q844" s="22"/>
      <c r="R844" s="22"/>
      <c r="S844" s="22"/>
    </row>
    <row r="845" spans="1:19" x14ac:dyDescent="0.25">
      <c r="A845" s="22"/>
      <c r="B845" s="22"/>
      <c r="C845" s="22"/>
      <c r="D845" s="23"/>
      <c r="H845" s="22"/>
      <c r="L845" s="22"/>
      <c r="P845" s="22"/>
      <c r="Q845" s="22"/>
      <c r="R845" s="22"/>
      <c r="S845" s="22"/>
    </row>
    <row r="846" spans="1:19" x14ac:dyDescent="0.25">
      <c r="A846" s="22"/>
      <c r="B846" s="22"/>
      <c r="C846" s="22"/>
      <c r="D846" s="23"/>
      <c r="H846" s="22"/>
      <c r="L846" s="22"/>
      <c r="P846" s="22"/>
      <c r="Q846" s="22"/>
      <c r="R846" s="22"/>
      <c r="S846" s="22"/>
    </row>
    <row r="847" spans="1:19" x14ac:dyDescent="0.25">
      <c r="A847" s="22"/>
      <c r="B847" s="22"/>
      <c r="C847" s="22"/>
      <c r="D847" s="23"/>
      <c r="H847" s="22"/>
      <c r="L847" s="22"/>
      <c r="P847" s="22"/>
      <c r="Q847" s="22"/>
      <c r="R847" s="22"/>
      <c r="S847" s="22"/>
    </row>
    <row r="848" spans="1:19" x14ac:dyDescent="0.25">
      <c r="A848" s="22"/>
      <c r="B848" s="22"/>
      <c r="C848" s="22"/>
      <c r="D848" s="23"/>
      <c r="H848" s="22"/>
      <c r="L848" s="22"/>
      <c r="P848" s="22"/>
      <c r="Q848" s="22"/>
      <c r="R848" s="22"/>
      <c r="S848" s="22"/>
    </row>
    <row r="849" spans="1:19" x14ac:dyDescent="0.25">
      <c r="A849" s="22"/>
      <c r="B849" s="22"/>
      <c r="C849" s="22"/>
      <c r="D849" s="23"/>
      <c r="H849" s="22"/>
      <c r="L849" s="22"/>
      <c r="P849" s="22"/>
      <c r="Q849" s="22"/>
      <c r="R849" s="22"/>
      <c r="S849" s="22"/>
    </row>
    <row r="850" spans="1:19" x14ac:dyDescent="0.25">
      <c r="A850" s="22"/>
      <c r="B850" s="22"/>
      <c r="C850" s="22"/>
      <c r="D850" s="23"/>
      <c r="H850" s="22"/>
      <c r="L850" s="22"/>
      <c r="P850" s="22"/>
      <c r="Q850" s="22"/>
      <c r="R850" s="22"/>
      <c r="S850" s="22"/>
    </row>
    <row r="851" spans="1:19" x14ac:dyDescent="0.25">
      <c r="A851" s="22"/>
      <c r="B851" s="22"/>
      <c r="C851" s="22"/>
      <c r="D851" s="23"/>
      <c r="H851" s="22"/>
      <c r="L851" s="22"/>
      <c r="P851" s="22"/>
      <c r="Q851" s="22"/>
      <c r="R851" s="22"/>
      <c r="S851" s="22"/>
    </row>
    <row r="852" spans="1:19" x14ac:dyDescent="0.25">
      <c r="A852" s="22"/>
      <c r="B852" s="22"/>
      <c r="C852" s="22"/>
      <c r="D852" s="23"/>
      <c r="H852" s="22"/>
      <c r="L852" s="22"/>
      <c r="P852" s="22"/>
      <c r="Q852" s="22"/>
      <c r="R852" s="22"/>
      <c r="S852" s="22"/>
    </row>
    <row r="853" spans="1:19" x14ac:dyDescent="0.25">
      <c r="A853" s="22"/>
      <c r="B853" s="22"/>
      <c r="C853" s="22"/>
      <c r="D853" s="23"/>
      <c r="H853" s="22"/>
      <c r="L853" s="22"/>
      <c r="P853" s="22"/>
      <c r="Q853" s="22"/>
      <c r="R853" s="22"/>
      <c r="S853" s="22"/>
    </row>
    <row r="854" spans="1:19" x14ac:dyDescent="0.25">
      <c r="A854" s="22"/>
      <c r="B854" s="22"/>
      <c r="C854" s="22"/>
      <c r="D854" s="23"/>
      <c r="H854" s="22"/>
      <c r="L854" s="22"/>
      <c r="P854" s="22"/>
      <c r="Q854" s="22"/>
      <c r="R854" s="22"/>
      <c r="S854" s="22"/>
    </row>
    <row r="855" spans="1:19" x14ac:dyDescent="0.25">
      <c r="A855" s="22"/>
      <c r="B855" s="22"/>
      <c r="C855" s="22"/>
      <c r="D855" s="23"/>
      <c r="H855" s="22"/>
      <c r="L855" s="22"/>
      <c r="P855" s="22"/>
      <c r="Q855" s="22"/>
      <c r="R855" s="22"/>
      <c r="S855" s="22"/>
    </row>
    <row r="856" spans="1:19" x14ac:dyDescent="0.25">
      <c r="A856" s="22"/>
      <c r="B856" s="22"/>
      <c r="C856" s="22"/>
      <c r="D856" s="23"/>
      <c r="H856" s="22"/>
      <c r="L856" s="22"/>
      <c r="P856" s="22"/>
      <c r="Q856" s="22"/>
      <c r="R856" s="22"/>
      <c r="S856" s="22"/>
    </row>
    <row r="857" spans="1:19" x14ac:dyDescent="0.25">
      <c r="A857" s="22"/>
      <c r="B857" s="22"/>
      <c r="C857" s="22"/>
      <c r="D857" s="23"/>
      <c r="H857" s="22"/>
      <c r="L857" s="22"/>
      <c r="P857" s="22"/>
      <c r="Q857" s="22"/>
      <c r="R857" s="22"/>
      <c r="S857" s="22"/>
    </row>
    <row r="858" spans="1:19" x14ac:dyDescent="0.25">
      <c r="A858" s="22"/>
      <c r="B858" s="22"/>
      <c r="C858" s="22"/>
      <c r="D858" s="23"/>
      <c r="H858" s="22"/>
      <c r="L858" s="22"/>
      <c r="P858" s="22"/>
      <c r="Q858" s="22"/>
      <c r="R858" s="22"/>
      <c r="S858" s="22"/>
    </row>
    <row r="859" spans="1:19" x14ac:dyDescent="0.25">
      <c r="A859" s="22"/>
      <c r="B859" s="22"/>
      <c r="C859" s="22"/>
      <c r="D859" s="23"/>
      <c r="H859" s="22"/>
      <c r="L859" s="22"/>
      <c r="P859" s="22"/>
      <c r="Q859" s="22"/>
      <c r="R859" s="22"/>
      <c r="S859" s="22"/>
    </row>
    <row r="860" spans="1:19" x14ac:dyDescent="0.25">
      <c r="A860" s="22"/>
      <c r="B860" s="22"/>
      <c r="C860" s="22"/>
      <c r="D860" s="23"/>
      <c r="H860" s="22"/>
      <c r="L860" s="22"/>
      <c r="P860" s="22"/>
      <c r="Q860" s="22"/>
      <c r="R860" s="22"/>
      <c r="S860" s="22"/>
    </row>
    <row r="861" spans="1:19" x14ac:dyDescent="0.25">
      <c r="A861" s="22"/>
      <c r="B861" s="22"/>
      <c r="C861" s="22"/>
      <c r="D861" s="23"/>
      <c r="H861" s="22"/>
      <c r="L861" s="22"/>
      <c r="P861" s="22"/>
      <c r="Q861" s="22"/>
      <c r="R861" s="22"/>
      <c r="S861" s="22"/>
    </row>
    <row r="862" spans="1:19" x14ac:dyDescent="0.25">
      <c r="A862" s="22"/>
      <c r="B862" s="22"/>
      <c r="C862" s="22"/>
      <c r="D862" s="23"/>
      <c r="H862" s="22"/>
      <c r="L862" s="22"/>
      <c r="P862" s="22"/>
      <c r="Q862" s="22"/>
      <c r="R862" s="22"/>
      <c r="S862" s="22"/>
    </row>
    <row r="863" spans="1:19" x14ac:dyDescent="0.25">
      <c r="A863" s="22"/>
      <c r="B863" s="22"/>
      <c r="C863" s="22"/>
      <c r="D863" s="23"/>
      <c r="H863" s="22"/>
      <c r="L863" s="22"/>
      <c r="P863" s="22"/>
      <c r="Q863" s="22"/>
      <c r="R863" s="22"/>
      <c r="S863" s="22"/>
    </row>
    <row r="864" spans="1:19" x14ac:dyDescent="0.25">
      <c r="A864" s="22"/>
      <c r="B864" s="22"/>
      <c r="C864" s="22"/>
      <c r="D864" s="23"/>
      <c r="H864" s="22"/>
      <c r="L864" s="22"/>
      <c r="P864" s="22"/>
      <c r="Q864" s="22"/>
      <c r="R864" s="22"/>
      <c r="S864" s="22"/>
    </row>
    <row r="865" spans="1:19" x14ac:dyDescent="0.25">
      <c r="A865" s="22"/>
      <c r="B865" s="22"/>
      <c r="C865" s="22"/>
      <c r="D865" s="23"/>
      <c r="H865" s="22"/>
      <c r="L865" s="22"/>
      <c r="P865" s="22"/>
      <c r="Q865" s="22"/>
      <c r="R865" s="22"/>
      <c r="S865" s="22"/>
    </row>
    <row r="866" spans="1:19" x14ac:dyDescent="0.25">
      <c r="A866" s="22"/>
      <c r="B866" s="22"/>
      <c r="C866" s="22"/>
      <c r="D866" s="23"/>
      <c r="H866" s="22"/>
      <c r="L866" s="22"/>
      <c r="P866" s="22"/>
      <c r="Q866" s="22"/>
      <c r="R866" s="22"/>
      <c r="S866" s="22"/>
    </row>
    <row r="867" spans="1:19" x14ac:dyDescent="0.25">
      <c r="A867" s="22"/>
      <c r="B867" s="22"/>
      <c r="C867" s="22"/>
      <c r="D867" s="23"/>
      <c r="H867" s="22"/>
      <c r="L867" s="22"/>
      <c r="P867" s="22"/>
      <c r="Q867" s="22"/>
      <c r="R867" s="22"/>
      <c r="S867" s="22"/>
    </row>
    <row r="868" spans="1:19" x14ac:dyDescent="0.25">
      <c r="A868" s="22"/>
      <c r="B868" s="22"/>
      <c r="C868" s="22"/>
      <c r="D868" s="23"/>
      <c r="H868" s="22"/>
      <c r="L868" s="22"/>
      <c r="P868" s="22"/>
      <c r="Q868" s="22"/>
      <c r="R868" s="22"/>
      <c r="S868" s="22"/>
    </row>
    <row r="869" spans="1:19" x14ac:dyDescent="0.25">
      <c r="A869" s="22"/>
      <c r="B869" s="22"/>
      <c r="C869" s="22"/>
      <c r="D869" s="23"/>
      <c r="H869" s="22"/>
      <c r="L869" s="22"/>
      <c r="P869" s="22"/>
      <c r="Q869" s="22"/>
      <c r="R869" s="22"/>
      <c r="S869" s="22"/>
    </row>
    <row r="870" spans="1:19" x14ac:dyDescent="0.25">
      <c r="A870" s="22"/>
      <c r="B870" s="22"/>
      <c r="C870" s="22"/>
      <c r="D870" s="23"/>
      <c r="H870" s="22"/>
      <c r="L870" s="22"/>
      <c r="P870" s="22"/>
      <c r="Q870" s="22"/>
      <c r="R870" s="22"/>
      <c r="S870" s="22"/>
    </row>
    <row r="871" spans="1:19" x14ac:dyDescent="0.25">
      <c r="A871" s="22"/>
      <c r="B871" s="22"/>
      <c r="C871" s="22"/>
      <c r="D871" s="23"/>
      <c r="H871" s="22"/>
      <c r="L871" s="22"/>
      <c r="P871" s="22"/>
      <c r="Q871" s="22"/>
      <c r="R871" s="22"/>
      <c r="S871" s="22"/>
    </row>
    <row r="872" spans="1:19" x14ac:dyDescent="0.25">
      <c r="A872" s="22"/>
      <c r="B872" s="22"/>
      <c r="C872" s="22"/>
      <c r="D872" s="23"/>
      <c r="H872" s="22"/>
      <c r="L872" s="22"/>
      <c r="P872" s="22"/>
      <c r="Q872" s="22"/>
      <c r="R872" s="22"/>
      <c r="S872" s="22"/>
    </row>
    <row r="873" spans="1:19" x14ac:dyDescent="0.25">
      <c r="A873" s="22"/>
      <c r="B873" s="22"/>
      <c r="C873" s="22"/>
      <c r="D873" s="23"/>
      <c r="H873" s="22"/>
      <c r="L873" s="22"/>
      <c r="P873" s="22"/>
      <c r="Q873" s="22"/>
      <c r="R873" s="22"/>
      <c r="S873" s="22"/>
    </row>
    <row r="874" spans="1:19" x14ac:dyDescent="0.25">
      <c r="A874" s="22"/>
      <c r="B874" s="22"/>
      <c r="C874" s="22"/>
      <c r="D874" s="23"/>
      <c r="H874" s="22"/>
      <c r="L874" s="22"/>
      <c r="P874" s="22"/>
      <c r="Q874" s="22"/>
      <c r="R874" s="22"/>
      <c r="S874" s="22"/>
    </row>
    <row r="875" spans="1:19" x14ac:dyDescent="0.25">
      <c r="A875" s="22"/>
      <c r="B875" s="22"/>
      <c r="C875" s="22"/>
      <c r="D875" s="23"/>
      <c r="H875" s="22"/>
      <c r="L875" s="22"/>
      <c r="P875" s="22"/>
      <c r="Q875" s="22"/>
      <c r="R875" s="22"/>
      <c r="S875" s="22"/>
    </row>
    <row r="876" spans="1:19" x14ac:dyDescent="0.25">
      <c r="A876" s="22"/>
      <c r="B876" s="22"/>
      <c r="C876" s="22"/>
      <c r="D876" s="23"/>
      <c r="H876" s="22"/>
      <c r="L876" s="22"/>
      <c r="P876" s="22"/>
      <c r="Q876" s="22"/>
      <c r="R876" s="22"/>
      <c r="S876" s="22"/>
    </row>
    <row r="877" spans="1:19" x14ac:dyDescent="0.25">
      <c r="A877" s="22"/>
      <c r="B877" s="22"/>
      <c r="C877" s="22"/>
      <c r="D877" s="23"/>
      <c r="H877" s="22"/>
      <c r="L877" s="22"/>
      <c r="P877" s="22"/>
      <c r="Q877" s="22"/>
      <c r="R877" s="22"/>
      <c r="S877" s="22"/>
    </row>
    <row r="878" spans="1:19" x14ac:dyDescent="0.25">
      <c r="A878" s="22"/>
      <c r="B878" s="22"/>
      <c r="C878" s="22"/>
      <c r="D878" s="23"/>
      <c r="H878" s="22"/>
      <c r="L878" s="22"/>
      <c r="P878" s="22"/>
      <c r="Q878" s="22"/>
      <c r="R878" s="22"/>
      <c r="S878" s="22"/>
    </row>
    <row r="879" spans="1:19" x14ac:dyDescent="0.25">
      <c r="A879" s="22"/>
      <c r="B879" s="22"/>
      <c r="C879" s="22"/>
      <c r="D879" s="23"/>
      <c r="H879" s="22"/>
      <c r="L879" s="22"/>
      <c r="P879" s="22"/>
      <c r="Q879" s="22"/>
      <c r="R879" s="22"/>
      <c r="S879" s="22"/>
    </row>
    <row r="880" spans="1:19" x14ac:dyDescent="0.25">
      <c r="A880" s="22"/>
      <c r="B880" s="22"/>
      <c r="C880" s="22"/>
      <c r="D880" s="23"/>
      <c r="H880" s="22"/>
      <c r="L880" s="22"/>
      <c r="P880" s="22"/>
      <c r="Q880" s="22"/>
      <c r="R880" s="22"/>
      <c r="S880" s="22"/>
    </row>
    <row r="881" spans="1:19" x14ac:dyDescent="0.25">
      <c r="A881" s="22"/>
      <c r="B881" s="22"/>
      <c r="C881" s="22"/>
      <c r="D881" s="23"/>
      <c r="H881" s="22"/>
      <c r="L881" s="22"/>
      <c r="P881" s="22"/>
      <c r="Q881" s="22"/>
      <c r="R881" s="22"/>
      <c r="S881" s="22"/>
    </row>
    <row r="882" spans="1:19" x14ac:dyDescent="0.25">
      <c r="A882" s="22"/>
      <c r="B882" s="22"/>
      <c r="C882" s="22"/>
      <c r="D882" s="23"/>
      <c r="H882" s="22"/>
      <c r="L882" s="22"/>
      <c r="P882" s="22"/>
      <c r="Q882" s="22"/>
      <c r="R882" s="22"/>
      <c r="S882" s="22"/>
    </row>
    <row r="883" spans="1:19" x14ac:dyDescent="0.25">
      <c r="A883" s="22"/>
      <c r="B883" s="22"/>
      <c r="C883" s="22"/>
      <c r="D883" s="23"/>
      <c r="H883" s="22"/>
      <c r="L883" s="22"/>
      <c r="P883" s="22"/>
      <c r="Q883" s="22"/>
      <c r="R883" s="22"/>
      <c r="S883" s="22"/>
    </row>
    <row r="884" spans="1:19" x14ac:dyDescent="0.25">
      <c r="A884" s="22"/>
      <c r="B884" s="22"/>
      <c r="C884" s="22"/>
      <c r="D884" s="23"/>
      <c r="H884" s="22"/>
      <c r="L884" s="22"/>
      <c r="P884" s="22"/>
      <c r="Q884" s="22"/>
      <c r="R884" s="22"/>
      <c r="S884" s="22"/>
    </row>
    <row r="885" spans="1:19" x14ac:dyDescent="0.25">
      <c r="A885" s="22"/>
      <c r="B885" s="22"/>
      <c r="C885" s="22"/>
      <c r="D885" s="23"/>
      <c r="H885" s="22"/>
      <c r="L885" s="22"/>
      <c r="P885" s="22"/>
      <c r="Q885" s="22"/>
      <c r="R885" s="22"/>
      <c r="S885" s="22"/>
    </row>
    <row r="886" spans="1:19" x14ac:dyDescent="0.25">
      <c r="A886" s="22"/>
      <c r="B886" s="22"/>
      <c r="C886" s="22"/>
      <c r="D886" s="23"/>
      <c r="H886" s="22"/>
      <c r="L886" s="22"/>
      <c r="P886" s="22"/>
      <c r="Q886" s="22"/>
      <c r="R886" s="22"/>
      <c r="S886" s="22"/>
    </row>
    <row r="887" spans="1:19" x14ac:dyDescent="0.25">
      <c r="A887" s="22"/>
      <c r="B887" s="22"/>
      <c r="C887" s="22"/>
      <c r="D887" s="23"/>
      <c r="H887" s="22"/>
      <c r="L887" s="22"/>
      <c r="P887" s="22"/>
      <c r="Q887" s="22"/>
      <c r="R887" s="22"/>
      <c r="S887" s="22"/>
    </row>
    <row r="888" spans="1:19" x14ac:dyDescent="0.25">
      <c r="A888" s="22"/>
      <c r="B888" s="22"/>
      <c r="C888" s="22"/>
      <c r="D888" s="23"/>
      <c r="H888" s="22"/>
      <c r="L888" s="22"/>
      <c r="P888" s="22"/>
      <c r="Q888" s="22"/>
      <c r="R888" s="22"/>
      <c r="S888" s="22"/>
    </row>
    <row r="889" spans="1:19" x14ac:dyDescent="0.25">
      <c r="A889" s="22"/>
      <c r="B889" s="22"/>
      <c r="C889" s="22"/>
      <c r="D889" s="23"/>
      <c r="H889" s="22"/>
      <c r="L889" s="22"/>
      <c r="P889" s="22"/>
      <c r="Q889" s="22"/>
      <c r="R889" s="22"/>
      <c r="S889" s="22"/>
    </row>
    <row r="890" spans="1:19" x14ac:dyDescent="0.25">
      <c r="A890" s="22"/>
      <c r="B890" s="22"/>
      <c r="C890" s="22"/>
      <c r="D890" s="23"/>
      <c r="H890" s="22"/>
      <c r="L890" s="22"/>
      <c r="P890" s="22"/>
      <c r="Q890" s="22"/>
      <c r="R890" s="22"/>
      <c r="S890" s="22"/>
    </row>
    <row r="891" spans="1:19" x14ac:dyDescent="0.25">
      <c r="A891" s="22"/>
      <c r="B891" s="22"/>
      <c r="C891" s="22"/>
      <c r="D891" s="23"/>
      <c r="H891" s="22"/>
      <c r="L891" s="22"/>
      <c r="P891" s="22"/>
      <c r="Q891" s="22"/>
      <c r="R891" s="22"/>
      <c r="S891" s="22"/>
    </row>
    <row r="892" spans="1:19" x14ac:dyDescent="0.25">
      <c r="A892" s="22"/>
      <c r="B892" s="22"/>
      <c r="C892" s="22"/>
      <c r="D892" s="23"/>
      <c r="H892" s="22"/>
      <c r="L892" s="22"/>
      <c r="P892" s="22"/>
      <c r="Q892" s="22"/>
      <c r="R892" s="22"/>
      <c r="S892" s="22"/>
    </row>
    <row r="893" spans="1:19" x14ac:dyDescent="0.25">
      <c r="A893" s="22"/>
      <c r="B893" s="22"/>
      <c r="C893" s="22"/>
      <c r="D893" s="23"/>
      <c r="H893" s="22"/>
      <c r="L893" s="22"/>
      <c r="P893" s="22"/>
      <c r="Q893" s="22"/>
      <c r="R893" s="22"/>
      <c r="S893" s="22"/>
    </row>
    <row r="894" spans="1:19" x14ac:dyDescent="0.25">
      <c r="A894" s="22"/>
      <c r="B894" s="22"/>
      <c r="C894" s="22"/>
      <c r="D894" s="23"/>
      <c r="H894" s="22"/>
      <c r="L894" s="22"/>
      <c r="P894" s="22"/>
      <c r="Q894" s="22"/>
      <c r="R894" s="22"/>
      <c r="S894" s="22"/>
    </row>
    <row r="895" spans="1:19" x14ac:dyDescent="0.25">
      <c r="A895" s="22"/>
      <c r="B895" s="22"/>
      <c r="C895" s="22"/>
      <c r="D895" s="23"/>
      <c r="H895" s="22"/>
      <c r="L895" s="22"/>
      <c r="P895" s="22"/>
      <c r="Q895" s="22"/>
      <c r="R895" s="22"/>
      <c r="S895" s="22"/>
    </row>
    <row r="896" spans="1:19" x14ac:dyDescent="0.25">
      <c r="A896" s="22"/>
      <c r="B896" s="22"/>
      <c r="C896" s="22"/>
      <c r="D896" s="23"/>
      <c r="H896" s="22"/>
      <c r="L896" s="22"/>
      <c r="P896" s="22"/>
      <c r="Q896" s="22"/>
      <c r="R896" s="22"/>
      <c r="S896" s="22"/>
    </row>
    <row r="897" spans="1:19" x14ac:dyDescent="0.25">
      <c r="A897" s="22"/>
      <c r="B897" s="22"/>
      <c r="C897" s="22"/>
      <c r="D897" s="23"/>
      <c r="H897" s="22"/>
      <c r="L897" s="22"/>
      <c r="P897" s="22"/>
      <c r="Q897" s="22"/>
      <c r="R897" s="22"/>
      <c r="S897" s="22"/>
    </row>
    <row r="898" spans="1:19" x14ac:dyDescent="0.25">
      <c r="A898" s="22"/>
      <c r="B898" s="22"/>
      <c r="C898" s="22"/>
      <c r="D898" s="23"/>
      <c r="H898" s="22"/>
      <c r="L898" s="22"/>
      <c r="P898" s="22"/>
      <c r="Q898" s="22"/>
      <c r="R898" s="22"/>
      <c r="S898" s="22"/>
    </row>
    <row r="899" spans="1:19" x14ac:dyDescent="0.25">
      <c r="A899" s="22"/>
      <c r="B899" s="22"/>
      <c r="C899" s="22"/>
      <c r="D899" s="23"/>
      <c r="H899" s="22"/>
      <c r="L899" s="22"/>
      <c r="P899" s="22"/>
      <c r="Q899" s="22"/>
      <c r="R899" s="22"/>
      <c r="S899" s="22"/>
    </row>
    <row r="900" spans="1:19" x14ac:dyDescent="0.25">
      <c r="A900" s="22"/>
      <c r="B900" s="22"/>
      <c r="C900" s="22"/>
      <c r="D900" s="23"/>
      <c r="H900" s="22"/>
      <c r="L900" s="22"/>
      <c r="P900" s="22"/>
      <c r="Q900" s="22"/>
      <c r="R900" s="22"/>
      <c r="S900" s="22"/>
    </row>
    <row r="901" spans="1:19" x14ac:dyDescent="0.25">
      <c r="A901" s="22"/>
      <c r="B901" s="22"/>
      <c r="C901" s="22"/>
      <c r="D901" s="23"/>
      <c r="H901" s="22"/>
      <c r="L901" s="22"/>
      <c r="P901" s="22"/>
      <c r="Q901" s="22"/>
      <c r="R901" s="22"/>
      <c r="S901" s="22"/>
    </row>
    <row r="902" spans="1:19" x14ac:dyDescent="0.25">
      <c r="A902" s="22"/>
      <c r="B902" s="22"/>
      <c r="C902" s="22"/>
      <c r="D902" s="23"/>
      <c r="H902" s="22"/>
      <c r="L902" s="22"/>
      <c r="P902" s="22"/>
      <c r="Q902" s="22"/>
      <c r="R902" s="22"/>
      <c r="S902" s="22"/>
    </row>
    <row r="903" spans="1:19" x14ac:dyDescent="0.25">
      <c r="A903" s="22"/>
      <c r="B903" s="22"/>
      <c r="C903" s="22"/>
      <c r="D903" s="23"/>
      <c r="H903" s="22"/>
      <c r="L903" s="22"/>
      <c r="P903" s="22"/>
      <c r="Q903" s="22"/>
      <c r="R903" s="22"/>
      <c r="S903" s="22"/>
    </row>
    <row r="904" spans="1:19" x14ac:dyDescent="0.25">
      <c r="A904" s="22"/>
      <c r="B904" s="22"/>
      <c r="C904" s="22"/>
      <c r="D904" s="23"/>
      <c r="H904" s="22"/>
      <c r="L904" s="22"/>
      <c r="P904" s="22"/>
      <c r="Q904" s="22"/>
      <c r="R904" s="22"/>
      <c r="S904" s="22"/>
    </row>
    <row r="905" spans="1:19" x14ac:dyDescent="0.25">
      <c r="A905" s="22"/>
      <c r="B905" s="22"/>
      <c r="C905" s="22"/>
      <c r="D905" s="23"/>
      <c r="H905" s="22"/>
      <c r="L905" s="22"/>
      <c r="P905" s="22"/>
      <c r="Q905" s="22"/>
      <c r="R905" s="22"/>
      <c r="S905" s="22"/>
    </row>
    <row r="906" spans="1:19" x14ac:dyDescent="0.25">
      <c r="A906" s="22"/>
      <c r="B906" s="22"/>
      <c r="C906" s="22"/>
      <c r="D906" s="23"/>
      <c r="H906" s="22"/>
      <c r="L906" s="22"/>
      <c r="P906" s="22"/>
      <c r="Q906" s="22"/>
      <c r="R906" s="22"/>
      <c r="S906" s="22"/>
    </row>
    <row r="907" spans="1:19" x14ac:dyDescent="0.25">
      <c r="A907" s="22"/>
      <c r="B907" s="22"/>
      <c r="C907" s="22"/>
      <c r="D907" s="23"/>
      <c r="H907" s="22"/>
      <c r="L907" s="22"/>
      <c r="P907" s="22"/>
      <c r="Q907" s="22"/>
      <c r="R907" s="22"/>
      <c r="S907" s="22"/>
    </row>
    <row r="908" spans="1:19" x14ac:dyDescent="0.25">
      <c r="A908" s="22"/>
      <c r="B908" s="22"/>
      <c r="C908" s="22"/>
      <c r="D908" s="23"/>
      <c r="H908" s="22"/>
      <c r="L908" s="22"/>
      <c r="P908" s="22"/>
      <c r="Q908" s="22"/>
      <c r="R908" s="22"/>
      <c r="S908" s="22"/>
    </row>
    <row r="909" spans="1:19" x14ac:dyDescent="0.25">
      <c r="A909" s="22"/>
      <c r="B909" s="22"/>
      <c r="C909" s="22"/>
      <c r="D909" s="23"/>
      <c r="H909" s="22"/>
      <c r="L909" s="22"/>
      <c r="P909" s="22"/>
      <c r="Q909" s="22"/>
      <c r="R909" s="22"/>
      <c r="S909" s="22"/>
    </row>
    <row r="910" spans="1:19" x14ac:dyDescent="0.25">
      <c r="A910" s="22"/>
      <c r="B910" s="22"/>
      <c r="C910" s="22"/>
      <c r="D910" s="23"/>
      <c r="H910" s="22"/>
      <c r="L910" s="22"/>
      <c r="P910" s="22"/>
      <c r="Q910" s="22"/>
      <c r="R910" s="22"/>
      <c r="S910" s="22"/>
    </row>
    <row r="911" spans="1:19" x14ac:dyDescent="0.25">
      <c r="A911" s="22"/>
      <c r="B911" s="22"/>
      <c r="C911" s="22"/>
      <c r="D911" s="23"/>
      <c r="H911" s="22"/>
      <c r="L911" s="22"/>
      <c r="P911" s="22"/>
      <c r="Q911" s="22"/>
      <c r="R911" s="22"/>
      <c r="S911" s="22"/>
    </row>
    <row r="912" spans="1:19" x14ac:dyDescent="0.25">
      <c r="A912" s="22"/>
      <c r="B912" s="22"/>
      <c r="C912" s="22"/>
      <c r="D912" s="23"/>
      <c r="H912" s="22"/>
      <c r="L912" s="22"/>
      <c r="P912" s="22"/>
      <c r="Q912" s="22"/>
      <c r="R912" s="22"/>
      <c r="S912" s="22"/>
    </row>
    <row r="913" spans="1:19" x14ac:dyDescent="0.25">
      <c r="A913" s="22"/>
      <c r="B913" s="22"/>
      <c r="C913" s="22"/>
      <c r="D913" s="23"/>
      <c r="H913" s="22"/>
      <c r="L913" s="22"/>
      <c r="P913" s="22"/>
      <c r="Q913" s="22"/>
      <c r="R913" s="22"/>
      <c r="S913" s="22"/>
    </row>
    <row r="914" spans="1:19" x14ac:dyDescent="0.25">
      <c r="A914" s="22"/>
      <c r="B914" s="22"/>
      <c r="C914" s="22"/>
      <c r="D914" s="23"/>
      <c r="H914" s="22"/>
      <c r="L914" s="22"/>
      <c r="P914" s="22"/>
      <c r="Q914" s="22"/>
      <c r="R914" s="22"/>
      <c r="S914" s="22"/>
    </row>
    <row r="915" spans="1:19" x14ac:dyDescent="0.25">
      <c r="A915" s="22"/>
      <c r="B915" s="22"/>
      <c r="C915" s="22"/>
      <c r="D915" s="23"/>
      <c r="H915" s="22"/>
      <c r="L915" s="22"/>
      <c r="P915" s="22"/>
      <c r="Q915" s="22"/>
      <c r="R915" s="22"/>
      <c r="S915" s="22"/>
    </row>
    <row r="916" spans="1:19" x14ac:dyDescent="0.25">
      <c r="A916" s="22"/>
      <c r="B916" s="22"/>
      <c r="C916" s="22"/>
      <c r="D916" s="23"/>
      <c r="H916" s="22"/>
      <c r="L916" s="22"/>
      <c r="P916" s="22"/>
      <c r="Q916" s="22"/>
      <c r="R916" s="22"/>
      <c r="S916" s="22"/>
    </row>
    <row r="917" spans="1:19" x14ac:dyDescent="0.25">
      <c r="A917" s="22"/>
      <c r="B917" s="22"/>
      <c r="C917" s="22"/>
      <c r="D917" s="23"/>
      <c r="H917" s="22"/>
      <c r="L917" s="22"/>
      <c r="P917" s="22"/>
      <c r="Q917" s="22"/>
      <c r="R917" s="22"/>
      <c r="S917" s="22"/>
    </row>
    <row r="918" spans="1:19" x14ac:dyDescent="0.25">
      <c r="A918" s="22"/>
      <c r="B918" s="22"/>
      <c r="C918" s="22"/>
      <c r="D918" s="23"/>
      <c r="H918" s="22"/>
      <c r="L918" s="22"/>
      <c r="P918" s="22"/>
      <c r="Q918" s="22"/>
      <c r="R918" s="22"/>
      <c r="S918" s="22"/>
    </row>
    <row r="919" spans="1:19" x14ac:dyDescent="0.25">
      <c r="A919" s="22"/>
      <c r="B919" s="22"/>
      <c r="C919" s="22"/>
      <c r="D919" s="23"/>
      <c r="H919" s="22"/>
      <c r="L919" s="22"/>
      <c r="P919" s="22"/>
      <c r="Q919" s="22"/>
      <c r="R919" s="22"/>
      <c r="S919" s="22"/>
    </row>
    <row r="920" spans="1:19" x14ac:dyDescent="0.25">
      <c r="A920" s="22"/>
      <c r="B920" s="22"/>
      <c r="C920" s="22"/>
      <c r="D920" s="23"/>
      <c r="H920" s="22"/>
      <c r="L920" s="22"/>
      <c r="P920" s="22"/>
      <c r="Q920" s="22"/>
      <c r="R920" s="22"/>
      <c r="S920" s="22"/>
    </row>
    <row r="921" spans="1:19" x14ac:dyDescent="0.25">
      <c r="A921" s="22"/>
      <c r="B921" s="22"/>
      <c r="C921" s="22"/>
      <c r="D921" s="23"/>
      <c r="H921" s="22"/>
      <c r="L921" s="22"/>
      <c r="P921" s="22"/>
      <c r="Q921" s="22"/>
      <c r="R921" s="22"/>
      <c r="S921" s="22"/>
    </row>
    <row r="922" spans="1:19" x14ac:dyDescent="0.25">
      <c r="A922" s="22"/>
      <c r="B922" s="22"/>
      <c r="C922" s="22"/>
      <c r="D922" s="23"/>
      <c r="H922" s="22"/>
      <c r="L922" s="22"/>
      <c r="P922" s="22"/>
      <c r="Q922" s="22"/>
      <c r="R922" s="22"/>
      <c r="S922" s="22"/>
    </row>
    <row r="923" spans="1:19" x14ac:dyDescent="0.25">
      <c r="A923" s="22"/>
      <c r="B923" s="22"/>
      <c r="C923" s="22"/>
      <c r="D923" s="23"/>
      <c r="H923" s="22"/>
      <c r="L923" s="22"/>
      <c r="P923" s="22"/>
      <c r="Q923" s="22"/>
      <c r="R923" s="22"/>
      <c r="S923" s="22"/>
    </row>
    <row r="924" spans="1:19" x14ac:dyDescent="0.25">
      <c r="A924" s="22"/>
      <c r="B924" s="22"/>
      <c r="C924" s="22"/>
      <c r="D924" s="23"/>
      <c r="H924" s="22"/>
      <c r="L924" s="22"/>
      <c r="P924" s="22"/>
      <c r="Q924" s="22"/>
      <c r="R924" s="22"/>
      <c r="S924" s="22"/>
    </row>
    <row r="925" spans="1:19" x14ac:dyDescent="0.25">
      <c r="A925" s="22"/>
      <c r="B925" s="22"/>
      <c r="C925" s="22"/>
      <c r="D925" s="23"/>
      <c r="H925" s="22"/>
      <c r="L925" s="22"/>
      <c r="P925" s="22"/>
      <c r="Q925" s="22"/>
      <c r="R925" s="22"/>
      <c r="S925" s="22"/>
    </row>
    <row r="926" spans="1:19" x14ac:dyDescent="0.25">
      <c r="A926" s="22"/>
      <c r="B926" s="22"/>
      <c r="C926" s="22"/>
      <c r="D926" s="23"/>
      <c r="H926" s="22"/>
      <c r="L926" s="22"/>
      <c r="P926" s="22"/>
      <c r="Q926" s="22"/>
      <c r="R926" s="22"/>
      <c r="S926" s="22"/>
    </row>
    <row r="927" spans="1:19" x14ac:dyDescent="0.25">
      <c r="A927" s="22"/>
      <c r="B927" s="22"/>
      <c r="C927" s="22"/>
      <c r="D927" s="23"/>
      <c r="H927" s="22"/>
      <c r="L927" s="22"/>
      <c r="P927" s="22"/>
      <c r="Q927" s="22"/>
      <c r="R927" s="22"/>
      <c r="S927" s="22"/>
    </row>
    <row r="928" spans="1:19" x14ac:dyDescent="0.25">
      <c r="A928" s="22"/>
      <c r="B928" s="22"/>
      <c r="C928" s="22"/>
      <c r="D928" s="23"/>
      <c r="H928" s="22"/>
      <c r="L928" s="22"/>
      <c r="P928" s="22"/>
      <c r="Q928" s="22"/>
      <c r="R928" s="22"/>
      <c r="S928" s="22"/>
    </row>
    <row r="929" spans="1:19" x14ac:dyDescent="0.25">
      <c r="A929" s="22"/>
      <c r="B929" s="22"/>
      <c r="C929" s="22"/>
      <c r="D929" s="23"/>
      <c r="H929" s="22"/>
      <c r="L929" s="22"/>
      <c r="P929" s="22"/>
      <c r="Q929" s="22"/>
      <c r="R929" s="22"/>
      <c r="S929" s="22"/>
    </row>
    <row r="930" spans="1:19" x14ac:dyDescent="0.25">
      <c r="A930" s="22"/>
      <c r="B930" s="22"/>
      <c r="C930" s="22"/>
      <c r="D930" s="23"/>
      <c r="H930" s="22"/>
      <c r="L930" s="22"/>
      <c r="P930" s="22"/>
      <c r="Q930" s="22"/>
      <c r="R930" s="22"/>
      <c r="S930" s="22"/>
    </row>
    <row r="931" spans="1:19" x14ac:dyDescent="0.25">
      <c r="A931" s="22"/>
      <c r="B931" s="22"/>
      <c r="C931" s="22"/>
      <c r="D931" s="23"/>
      <c r="H931" s="22"/>
      <c r="L931" s="22"/>
      <c r="P931" s="22"/>
      <c r="Q931" s="22"/>
      <c r="R931" s="22"/>
      <c r="S931" s="22"/>
    </row>
    <row r="932" spans="1:19" x14ac:dyDescent="0.25">
      <c r="A932" s="22"/>
      <c r="B932" s="22"/>
      <c r="C932" s="22"/>
      <c r="D932" s="23"/>
      <c r="H932" s="22"/>
      <c r="L932" s="22"/>
      <c r="P932" s="22"/>
      <c r="Q932" s="22"/>
      <c r="R932" s="22"/>
      <c r="S932" s="22"/>
    </row>
    <row r="933" spans="1:19" x14ac:dyDescent="0.25">
      <c r="A933" s="22"/>
      <c r="B933" s="22"/>
      <c r="C933" s="22"/>
      <c r="D933" s="23"/>
      <c r="H933" s="22"/>
      <c r="L933" s="22"/>
      <c r="P933" s="22"/>
      <c r="Q933" s="22"/>
      <c r="R933" s="22"/>
      <c r="S933" s="22"/>
    </row>
    <row r="934" spans="1:19" x14ac:dyDescent="0.25">
      <c r="A934" s="22"/>
      <c r="B934" s="22"/>
      <c r="C934" s="22"/>
      <c r="D934" s="23"/>
      <c r="H934" s="22"/>
      <c r="L934" s="22"/>
      <c r="P934" s="22"/>
      <c r="Q934" s="22"/>
      <c r="R934" s="22"/>
      <c r="S934" s="22"/>
    </row>
    <row r="935" spans="1:19" x14ac:dyDescent="0.25">
      <c r="A935" s="22"/>
      <c r="B935" s="22"/>
      <c r="C935" s="22"/>
      <c r="D935" s="23"/>
      <c r="H935" s="22"/>
      <c r="L935" s="22"/>
      <c r="P935" s="22"/>
      <c r="Q935" s="22"/>
      <c r="R935" s="22"/>
      <c r="S935" s="22"/>
    </row>
    <row r="936" spans="1:19" x14ac:dyDescent="0.25">
      <c r="A936" s="22"/>
      <c r="B936" s="22"/>
      <c r="C936" s="22"/>
      <c r="D936" s="23"/>
      <c r="H936" s="22"/>
      <c r="L936" s="22"/>
      <c r="P936" s="22"/>
      <c r="Q936" s="22"/>
      <c r="R936" s="22"/>
      <c r="S936" s="22"/>
    </row>
    <row r="937" spans="1:19" x14ac:dyDescent="0.25">
      <c r="A937" s="22"/>
      <c r="B937" s="22"/>
      <c r="C937" s="22"/>
      <c r="D937" s="23"/>
      <c r="H937" s="22"/>
      <c r="L937" s="22"/>
      <c r="P937" s="22"/>
      <c r="Q937" s="22"/>
      <c r="R937" s="22"/>
      <c r="S937" s="22"/>
    </row>
    <row r="938" spans="1:19" x14ac:dyDescent="0.25">
      <c r="A938" s="22"/>
      <c r="B938" s="22"/>
      <c r="C938" s="22"/>
      <c r="D938" s="23"/>
      <c r="H938" s="22"/>
      <c r="L938" s="22"/>
      <c r="P938" s="22"/>
      <c r="Q938" s="22"/>
      <c r="R938" s="22"/>
      <c r="S938" s="22"/>
    </row>
    <row r="939" spans="1:19" x14ac:dyDescent="0.25">
      <c r="A939" s="22"/>
      <c r="B939" s="22"/>
      <c r="C939" s="22"/>
      <c r="D939" s="23"/>
      <c r="H939" s="22"/>
      <c r="L939" s="22"/>
      <c r="P939" s="22"/>
      <c r="Q939" s="22"/>
      <c r="R939" s="22"/>
      <c r="S939" s="22"/>
    </row>
    <row r="940" spans="1:19" x14ac:dyDescent="0.25">
      <c r="A940" s="22"/>
      <c r="B940" s="22"/>
      <c r="C940" s="22"/>
      <c r="D940" s="23"/>
      <c r="H940" s="22"/>
      <c r="L940" s="22"/>
      <c r="P940" s="22"/>
      <c r="Q940" s="22"/>
      <c r="R940" s="22"/>
      <c r="S940" s="22"/>
    </row>
    <row r="941" spans="1:19" x14ac:dyDescent="0.25">
      <c r="A941" s="22"/>
      <c r="B941" s="22"/>
      <c r="C941" s="22"/>
      <c r="D941" s="23"/>
      <c r="H941" s="22"/>
      <c r="L941" s="22"/>
      <c r="P941" s="22"/>
      <c r="Q941" s="22"/>
      <c r="R941" s="22"/>
      <c r="S941" s="22"/>
    </row>
    <row r="942" spans="1:19" x14ac:dyDescent="0.25">
      <c r="A942" s="22"/>
      <c r="B942" s="22"/>
      <c r="C942" s="22"/>
      <c r="D942" s="23"/>
      <c r="H942" s="22"/>
      <c r="L942" s="22"/>
      <c r="P942" s="22"/>
      <c r="Q942" s="22"/>
      <c r="R942" s="22"/>
      <c r="S942" s="22"/>
    </row>
    <row r="943" spans="1:19" x14ac:dyDescent="0.25">
      <c r="A943" s="22"/>
      <c r="B943" s="22"/>
      <c r="C943" s="22"/>
      <c r="D943" s="23"/>
      <c r="H943" s="22"/>
      <c r="L943" s="22"/>
      <c r="P943" s="22"/>
      <c r="Q943" s="22"/>
      <c r="R943" s="22"/>
      <c r="S943" s="22"/>
    </row>
    <row r="944" spans="1:19" x14ac:dyDescent="0.25">
      <c r="A944" s="22"/>
      <c r="B944" s="22"/>
      <c r="C944" s="22"/>
      <c r="D944" s="23"/>
      <c r="H944" s="22"/>
      <c r="L944" s="22"/>
      <c r="P944" s="22"/>
      <c r="Q944" s="22"/>
      <c r="R944" s="22"/>
      <c r="S944" s="22"/>
    </row>
    <row r="945" spans="1:19" x14ac:dyDescent="0.25">
      <c r="A945" s="22"/>
      <c r="B945" s="22"/>
      <c r="C945" s="22"/>
      <c r="D945" s="23"/>
      <c r="H945" s="22"/>
      <c r="L945" s="22"/>
      <c r="P945" s="22"/>
      <c r="Q945" s="22"/>
      <c r="R945" s="22"/>
      <c r="S945" s="22"/>
    </row>
    <row r="946" spans="1:19" x14ac:dyDescent="0.25">
      <c r="A946" s="22"/>
      <c r="B946" s="22"/>
      <c r="C946" s="22"/>
      <c r="D946" s="23"/>
      <c r="H946" s="22"/>
      <c r="L946" s="22"/>
      <c r="P946" s="22"/>
      <c r="Q946" s="22"/>
      <c r="R946" s="22"/>
      <c r="S946" s="22"/>
    </row>
    <row r="947" spans="1:19" x14ac:dyDescent="0.25">
      <c r="A947" s="22"/>
      <c r="B947" s="22"/>
      <c r="C947" s="22"/>
      <c r="D947" s="23"/>
      <c r="H947" s="22"/>
      <c r="L947" s="22"/>
      <c r="P947" s="22"/>
      <c r="Q947" s="22"/>
      <c r="R947" s="22"/>
      <c r="S947" s="22"/>
    </row>
    <row r="948" spans="1:19" x14ac:dyDescent="0.25">
      <c r="A948" s="22"/>
      <c r="B948" s="22"/>
      <c r="C948" s="22"/>
      <c r="D948" s="23"/>
      <c r="H948" s="22"/>
      <c r="L948" s="22"/>
      <c r="P948" s="22"/>
      <c r="Q948" s="22"/>
      <c r="R948" s="22"/>
      <c r="S948" s="22"/>
    </row>
    <row r="949" spans="1:19" x14ac:dyDescent="0.25">
      <c r="A949" s="22"/>
      <c r="B949" s="22"/>
      <c r="C949" s="22"/>
      <c r="D949" s="23"/>
      <c r="H949" s="22"/>
      <c r="L949" s="22"/>
      <c r="P949" s="22"/>
      <c r="Q949" s="22"/>
      <c r="R949" s="22"/>
      <c r="S949" s="22"/>
    </row>
    <row r="950" spans="1:19" x14ac:dyDescent="0.25">
      <c r="A950" s="22"/>
      <c r="B950" s="22"/>
      <c r="C950" s="22"/>
      <c r="D950" s="23"/>
      <c r="H950" s="22"/>
      <c r="L950" s="22"/>
      <c r="P950" s="22"/>
      <c r="Q950" s="22"/>
      <c r="R950" s="22"/>
      <c r="S950" s="22"/>
    </row>
    <row r="951" spans="1:19" x14ac:dyDescent="0.25">
      <c r="A951" s="22"/>
      <c r="B951" s="22"/>
      <c r="C951" s="22"/>
      <c r="D951" s="23"/>
      <c r="H951" s="22"/>
      <c r="L951" s="22"/>
      <c r="P951" s="22"/>
      <c r="Q951" s="22"/>
      <c r="R951" s="22"/>
      <c r="S951" s="22"/>
    </row>
    <row r="952" spans="1:19" x14ac:dyDescent="0.25">
      <c r="A952" s="22"/>
      <c r="B952" s="22"/>
      <c r="C952" s="22"/>
      <c r="D952" s="23"/>
      <c r="H952" s="22"/>
      <c r="L952" s="22"/>
      <c r="P952" s="22"/>
      <c r="Q952" s="22"/>
      <c r="R952" s="22"/>
      <c r="S952" s="22"/>
    </row>
    <row r="953" spans="1:19" x14ac:dyDescent="0.25">
      <c r="A953" s="22"/>
      <c r="B953" s="22"/>
      <c r="C953" s="22"/>
      <c r="D953" s="23"/>
      <c r="H953" s="22"/>
      <c r="L953" s="22"/>
      <c r="P953" s="22"/>
      <c r="Q953" s="22"/>
      <c r="R953" s="22"/>
      <c r="S953" s="22"/>
    </row>
    <row r="954" spans="1:19" x14ac:dyDescent="0.25">
      <c r="A954" s="22"/>
      <c r="B954" s="22"/>
      <c r="C954" s="22"/>
      <c r="D954" s="23"/>
      <c r="H954" s="22"/>
      <c r="L954" s="22"/>
      <c r="P954" s="22"/>
      <c r="Q954" s="22"/>
      <c r="R954" s="22"/>
      <c r="S954" s="22"/>
    </row>
    <row r="955" spans="1:19" x14ac:dyDescent="0.25">
      <c r="A955" s="22"/>
      <c r="B955" s="22"/>
      <c r="C955" s="22"/>
      <c r="D955" s="23"/>
      <c r="H955" s="22"/>
      <c r="L955" s="22"/>
      <c r="P955" s="22"/>
      <c r="Q955" s="22"/>
      <c r="R955" s="22"/>
      <c r="S955" s="22"/>
    </row>
    <row r="956" spans="1:19" x14ac:dyDescent="0.25">
      <c r="A956" s="22"/>
      <c r="B956" s="22"/>
      <c r="C956" s="22"/>
      <c r="D956" s="23"/>
      <c r="H956" s="22"/>
      <c r="L956" s="22"/>
      <c r="P956" s="22"/>
      <c r="Q956" s="22"/>
      <c r="R956" s="22"/>
      <c r="S956" s="22"/>
    </row>
    <row r="957" spans="1:19" x14ac:dyDescent="0.25">
      <c r="A957" s="22"/>
      <c r="B957" s="22"/>
      <c r="C957" s="22"/>
      <c r="D957" s="23"/>
      <c r="H957" s="22"/>
      <c r="L957" s="22"/>
      <c r="P957" s="22"/>
      <c r="Q957" s="22"/>
      <c r="R957" s="22"/>
      <c r="S957" s="22"/>
    </row>
    <row r="958" spans="1:19" x14ac:dyDescent="0.25">
      <c r="A958" s="22"/>
      <c r="B958" s="22"/>
      <c r="C958" s="22"/>
      <c r="D958" s="23"/>
      <c r="H958" s="22"/>
      <c r="L958" s="22"/>
      <c r="P958" s="22"/>
      <c r="Q958" s="22"/>
      <c r="R958" s="22"/>
      <c r="S958" s="22"/>
    </row>
    <row r="959" spans="1:19" x14ac:dyDescent="0.25">
      <c r="A959" s="22"/>
      <c r="B959" s="22"/>
      <c r="C959" s="22"/>
      <c r="D959" s="23"/>
      <c r="H959" s="22"/>
      <c r="L959" s="22"/>
      <c r="P959" s="22"/>
      <c r="Q959" s="22"/>
      <c r="R959" s="22"/>
      <c r="S959" s="22"/>
    </row>
    <row r="960" spans="1:19" x14ac:dyDescent="0.25">
      <c r="A960" s="22"/>
      <c r="B960" s="22"/>
      <c r="C960" s="22"/>
      <c r="D960" s="23"/>
      <c r="H960" s="22"/>
      <c r="L960" s="22"/>
      <c r="P960" s="22"/>
      <c r="Q960" s="22"/>
      <c r="R960" s="22"/>
      <c r="S960" s="22"/>
    </row>
    <row r="961" spans="1:19" x14ac:dyDescent="0.25">
      <c r="A961" s="22"/>
      <c r="B961" s="22"/>
      <c r="C961" s="22"/>
      <c r="D961" s="23"/>
      <c r="H961" s="22"/>
      <c r="L961" s="22"/>
      <c r="P961" s="22"/>
      <c r="Q961" s="22"/>
      <c r="R961" s="22"/>
      <c r="S961" s="22"/>
    </row>
    <row r="962" spans="1:19" x14ac:dyDescent="0.25">
      <c r="A962" s="22"/>
      <c r="B962" s="22"/>
      <c r="C962" s="22"/>
      <c r="D962" s="23"/>
      <c r="H962" s="22"/>
      <c r="L962" s="22"/>
      <c r="P962" s="22"/>
      <c r="Q962" s="22"/>
      <c r="R962" s="22"/>
      <c r="S962" s="22"/>
    </row>
    <row r="963" spans="1:19" x14ac:dyDescent="0.25">
      <c r="A963" s="22"/>
      <c r="B963" s="22"/>
      <c r="C963" s="22"/>
      <c r="D963" s="23"/>
      <c r="H963" s="22"/>
      <c r="L963" s="22"/>
      <c r="P963" s="22"/>
      <c r="Q963" s="22"/>
      <c r="R963" s="22"/>
      <c r="S963" s="22"/>
    </row>
    <row r="964" spans="1:19" x14ac:dyDescent="0.25">
      <c r="A964" s="22"/>
      <c r="B964" s="22"/>
      <c r="C964" s="22"/>
      <c r="D964" s="23"/>
      <c r="H964" s="22"/>
      <c r="L964" s="22"/>
      <c r="P964" s="22"/>
      <c r="Q964" s="22"/>
      <c r="R964" s="22"/>
      <c r="S964" s="22"/>
    </row>
    <row r="965" spans="1:19" x14ac:dyDescent="0.25">
      <c r="A965" s="22"/>
      <c r="B965" s="22"/>
      <c r="C965" s="22"/>
      <c r="D965" s="23"/>
      <c r="H965" s="22"/>
      <c r="L965" s="22"/>
      <c r="P965" s="22"/>
      <c r="Q965" s="22"/>
      <c r="R965" s="22"/>
      <c r="S965" s="22"/>
    </row>
    <row r="966" spans="1:19" x14ac:dyDescent="0.25">
      <c r="A966" s="22"/>
      <c r="B966" s="22"/>
      <c r="C966" s="22"/>
      <c r="D966" s="23"/>
      <c r="H966" s="22"/>
      <c r="L966" s="22"/>
      <c r="P966" s="22"/>
      <c r="Q966" s="22"/>
      <c r="R966" s="22"/>
      <c r="S966" s="22"/>
    </row>
    <row r="967" spans="1:19" x14ac:dyDescent="0.25">
      <c r="A967" s="22"/>
      <c r="B967" s="22"/>
      <c r="C967" s="22"/>
      <c r="D967" s="23"/>
      <c r="H967" s="22"/>
      <c r="L967" s="22"/>
      <c r="P967" s="22"/>
      <c r="Q967" s="22"/>
      <c r="R967" s="22"/>
      <c r="S967" s="22"/>
    </row>
    <row r="968" spans="1:19" x14ac:dyDescent="0.25">
      <c r="A968" s="22"/>
      <c r="B968" s="22"/>
      <c r="C968" s="22"/>
      <c r="D968" s="23"/>
      <c r="H968" s="22"/>
      <c r="L968" s="22"/>
      <c r="P968" s="22"/>
      <c r="Q968" s="22"/>
      <c r="R968" s="22"/>
      <c r="S968" s="22"/>
    </row>
    <row r="969" spans="1:19" x14ac:dyDescent="0.25">
      <c r="A969" s="22"/>
      <c r="B969" s="22"/>
      <c r="C969" s="22"/>
      <c r="D969" s="23"/>
      <c r="H969" s="22"/>
      <c r="L969" s="22"/>
      <c r="P969" s="22"/>
      <c r="Q969" s="22"/>
      <c r="R969" s="22"/>
      <c r="S969" s="22"/>
    </row>
    <row r="970" spans="1:19" x14ac:dyDescent="0.25">
      <c r="A970" s="22"/>
      <c r="B970" s="22"/>
      <c r="C970" s="22"/>
      <c r="D970" s="23"/>
      <c r="H970" s="22"/>
      <c r="L970" s="22"/>
      <c r="P970" s="22"/>
      <c r="Q970" s="22"/>
      <c r="R970" s="22"/>
      <c r="S970" s="22"/>
    </row>
    <row r="971" spans="1:19" x14ac:dyDescent="0.25">
      <c r="A971" s="22"/>
      <c r="B971" s="22"/>
      <c r="C971" s="22"/>
      <c r="D971" s="23"/>
      <c r="H971" s="22"/>
      <c r="L971" s="22"/>
      <c r="P971" s="22"/>
      <c r="Q971" s="22"/>
      <c r="R971" s="22"/>
      <c r="S971" s="22"/>
    </row>
    <row r="972" spans="1:19" x14ac:dyDescent="0.25">
      <c r="A972" s="22"/>
      <c r="B972" s="22"/>
      <c r="C972" s="22"/>
      <c r="D972" s="23"/>
      <c r="H972" s="22"/>
      <c r="L972" s="22"/>
      <c r="P972" s="22"/>
      <c r="Q972" s="22"/>
      <c r="R972" s="22"/>
      <c r="S972" s="22"/>
    </row>
    <row r="973" spans="1:19" x14ac:dyDescent="0.25">
      <c r="A973" s="22"/>
      <c r="B973" s="22"/>
      <c r="C973" s="22"/>
      <c r="D973" s="23"/>
      <c r="H973" s="22"/>
      <c r="L973" s="22"/>
      <c r="P973" s="22"/>
      <c r="Q973" s="22"/>
      <c r="R973" s="22"/>
      <c r="S973" s="22"/>
    </row>
    <row r="974" spans="1:19" x14ac:dyDescent="0.25">
      <c r="A974" s="22"/>
      <c r="B974" s="22"/>
      <c r="C974" s="22"/>
      <c r="D974" s="23"/>
      <c r="H974" s="22"/>
      <c r="L974" s="22"/>
      <c r="P974" s="22"/>
      <c r="Q974" s="22"/>
      <c r="R974" s="22"/>
      <c r="S974" s="22"/>
    </row>
    <row r="975" spans="1:19" x14ac:dyDescent="0.25">
      <c r="A975" s="22"/>
      <c r="B975" s="22"/>
      <c r="C975" s="22"/>
      <c r="D975" s="23"/>
      <c r="H975" s="22"/>
      <c r="L975" s="22"/>
      <c r="P975" s="22"/>
      <c r="Q975" s="22"/>
      <c r="R975" s="22"/>
      <c r="S975" s="22"/>
    </row>
    <row r="976" spans="1:19" x14ac:dyDescent="0.25">
      <c r="A976" s="22"/>
      <c r="B976" s="22"/>
      <c r="C976" s="22"/>
      <c r="D976" s="23"/>
      <c r="H976" s="22"/>
      <c r="L976" s="22"/>
      <c r="P976" s="22"/>
      <c r="Q976" s="22"/>
      <c r="R976" s="22"/>
      <c r="S976" s="22"/>
    </row>
    <row r="977" spans="1:19" x14ac:dyDescent="0.25">
      <c r="A977" s="22"/>
      <c r="B977" s="22"/>
      <c r="C977" s="22"/>
      <c r="D977" s="23"/>
      <c r="H977" s="22"/>
      <c r="L977" s="22"/>
      <c r="P977" s="22"/>
      <c r="Q977" s="22"/>
      <c r="R977" s="22"/>
      <c r="S977" s="22"/>
    </row>
    <row r="978" spans="1:19" x14ac:dyDescent="0.25">
      <c r="A978" s="22"/>
      <c r="B978" s="22"/>
      <c r="C978" s="22"/>
      <c r="D978" s="23"/>
      <c r="H978" s="22"/>
      <c r="L978" s="22"/>
      <c r="P978" s="22"/>
      <c r="Q978" s="22"/>
      <c r="R978" s="22"/>
      <c r="S978" s="22"/>
    </row>
    <row r="979" spans="1:19" x14ac:dyDescent="0.25">
      <c r="A979" s="22"/>
      <c r="B979" s="22"/>
      <c r="C979" s="22"/>
      <c r="D979" s="23"/>
      <c r="H979" s="22"/>
      <c r="L979" s="22"/>
      <c r="P979" s="22"/>
      <c r="Q979" s="22"/>
      <c r="R979" s="22"/>
      <c r="S979" s="22"/>
    </row>
    <row r="980" spans="1:19" x14ac:dyDescent="0.25">
      <c r="A980" s="22"/>
      <c r="B980" s="22"/>
      <c r="C980" s="22"/>
      <c r="D980" s="23"/>
      <c r="H980" s="22"/>
      <c r="L980" s="22"/>
      <c r="P980" s="22"/>
      <c r="Q980" s="22"/>
      <c r="R980" s="22"/>
      <c r="S980" s="22"/>
    </row>
    <row r="981" spans="1:19" x14ac:dyDescent="0.25">
      <c r="A981" s="22"/>
      <c r="B981" s="22"/>
      <c r="C981" s="22"/>
      <c r="D981" s="23"/>
      <c r="H981" s="22"/>
      <c r="L981" s="22"/>
      <c r="P981" s="22"/>
      <c r="Q981" s="22"/>
      <c r="R981" s="22"/>
      <c r="S981" s="22"/>
    </row>
    <row r="982" spans="1:19" x14ac:dyDescent="0.25">
      <c r="A982" s="22"/>
      <c r="B982" s="22"/>
      <c r="C982" s="22"/>
      <c r="D982" s="23"/>
      <c r="H982" s="22"/>
      <c r="L982" s="22"/>
      <c r="P982" s="22"/>
      <c r="Q982" s="22"/>
      <c r="R982" s="22"/>
      <c r="S982" s="22"/>
    </row>
    <row r="983" spans="1:19" x14ac:dyDescent="0.25">
      <c r="A983" s="22"/>
      <c r="B983" s="22"/>
      <c r="C983" s="22"/>
      <c r="D983" s="23"/>
      <c r="H983" s="22"/>
      <c r="L983" s="22"/>
      <c r="P983" s="22"/>
      <c r="Q983" s="22"/>
      <c r="R983" s="22"/>
      <c r="S983" s="22"/>
    </row>
    <row r="984" spans="1:19" x14ac:dyDescent="0.25">
      <c r="A984" s="22"/>
      <c r="B984" s="22"/>
      <c r="C984" s="22"/>
      <c r="D984" s="23"/>
      <c r="H984" s="22"/>
      <c r="L984" s="22"/>
      <c r="P984" s="22"/>
      <c r="Q984" s="22"/>
      <c r="R984" s="22"/>
      <c r="S984" s="22"/>
    </row>
    <row r="985" spans="1:19" x14ac:dyDescent="0.25">
      <c r="A985" s="22"/>
      <c r="B985" s="22"/>
      <c r="C985" s="22"/>
      <c r="D985" s="23"/>
      <c r="H985" s="22"/>
      <c r="L985" s="22"/>
      <c r="P985" s="22"/>
      <c r="Q985" s="22"/>
      <c r="R985" s="22"/>
      <c r="S985" s="22"/>
    </row>
    <row r="986" spans="1:19" x14ac:dyDescent="0.25">
      <c r="A986" s="22"/>
      <c r="B986" s="22"/>
      <c r="C986" s="22"/>
      <c r="D986" s="23"/>
      <c r="H986" s="22"/>
      <c r="L986" s="22"/>
      <c r="P986" s="22"/>
      <c r="Q986" s="22"/>
      <c r="R986" s="22"/>
      <c r="S986" s="22"/>
    </row>
    <row r="987" spans="1:19" x14ac:dyDescent="0.25">
      <c r="A987" s="22"/>
      <c r="B987" s="22"/>
      <c r="C987" s="22"/>
      <c r="D987" s="23"/>
      <c r="H987" s="22"/>
      <c r="L987" s="22"/>
      <c r="P987" s="22"/>
      <c r="Q987" s="22"/>
      <c r="R987" s="22"/>
      <c r="S987" s="22"/>
    </row>
    <row r="988" spans="1:19" x14ac:dyDescent="0.25">
      <c r="A988" s="22"/>
      <c r="B988" s="22"/>
      <c r="C988" s="22"/>
      <c r="D988" s="23"/>
      <c r="H988" s="22"/>
      <c r="L988" s="22"/>
      <c r="P988" s="22"/>
      <c r="Q988" s="22"/>
      <c r="R988" s="22"/>
      <c r="S988" s="22"/>
    </row>
    <row r="989" spans="1:19" x14ac:dyDescent="0.25">
      <c r="A989" s="22"/>
      <c r="B989" s="22"/>
      <c r="C989" s="22"/>
      <c r="D989" s="23"/>
      <c r="H989" s="22"/>
      <c r="L989" s="22"/>
      <c r="P989" s="22"/>
      <c r="Q989" s="22"/>
      <c r="R989" s="22"/>
      <c r="S989" s="22"/>
    </row>
    <row r="990" spans="1:19" x14ac:dyDescent="0.25">
      <c r="A990" s="22"/>
      <c r="B990" s="22"/>
      <c r="C990" s="22"/>
      <c r="D990" s="23"/>
      <c r="H990" s="22"/>
      <c r="L990" s="22"/>
      <c r="P990" s="22"/>
      <c r="Q990" s="22"/>
      <c r="R990" s="22"/>
      <c r="S990" s="22"/>
    </row>
    <row r="991" spans="1:19" x14ac:dyDescent="0.25">
      <c r="A991" s="22"/>
      <c r="B991" s="22"/>
      <c r="C991" s="22"/>
      <c r="D991" s="23"/>
      <c r="H991" s="22"/>
      <c r="L991" s="22"/>
      <c r="P991" s="22"/>
      <c r="Q991" s="22"/>
      <c r="R991" s="22"/>
      <c r="S991" s="22"/>
    </row>
    <row r="992" spans="1:19" x14ac:dyDescent="0.25">
      <c r="A992" s="22"/>
      <c r="B992" s="22"/>
      <c r="C992" s="22"/>
      <c r="D992" s="23"/>
      <c r="H992" s="22"/>
      <c r="L992" s="22"/>
      <c r="P992" s="22"/>
      <c r="Q992" s="22"/>
      <c r="R992" s="22"/>
      <c r="S992" s="22"/>
    </row>
    <row r="993" spans="1:19" x14ac:dyDescent="0.25">
      <c r="A993" s="22"/>
      <c r="B993" s="22"/>
      <c r="C993" s="22"/>
      <c r="D993" s="23"/>
      <c r="H993" s="22"/>
      <c r="L993" s="22"/>
      <c r="P993" s="22"/>
      <c r="Q993" s="22"/>
      <c r="R993" s="22"/>
      <c r="S993" s="22"/>
    </row>
    <row r="994" spans="1:19" x14ac:dyDescent="0.25">
      <c r="A994" s="22"/>
      <c r="B994" s="22"/>
      <c r="C994" s="22"/>
      <c r="D994" s="23"/>
      <c r="H994" s="22"/>
      <c r="L994" s="22"/>
      <c r="P994" s="22"/>
      <c r="Q994" s="22"/>
      <c r="R994" s="22"/>
      <c r="S994" s="22"/>
    </row>
    <row r="995" spans="1:19" x14ac:dyDescent="0.25">
      <c r="A995" s="22"/>
      <c r="B995" s="22"/>
      <c r="C995" s="22"/>
      <c r="D995" s="23"/>
      <c r="H995" s="22"/>
      <c r="L995" s="22"/>
      <c r="P995" s="22"/>
      <c r="Q995" s="22"/>
      <c r="R995" s="22"/>
      <c r="S995" s="22"/>
    </row>
    <row r="996" spans="1:19" x14ac:dyDescent="0.25">
      <c r="A996" s="22"/>
      <c r="B996" s="22"/>
      <c r="C996" s="22"/>
      <c r="D996" s="23"/>
      <c r="H996" s="22"/>
      <c r="L996" s="22"/>
      <c r="P996" s="22"/>
      <c r="Q996" s="22"/>
      <c r="R996" s="22"/>
      <c r="S996" s="22"/>
    </row>
    <row r="997" spans="1:19" x14ac:dyDescent="0.25">
      <c r="A997" s="22"/>
      <c r="B997" s="22"/>
      <c r="C997" s="22"/>
      <c r="D997" s="23"/>
      <c r="H997" s="22"/>
      <c r="L997" s="22"/>
      <c r="P997" s="22"/>
      <c r="Q997" s="22"/>
      <c r="R997" s="22"/>
      <c r="S997" s="22"/>
    </row>
    <row r="998" spans="1:19" x14ac:dyDescent="0.25">
      <c r="A998" s="22"/>
      <c r="B998" s="22"/>
      <c r="C998" s="22"/>
      <c r="D998" s="23"/>
      <c r="H998" s="22"/>
      <c r="L998" s="22"/>
      <c r="P998" s="22"/>
      <c r="Q998" s="22"/>
      <c r="R998" s="22"/>
      <c r="S998" s="22"/>
    </row>
    <row r="999" spans="1:19" x14ac:dyDescent="0.25">
      <c r="A999" s="22"/>
      <c r="B999" s="22"/>
      <c r="C999" s="22"/>
      <c r="D999" s="23"/>
      <c r="H999" s="22"/>
      <c r="L999" s="22"/>
      <c r="P999" s="22"/>
      <c r="Q999" s="22"/>
      <c r="R999" s="22"/>
      <c r="S999" s="22"/>
    </row>
    <row r="1000" spans="1:19" x14ac:dyDescent="0.25">
      <c r="A1000" s="22"/>
      <c r="B1000" s="22"/>
      <c r="C1000" s="22"/>
      <c r="D1000" s="23"/>
      <c r="H1000" s="22"/>
      <c r="L1000" s="22"/>
      <c r="P1000" s="22"/>
      <c r="Q1000" s="22"/>
      <c r="R1000" s="22"/>
      <c r="S1000" s="22"/>
    </row>
    <row r="1001" spans="1:19" x14ac:dyDescent="0.25">
      <c r="A1001" s="22"/>
      <c r="B1001" s="22"/>
      <c r="C1001" s="22"/>
      <c r="D1001" s="23"/>
      <c r="H1001" s="22"/>
      <c r="L1001" s="22"/>
      <c r="P1001" s="22"/>
      <c r="Q1001" s="22"/>
      <c r="R1001" s="22"/>
      <c r="S1001" s="22"/>
    </row>
    <row r="1002" spans="1:19" x14ac:dyDescent="0.25">
      <c r="A1002" s="22"/>
      <c r="B1002" s="22"/>
      <c r="C1002" s="22"/>
      <c r="D1002" s="23"/>
      <c r="H1002" s="22"/>
      <c r="L1002" s="22"/>
      <c r="P1002" s="22"/>
      <c r="Q1002" s="22"/>
      <c r="R1002" s="22"/>
      <c r="S1002" s="22"/>
    </row>
    <row r="1003" spans="1:19" x14ac:dyDescent="0.25">
      <c r="A1003" s="22"/>
      <c r="B1003" s="22"/>
      <c r="C1003" s="22"/>
      <c r="D1003" s="23"/>
      <c r="H1003" s="22"/>
      <c r="L1003" s="22"/>
      <c r="P1003" s="22"/>
      <c r="Q1003" s="22"/>
      <c r="R1003" s="22"/>
      <c r="S1003" s="22"/>
    </row>
    <row r="1004" spans="1:19" x14ac:dyDescent="0.25">
      <c r="A1004" s="22"/>
      <c r="B1004" s="22"/>
      <c r="C1004" s="22"/>
      <c r="D1004" s="23"/>
      <c r="H1004" s="22"/>
      <c r="L1004" s="22"/>
      <c r="P1004" s="22"/>
      <c r="Q1004" s="22"/>
      <c r="R1004" s="22"/>
      <c r="S1004" s="22"/>
    </row>
    <row r="1005" spans="1:19" x14ac:dyDescent="0.25">
      <c r="A1005" s="22"/>
      <c r="B1005" s="22"/>
      <c r="C1005" s="22"/>
      <c r="D1005" s="23"/>
      <c r="H1005" s="22"/>
      <c r="L1005" s="22"/>
      <c r="P1005" s="22"/>
      <c r="Q1005" s="22"/>
      <c r="R1005" s="22"/>
      <c r="S1005" s="22"/>
    </row>
    <row r="1006" spans="1:19" x14ac:dyDescent="0.25">
      <c r="A1006" s="22"/>
      <c r="B1006" s="22"/>
      <c r="C1006" s="22"/>
      <c r="D1006" s="23"/>
      <c r="H1006" s="22"/>
      <c r="L1006" s="22"/>
      <c r="P1006" s="22"/>
      <c r="Q1006" s="22"/>
      <c r="R1006" s="22"/>
      <c r="S1006" s="22"/>
    </row>
    <row r="1007" spans="1:19" x14ac:dyDescent="0.25">
      <c r="A1007" s="22"/>
      <c r="B1007" s="22"/>
      <c r="C1007" s="22"/>
      <c r="D1007" s="23"/>
      <c r="H1007" s="22"/>
      <c r="L1007" s="22"/>
      <c r="P1007" s="22"/>
      <c r="Q1007" s="22"/>
      <c r="R1007" s="22"/>
      <c r="S1007" s="22"/>
    </row>
    <row r="1008" spans="1:19" x14ac:dyDescent="0.25">
      <c r="A1008" s="22"/>
      <c r="B1008" s="22"/>
      <c r="C1008" s="22"/>
      <c r="D1008" s="23"/>
      <c r="H1008" s="22"/>
      <c r="L1008" s="22"/>
      <c r="P1008" s="22"/>
      <c r="Q1008" s="22"/>
      <c r="R1008" s="22"/>
      <c r="S1008" s="22"/>
    </row>
    <row r="1009" spans="1:19" x14ac:dyDescent="0.25">
      <c r="A1009" s="22"/>
      <c r="B1009" s="22"/>
      <c r="C1009" s="22"/>
      <c r="D1009" s="23"/>
      <c r="H1009" s="22"/>
      <c r="L1009" s="22"/>
      <c r="P1009" s="22"/>
      <c r="Q1009" s="22"/>
      <c r="R1009" s="22"/>
      <c r="S1009" s="22"/>
    </row>
    <row r="1010" spans="1:19" x14ac:dyDescent="0.25">
      <c r="A1010" s="22"/>
      <c r="B1010" s="22"/>
      <c r="C1010" s="22"/>
      <c r="D1010" s="23"/>
      <c r="H1010" s="22"/>
      <c r="L1010" s="22"/>
      <c r="P1010" s="22"/>
      <c r="Q1010" s="22"/>
      <c r="R1010" s="22"/>
      <c r="S1010" s="22"/>
    </row>
    <row r="1011" spans="1:19" x14ac:dyDescent="0.25">
      <c r="A1011" s="22"/>
      <c r="B1011" s="22"/>
      <c r="C1011" s="22"/>
      <c r="D1011" s="23"/>
      <c r="H1011" s="22"/>
      <c r="L1011" s="22"/>
      <c r="P1011" s="22"/>
      <c r="Q1011" s="22"/>
      <c r="R1011" s="22"/>
      <c r="S1011" s="22"/>
    </row>
    <row r="1012" spans="1:19" x14ac:dyDescent="0.25">
      <c r="A1012" s="22"/>
      <c r="B1012" s="22"/>
      <c r="C1012" s="22"/>
      <c r="D1012" s="23"/>
      <c r="H1012" s="22"/>
      <c r="L1012" s="22"/>
      <c r="P1012" s="22"/>
      <c r="Q1012" s="22"/>
      <c r="R1012" s="22"/>
      <c r="S1012" s="22"/>
    </row>
    <row r="1013" spans="1:19" x14ac:dyDescent="0.25">
      <c r="A1013" s="22"/>
      <c r="B1013" s="22"/>
      <c r="C1013" s="22"/>
      <c r="D1013" s="23"/>
      <c r="H1013" s="22"/>
      <c r="L1013" s="22"/>
      <c r="P1013" s="22"/>
      <c r="Q1013" s="22"/>
      <c r="R1013" s="22"/>
      <c r="S1013" s="22"/>
    </row>
    <row r="1014" spans="1:19" x14ac:dyDescent="0.25">
      <c r="A1014" s="22"/>
      <c r="B1014" s="22"/>
      <c r="C1014" s="22"/>
      <c r="D1014" s="23"/>
      <c r="H1014" s="22"/>
      <c r="L1014" s="22"/>
      <c r="P1014" s="22"/>
      <c r="Q1014" s="22"/>
      <c r="R1014" s="22"/>
      <c r="S1014" s="22"/>
    </row>
    <row r="1015" spans="1:19" x14ac:dyDescent="0.25">
      <c r="A1015" s="22"/>
      <c r="B1015" s="22"/>
      <c r="C1015" s="22"/>
      <c r="D1015" s="23"/>
      <c r="H1015" s="22"/>
      <c r="L1015" s="22"/>
      <c r="P1015" s="22"/>
      <c r="Q1015" s="22"/>
      <c r="R1015" s="22"/>
      <c r="S1015" s="22"/>
    </row>
    <row r="1016" spans="1:19" x14ac:dyDescent="0.25">
      <c r="A1016" s="22"/>
      <c r="B1016" s="22"/>
      <c r="C1016" s="22"/>
      <c r="D1016" s="23"/>
      <c r="H1016" s="22"/>
      <c r="L1016" s="22"/>
      <c r="P1016" s="22"/>
      <c r="Q1016" s="22"/>
      <c r="R1016" s="22"/>
      <c r="S1016" s="22"/>
    </row>
    <row r="1017" spans="1:19" x14ac:dyDescent="0.25">
      <c r="A1017" s="22"/>
      <c r="B1017" s="22"/>
      <c r="C1017" s="22"/>
      <c r="D1017" s="23"/>
      <c r="H1017" s="22"/>
      <c r="L1017" s="22"/>
      <c r="P1017" s="22"/>
      <c r="Q1017" s="22"/>
      <c r="R1017" s="22"/>
      <c r="S1017" s="22"/>
    </row>
    <row r="1018" spans="1:19" x14ac:dyDescent="0.25">
      <c r="A1018" s="22"/>
      <c r="B1018" s="22"/>
      <c r="C1018" s="22"/>
      <c r="D1018" s="23"/>
      <c r="H1018" s="22"/>
      <c r="L1018" s="22"/>
      <c r="P1018" s="22"/>
      <c r="Q1018" s="22"/>
      <c r="R1018" s="22"/>
      <c r="S1018" s="22"/>
    </row>
    <row r="1019" spans="1:19" x14ac:dyDescent="0.25">
      <c r="A1019" s="22"/>
      <c r="B1019" s="22"/>
      <c r="C1019" s="22"/>
      <c r="D1019" s="23"/>
      <c r="H1019" s="22"/>
      <c r="L1019" s="22"/>
      <c r="P1019" s="22"/>
      <c r="Q1019" s="22"/>
      <c r="R1019" s="22"/>
      <c r="S1019" s="22"/>
    </row>
    <row r="1020" spans="1:19" x14ac:dyDescent="0.25">
      <c r="A1020" s="22"/>
      <c r="B1020" s="22"/>
      <c r="C1020" s="22"/>
      <c r="D1020" s="23"/>
      <c r="H1020" s="22"/>
      <c r="L1020" s="22"/>
      <c r="P1020" s="22"/>
      <c r="Q1020" s="22"/>
      <c r="R1020" s="22"/>
      <c r="S1020" s="22"/>
    </row>
    <row r="1021" spans="1:19" x14ac:dyDescent="0.25">
      <c r="A1021" s="22"/>
      <c r="B1021" s="22"/>
      <c r="C1021" s="22"/>
      <c r="D1021" s="23"/>
      <c r="H1021" s="22"/>
      <c r="L1021" s="22"/>
      <c r="P1021" s="22"/>
      <c r="Q1021" s="22"/>
      <c r="R1021" s="22"/>
      <c r="S1021" s="22"/>
    </row>
    <row r="1022" spans="1:19" x14ac:dyDescent="0.25">
      <c r="A1022" s="22"/>
      <c r="B1022" s="22"/>
      <c r="C1022" s="22"/>
      <c r="D1022" s="23"/>
      <c r="H1022" s="22"/>
      <c r="L1022" s="22"/>
      <c r="P1022" s="22"/>
      <c r="Q1022" s="22"/>
      <c r="R1022" s="22"/>
      <c r="S1022" s="22"/>
    </row>
    <row r="1023" spans="1:19" x14ac:dyDescent="0.25">
      <c r="A1023" s="22"/>
      <c r="B1023" s="22"/>
      <c r="C1023" s="22"/>
      <c r="D1023" s="23"/>
      <c r="H1023" s="22"/>
      <c r="L1023" s="22"/>
      <c r="P1023" s="22"/>
      <c r="Q1023" s="22"/>
      <c r="R1023" s="22"/>
      <c r="S1023" s="22"/>
    </row>
    <row r="1024" spans="1:19" x14ac:dyDescent="0.25">
      <c r="A1024" s="22"/>
      <c r="B1024" s="22"/>
      <c r="C1024" s="22"/>
      <c r="D1024" s="23"/>
      <c r="H1024" s="22"/>
      <c r="L1024" s="22"/>
      <c r="P1024" s="22"/>
      <c r="Q1024" s="22"/>
      <c r="R1024" s="22"/>
      <c r="S1024" s="22"/>
    </row>
    <row r="1025" spans="1:19" x14ac:dyDescent="0.25">
      <c r="A1025" s="22"/>
      <c r="B1025" s="22"/>
      <c r="C1025" s="22"/>
      <c r="D1025" s="23"/>
      <c r="H1025" s="22"/>
      <c r="L1025" s="22"/>
      <c r="P1025" s="22"/>
      <c r="Q1025" s="22"/>
      <c r="R1025" s="22"/>
      <c r="S1025" s="22"/>
    </row>
    <row r="1026" spans="1:19" x14ac:dyDescent="0.25">
      <c r="A1026" s="22"/>
      <c r="B1026" s="22"/>
      <c r="C1026" s="22"/>
      <c r="D1026" s="23"/>
      <c r="H1026" s="22"/>
      <c r="L1026" s="22"/>
      <c r="P1026" s="22"/>
      <c r="Q1026" s="22"/>
      <c r="R1026" s="22"/>
      <c r="S1026" s="22"/>
    </row>
    <row r="1027" spans="1:19" x14ac:dyDescent="0.25">
      <c r="A1027" s="22"/>
      <c r="B1027" s="22"/>
      <c r="C1027" s="22"/>
      <c r="D1027" s="23"/>
      <c r="H1027" s="22"/>
      <c r="L1027" s="22"/>
      <c r="P1027" s="22"/>
      <c r="Q1027" s="22"/>
      <c r="R1027" s="22"/>
      <c r="S1027" s="22"/>
    </row>
    <row r="1028" spans="1:19" x14ac:dyDescent="0.25">
      <c r="A1028" s="22"/>
      <c r="B1028" s="22"/>
      <c r="C1028" s="22"/>
      <c r="D1028" s="23"/>
      <c r="H1028" s="22"/>
      <c r="L1028" s="22"/>
      <c r="P1028" s="22"/>
      <c r="Q1028" s="22"/>
      <c r="R1028" s="22"/>
      <c r="S1028" s="22"/>
    </row>
    <row r="1029" spans="1:19" x14ac:dyDescent="0.25">
      <c r="A1029" s="22"/>
      <c r="B1029" s="22"/>
      <c r="C1029" s="22"/>
      <c r="D1029" s="23"/>
      <c r="H1029" s="22"/>
      <c r="L1029" s="22"/>
      <c r="P1029" s="22"/>
      <c r="Q1029" s="22"/>
      <c r="R1029" s="22"/>
      <c r="S1029" s="22"/>
    </row>
    <row r="1030" spans="1:19" x14ac:dyDescent="0.25">
      <c r="A1030" s="22"/>
      <c r="B1030" s="22"/>
      <c r="C1030" s="22"/>
      <c r="D1030" s="23"/>
      <c r="H1030" s="22"/>
      <c r="L1030" s="22"/>
      <c r="P1030" s="22"/>
      <c r="Q1030" s="22"/>
      <c r="R1030" s="22"/>
      <c r="S1030" s="22"/>
    </row>
    <row r="1031" spans="1:19" x14ac:dyDescent="0.25">
      <c r="A1031" s="22"/>
      <c r="B1031" s="22"/>
      <c r="C1031" s="22"/>
      <c r="D1031" s="23"/>
      <c r="H1031" s="22"/>
      <c r="L1031" s="22"/>
      <c r="P1031" s="22"/>
      <c r="Q1031" s="22"/>
      <c r="R1031" s="22"/>
      <c r="S1031" s="22"/>
    </row>
  </sheetData>
  <mergeCells count="5">
    <mergeCell ref="H8:J8"/>
    <mergeCell ref="L8:N8"/>
    <mergeCell ref="C7:F7"/>
    <mergeCell ref="P7:T7"/>
    <mergeCell ref="H7:N7"/>
  </mergeCells>
  <phoneticPr fontId="3" type="noConversion"/>
  <printOptions horizontalCentered="1"/>
  <pageMargins left="0" right="0" top="0.59055118110236227" bottom="0" header="0.51181102362204722" footer="0.51181102362204722"/>
  <pageSetup paperSize="9" scale="37" fitToHeight="0" orientation="portrait" r:id="rId1"/>
  <headerFooter alignWithMargins="0">
    <oddHeader>&amp;R&amp;"Arial,Félkövér dőlt"&amp;12&amp;A  /&amp;8
&amp;"Arial,Dőlt"&amp;10&amp;F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view="pageBreakPreview" zoomScaleNormal="75" zoomScaleSheetLayoutView="100" workbookViewId="0">
      <selection activeCell="E11" sqref="E11:F11"/>
    </sheetView>
  </sheetViews>
  <sheetFormatPr defaultRowHeight="13.2" x14ac:dyDescent="0.25"/>
  <cols>
    <col min="1" max="1" width="8.5546875" style="25" customWidth="1"/>
    <col min="2" max="2" width="56.44140625" style="13" customWidth="1"/>
    <col min="3" max="3" width="15.5546875" style="17" customWidth="1"/>
    <col min="4" max="4" width="15.5546875" style="13" customWidth="1"/>
    <col min="5" max="5" width="15.109375" style="13" customWidth="1"/>
    <col min="6" max="6" width="13.21875" style="13" customWidth="1"/>
    <col min="7" max="7" width="0.6640625" style="13" customWidth="1"/>
    <col min="8" max="9" width="15.5546875" style="13" customWidth="1"/>
    <col min="10" max="10" width="15.21875" style="13" customWidth="1"/>
    <col min="11" max="11" width="0.6640625" style="13" customWidth="1"/>
    <col min="12" max="12" width="13.5546875" style="13" bestFit="1" customWidth="1"/>
    <col min="13" max="13" width="11.33203125" style="13" bestFit="1" customWidth="1"/>
    <col min="14" max="14" width="10.88671875" style="13" customWidth="1"/>
    <col min="15" max="15" width="0.77734375" style="13" customWidth="1"/>
    <col min="16" max="17" width="14.5546875" style="13" customWidth="1"/>
    <col min="18" max="19" width="15.5546875" style="13" customWidth="1"/>
    <col min="20" max="20" width="10.5546875" style="13" customWidth="1"/>
    <col min="21" max="21" width="0.6640625" style="13" customWidth="1"/>
    <col min="22" max="22" width="6.77734375" style="13" bestFit="1" customWidth="1"/>
    <col min="25" max="26" width="12.5546875" bestFit="1" customWidth="1"/>
  </cols>
  <sheetData>
    <row r="1" spans="1:26" ht="24.6" x14ac:dyDescent="0.4">
      <c r="A1" s="569" t="s">
        <v>452</v>
      </c>
      <c r="B1" s="227"/>
      <c r="C1" s="227"/>
      <c r="D1" s="227"/>
      <c r="E1" s="718"/>
      <c r="F1" s="227"/>
      <c r="G1" s="226"/>
      <c r="H1" s="225"/>
      <c r="I1" s="225"/>
      <c r="J1" s="224" t="str">
        <f>+'1. Sülysáp összesen'!J1</f>
        <v>2021. ÉVI KÖLTSÉGVETÉS MÓDOSÍTÁSA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6" x14ac:dyDescent="0.25">
      <c r="A4" s="64"/>
      <c r="B4" s="65"/>
      <c r="C4" s="88"/>
      <c r="D4" s="88"/>
      <c r="E4" s="88"/>
      <c r="F4" s="88"/>
      <c r="G4" s="88"/>
      <c r="H4" s="88"/>
      <c r="I4" s="88"/>
      <c r="J4" s="88"/>
      <c r="K4" s="88"/>
      <c r="L4" s="65"/>
      <c r="M4" s="65"/>
      <c r="N4" s="65"/>
      <c r="O4" s="65"/>
      <c r="P4" s="88"/>
      <c r="Q4" s="88"/>
      <c r="R4" s="88"/>
      <c r="S4" s="88"/>
      <c r="T4" s="88"/>
      <c r="U4" s="65"/>
      <c r="V4" s="65"/>
      <c r="W4" s="122"/>
      <c r="X4" s="122"/>
    </row>
    <row r="5" spans="1:26" ht="20.100000000000001" customHeight="1" x14ac:dyDescent="0.3">
      <c r="A5" s="249"/>
      <c r="B5" s="249" t="s">
        <v>371</v>
      </c>
      <c r="C5" s="250">
        <f>+C89</f>
        <v>44846000</v>
      </c>
      <c r="D5" s="250">
        <f t="shared" ref="D5:H5" si="0">+D89</f>
        <v>44846000</v>
      </c>
      <c r="E5" s="250">
        <f t="shared" si="0"/>
        <v>44846000</v>
      </c>
      <c r="F5" s="250">
        <f t="shared" ref="F5" si="1">+F89</f>
        <v>44846000</v>
      </c>
      <c r="G5" s="250"/>
      <c r="H5" s="250">
        <f t="shared" si="0"/>
        <v>21165820</v>
      </c>
      <c r="I5" s="250">
        <f>+I89</f>
        <v>31511847</v>
      </c>
      <c r="J5" s="250">
        <f t="shared" ref="J5" si="2">+J89</f>
        <v>42192661</v>
      </c>
      <c r="K5" s="89"/>
      <c r="L5" s="641">
        <f t="shared" ref="L5:N6" si="3">IF(H5&gt;0,H5/C5,0)</f>
        <v>0.47196673058912725</v>
      </c>
      <c r="M5" s="641">
        <f t="shared" si="3"/>
        <v>0.70266795254872227</v>
      </c>
      <c r="N5" s="641">
        <f t="shared" si="3"/>
        <v>0.94083443339428263</v>
      </c>
      <c r="O5" s="641"/>
      <c r="P5" s="250">
        <f t="shared" ref="P5:S5" si="4">+P89</f>
        <v>0</v>
      </c>
      <c r="Q5" s="250">
        <f t="shared" si="4"/>
        <v>0</v>
      </c>
      <c r="R5" s="250">
        <f t="shared" si="4"/>
        <v>0</v>
      </c>
      <c r="S5" s="250">
        <f t="shared" si="4"/>
        <v>0</v>
      </c>
      <c r="T5" s="133">
        <f>IF(C5=0,0,+S5/C5)</f>
        <v>0</v>
      </c>
      <c r="U5" s="118"/>
      <c r="V5" s="198">
        <f t="shared" ref="V5:V7" si="5">+S5-E5+C5</f>
        <v>0</v>
      </c>
      <c r="W5" s="122"/>
      <c r="X5" s="122"/>
    </row>
    <row r="6" spans="1:26" ht="20.100000000000001" customHeight="1" x14ac:dyDescent="0.3">
      <c r="A6" s="251"/>
      <c r="B6" s="251" t="s">
        <v>370</v>
      </c>
      <c r="C6" s="252">
        <f>+C102</f>
        <v>44846000</v>
      </c>
      <c r="D6" s="252">
        <f t="shared" ref="D6:H6" si="6">+D102</f>
        <v>44846000</v>
      </c>
      <c r="E6" s="252">
        <f t="shared" si="6"/>
        <v>44846000</v>
      </c>
      <c r="F6" s="252">
        <f t="shared" ref="F6" si="7">+F102</f>
        <v>44846000</v>
      </c>
      <c r="G6" s="252"/>
      <c r="H6" s="252">
        <f t="shared" si="6"/>
        <v>23797918</v>
      </c>
      <c r="I6" s="252">
        <f>+I102</f>
        <v>32811839</v>
      </c>
      <c r="J6" s="252">
        <f t="shared" ref="J6" si="8">+J102</f>
        <v>44070741</v>
      </c>
      <c r="K6" s="67"/>
      <c r="L6" s="641">
        <f t="shared" si="3"/>
        <v>0.53065865406056278</v>
      </c>
      <c r="M6" s="641">
        <f t="shared" si="3"/>
        <v>0.73165586674396821</v>
      </c>
      <c r="N6" s="641">
        <f t="shared" si="3"/>
        <v>0.98271286179369399</v>
      </c>
      <c r="O6" s="641"/>
      <c r="P6" s="252">
        <f t="shared" ref="P6:S6" si="9">+P102</f>
        <v>0</v>
      </c>
      <c r="Q6" s="252">
        <f t="shared" si="9"/>
        <v>0</v>
      </c>
      <c r="R6" s="252">
        <f t="shared" si="9"/>
        <v>0</v>
      </c>
      <c r="S6" s="252">
        <f t="shared" si="9"/>
        <v>0</v>
      </c>
      <c r="T6" s="31">
        <f>IF(C6=0,0,+S6/C6)</f>
        <v>0</v>
      </c>
      <c r="U6" s="118"/>
      <c r="V6" s="198">
        <f t="shared" si="5"/>
        <v>0</v>
      </c>
      <c r="W6" s="122"/>
      <c r="X6" s="122"/>
    </row>
    <row r="7" spans="1:26" ht="20.100000000000001" customHeight="1" x14ac:dyDescent="0.3">
      <c r="A7" s="251"/>
      <c r="B7" s="251" t="s">
        <v>402</v>
      </c>
      <c r="C7" s="252">
        <f>+C6-C5</f>
        <v>0</v>
      </c>
      <c r="D7" s="252">
        <f t="shared" ref="D7:H7" si="10">+D6-D5</f>
        <v>0</v>
      </c>
      <c r="E7" s="252">
        <f t="shared" si="10"/>
        <v>0</v>
      </c>
      <c r="F7" s="252">
        <f t="shared" si="10"/>
        <v>0</v>
      </c>
      <c r="G7" s="252"/>
      <c r="H7" s="252">
        <f t="shared" si="10"/>
        <v>2632098</v>
      </c>
      <c r="I7" s="252">
        <f>+I6-I5</f>
        <v>1299992</v>
      </c>
      <c r="J7" s="252">
        <f t="shared" ref="J7" si="11">+J6-J5</f>
        <v>1878080</v>
      </c>
      <c r="K7" s="67"/>
      <c r="L7" s="641"/>
      <c r="M7" s="641"/>
      <c r="N7" s="641"/>
      <c r="O7" s="641"/>
      <c r="P7" s="252">
        <f t="shared" ref="P7" si="12">+P6-P5</f>
        <v>0</v>
      </c>
      <c r="Q7" s="252">
        <f t="shared" ref="Q7" si="13">+Q6-Q5</f>
        <v>0</v>
      </c>
      <c r="R7" s="252">
        <f t="shared" ref="R7" si="14">+R6-R5</f>
        <v>0</v>
      </c>
      <c r="S7" s="252">
        <f t="shared" ref="S7" si="15">+S6-S5</f>
        <v>0</v>
      </c>
      <c r="T7" s="31">
        <f>IF(C7=0,0,+S7/C7)</f>
        <v>0</v>
      </c>
      <c r="U7" s="118"/>
      <c r="V7" s="198">
        <f t="shared" si="5"/>
        <v>0</v>
      </c>
      <c r="W7" s="122"/>
      <c r="X7" s="122"/>
    </row>
    <row r="8" spans="1:26" x14ac:dyDescent="0.25">
      <c r="A8" s="235"/>
      <c r="B8" s="236"/>
      <c r="C8" s="611"/>
      <c r="D8" s="612"/>
      <c r="E8" s="612"/>
      <c r="F8" s="612"/>
      <c r="G8" s="613"/>
      <c r="H8" s="613"/>
      <c r="I8" s="613"/>
      <c r="J8" s="613"/>
      <c r="K8" s="613"/>
      <c r="L8" s="593"/>
      <c r="M8" s="593"/>
      <c r="N8" s="137"/>
      <c r="O8" s="120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785" t="s">
        <v>401</v>
      </c>
      <c r="D9" s="793"/>
      <c r="E9" s="793"/>
      <c r="F9" s="794"/>
      <c r="G9" s="154"/>
      <c r="H9" s="785" t="s">
        <v>400</v>
      </c>
      <c r="I9" s="793"/>
      <c r="J9" s="793"/>
      <c r="K9" s="793"/>
      <c r="L9" s="793"/>
      <c r="M9" s="793"/>
      <c r="N9" s="794"/>
      <c r="O9" s="154"/>
      <c r="P9" s="785" t="s">
        <v>397</v>
      </c>
      <c r="Q9" s="793"/>
      <c r="R9" s="793"/>
      <c r="S9" s="793"/>
      <c r="T9" s="794"/>
      <c r="U9" s="199"/>
      <c r="V9" s="195"/>
      <c r="W9" s="122"/>
      <c r="X9" s="122"/>
    </row>
    <row r="10" spans="1:26" x14ac:dyDescent="0.25">
      <c r="A10" s="60"/>
      <c r="B10" s="61"/>
      <c r="C10" s="233"/>
      <c r="D10" s="88"/>
      <c r="E10" s="88"/>
      <c r="F10" s="234"/>
      <c r="G10" s="134"/>
      <c r="H10" s="782" t="s">
        <v>413</v>
      </c>
      <c r="I10" s="783"/>
      <c r="J10" s="784"/>
      <c r="K10" s="134"/>
      <c r="L10" s="782" t="s">
        <v>412</v>
      </c>
      <c r="M10" s="783"/>
      <c r="N10" s="784"/>
      <c r="O10" s="135"/>
      <c r="P10" s="128">
        <f>+'3. Önk. Kiadások'!P8</f>
        <v>1</v>
      </c>
      <c r="Q10" s="128">
        <f>+'3. Önk. Kiadások'!Q8</f>
        <v>1</v>
      </c>
      <c r="R10" s="128">
        <v>0</v>
      </c>
      <c r="S10" s="127"/>
      <c r="T10" s="127"/>
      <c r="U10" s="153"/>
      <c r="V10" s="200"/>
      <c r="W10" s="131"/>
      <c r="X10" s="131"/>
      <c r="Y10" s="131"/>
      <c r="Z10" s="131"/>
    </row>
    <row r="11" spans="1:26" ht="68.7" customHeight="1" x14ac:dyDescent="0.25">
      <c r="A11" s="27" t="s">
        <v>481</v>
      </c>
      <c r="B11" s="27" t="s">
        <v>364</v>
      </c>
      <c r="C11" s="520" t="s">
        <v>485</v>
      </c>
      <c r="D11" s="358" t="s">
        <v>486</v>
      </c>
      <c r="E11" s="358" t="s">
        <v>487</v>
      </c>
      <c r="F11" s="521" t="s">
        <v>488</v>
      </c>
      <c r="G11" s="358"/>
      <c r="H11" s="494" t="s">
        <v>498</v>
      </c>
      <c r="I11" s="359" t="s">
        <v>499</v>
      </c>
      <c r="J11" s="359" t="s">
        <v>500</v>
      </c>
      <c r="K11" s="358"/>
      <c r="L11" s="360" t="s">
        <v>501</v>
      </c>
      <c r="M11" s="360" t="s">
        <v>502</v>
      </c>
      <c r="N11" s="495" t="s">
        <v>503</v>
      </c>
      <c r="O11" s="358"/>
      <c r="P11" s="494" t="s">
        <v>495</v>
      </c>
      <c r="Q11" s="359" t="s">
        <v>496</v>
      </c>
      <c r="R11" s="359" t="s">
        <v>497</v>
      </c>
      <c r="S11" s="359" t="s">
        <v>398</v>
      </c>
      <c r="T11" s="495" t="s">
        <v>399</v>
      </c>
      <c r="U11" s="28"/>
      <c r="V11" s="132" t="s">
        <v>403</v>
      </c>
      <c r="W11" s="122"/>
      <c r="X11" s="122"/>
    </row>
    <row r="12" spans="1:26" x14ac:dyDescent="0.25">
      <c r="A12" s="15"/>
      <c r="B12" s="15"/>
      <c r="C12" s="69"/>
      <c r="D12" s="93"/>
      <c r="E12" s="93"/>
      <c r="F12" s="93"/>
      <c r="G12" s="94"/>
      <c r="H12" s="94"/>
      <c r="I12" s="94"/>
      <c r="J12" s="94"/>
      <c r="K12" s="94"/>
      <c r="L12" s="593"/>
      <c r="M12" s="593"/>
      <c r="N12" s="593"/>
      <c r="O12" s="120"/>
      <c r="P12" s="81"/>
      <c r="Q12" s="81"/>
      <c r="R12" s="81"/>
      <c r="S12" s="81"/>
      <c r="T12" s="152"/>
      <c r="U12" s="120"/>
      <c r="V12" s="195"/>
      <c r="W12" s="122"/>
      <c r="X12" s="122"/>
    </row>
    <row r="13" spans="1:26" x14ac:dyDescent="0.25">
      <c r="A13" s="24" t="s">
        <v>0</v>
      </c>
      <c r="B13" s="24" t="s">
        <v>3</v>
      </c>
      <c r="C13" s="89">
        <f>SUM(C14:C28)</f>
        <v>28556000</v>
      </c>
      <c r="D13" s="89">
        <f t="shared" ref="D13:J13" si="16">SUM(D14:D28)</f>
        <v>28556000</v>
      </c>
      <c r="E13" s="89">
        <f t="shared" si="16"/>
        <v>28556000</v>
      </c>
      <c r="F13" s="89">
        <f t="shared" si="16"/>
        <v>28781178</v>
      </c>
      <c r="G13" s="89"/>
      <c r="H13" s="89">
        <f t="shared" si="16"/>
        <v>13630407</v>
      </c>
      <c r="I13" s="89">
        <f t="shared" si="16"/>
        <v>20450561</v>
      </c>
      <c r="J13" s="89">
        <f t="shared" si="16"/>
        <v>27147663</v>
      </c>
      <c r="K13" s="90"/>
      <c r="L13" s="590">
        <f>IF(H13&gt;0,H13/C13,0)</f>
        <v>0.47732199887939486</v>
      </c>
      <c r="M13" s="590">
        <f>IF(I13&gt;0,I13/D13,0)</f>
        <v>0.71615635943409439</v>
      </c>
      <c r="N13" s="590">
        <f>IF(J13&gt;0,J13/F13,0)</f>
        <v>0.94324363651828291</v>
      </c>
      <c r="O13" s="118"/>
      <c r="P13" s="90">
        <f t="shared" ref="P13" si="17">+(D13-C13)*P$10</f>
        <v>0</v>
      </c>
      <c r="Q13" s="90">
        <f t="shared" ref="Q13" si="18">+(E13-D13)*Q$10</f>
        <v>0</v>
      </c>
      <c r="R13" s="90">
        <f t="shared" ref="R13" si="19">+(F13-E13)*R$10</f>
        <v>0</v>
      </c>
      <c r="S13" s="90">
        <f t="shared" ref="S13:S14" si="20">+P$10*P13+Q$10*Q13+R$10*R13</f>
        <v>0</v>
      </c>
      <c r="T13" s="201">
        <f t="shared" ref="T13" si="21">IF(C13=0,0,+S13/C13)</f>
        <v>0</v>
      </c>
      <c r="U13" s="118"/>
      <c r="V13" s="195">
        <f>+S13-E13+C13</f>
        <v>0</v>
      </c>
      <c r="W13" s="122"/>
      <c r="X13" s="122"/>
    </row>
    <row r="14" spans="1:26" x14ac:dyDescent="0.25">
      <c r="A14" s="15" t="s">
        <v>1</v>
      </c>
      <c r="B14" s="15"/>
      <c r="C14" s="302"/>
      <c r="D14" s="220"/>
      <c r="E14" s="220"/>
      <c r="F14" s="220"/>
      <c r="G14" s="92"/>
      <c r="H14" s="303"/>
      <c r="I14" s="303"/>
      <c r="J14" s="303"/>
      <c r="K14" s="92"/>
      <c r="L14" s="589"/>
      <c r="M14" s="589"/>
      <c r="N14" s="589"/>
      <c r="O14" s="119"/>
      <c r="P14" s="92"/>
      <c r="Q14" s="92"/>
      <c r="R14" s="92"/>
      <c r="S14" s="92">
        <f t="shared" si="20"/>
        <v>0</v>
      </c>
      <c r="T14" s="85"/>
      <c r="U14" s="119"/>
      <c r="V14" s="195">
        <f t="shared" ref="V14:V76" si="22">+S14-E14+C14</f>
        <v>0</v>
      </c>
      <c r="W14" s="122"/>
      <c r="X14" s="122"/>
    </row>
    <row r="15" spans="1:26" x14ac:dyDescent="0.25">
      <c r="A15" s="15" t="s">
        <v>2</v>
      </c>
      <c r="B15" s="15" t="s">
        <v>356</v>
      </c>
      <c r="C15" s="302">
        <v>27731000</v>
      </c>
      <c r="D15" s="221">
        <v>27524025</v>
      </c>
      <c r="E15" s="221">
        <v>27445567</v>
      </c>
      <c r="F15" s="221">
        <v>26745079</v>
      </c>
      <c r="G15" s="94"/>
      <c r="H15" s="304">
        <v>13113352</v>
      </c>
      <c r="I15" s="304">
        <v>19445270</v>
      </c>
      <c r="J15" s="304">
        <v>25143509</v>
      </c>
      <c r="K15" s="94"/>
      <c r="L15" s="593">
        <f t="shared" ref="L15:L23" si="23">IF(H15&gt;0,H15/C15,0)</f>
        <v>0.47287699686271684</v>
      </c>
      <c r="M15" s="593">
        <f t="shared" ref="M15:M23" si="24">IF(I15&gt;0,I15/D15,0)</f>
        <v>0.70648351758145833</v>
      </c>
      <c r="N15" s="593">
        <f t="shared" ref="N15:N23" si="25">IF(J15&gt;0,J15/E15,0)</f>
        <v>0.9161227749457681</v>
      </c>
      <c r="O15" s="120"/>
      <c r="P15" s="81">
        <f t="shared" ref="P15:P23" si="26">+(D15-C15)*P$10</f>
        <v>-206975</v>
      </c>
      <c r="Q15" s="81">
        <f t="shared" ref="Q15:Q23" si="27">+(E15-D15)*Q$10</f>
        <v>-78458</v>
      </c>
      <c r="R15" s="81">
        <f t="shared" ref="R15:R23" si="28">+(F15-E15)*R$10</f>
        <v>0</v>
      </c>
      <c r="S15" s="81">
        <f>+P$10*P15+Q$10*Q15+R$10*R15</f>
        <v>-285433</v>
      </c>
      <c r="T15" s="85">
        <f t="shared" ref="T15:T23" si="29">IF(C15=0,0,+S15/C15)</f>
        <v>-1.0292921279434568E-2</v>
      </c>
      <c r="U15" s="120"/>
      <c r="V15" s="195">
        <f t="shared" si="22"/>
        <v>0</v>
      </c>
      <c r="W15" s="122"/>
      <c r="X15" s="123"/>
      <c r="Y15" s="37"/>
    </row>
    <row r="16" spans="1:26" ht="29.4" customHeight="1" x14ac:dyDescent="0.25">
      <c r="A16" s="482" t="s">
        <v>507</v>
      </c>
      <c r="B16" s="482" t="s">
        <v>508</v>
      </c>
      <c r="C16" s="302">
        <v>0</v>
      </c>
      <c r="D16" s="221">
        <v>206975</v>
      </c>
      <c r="E16" s="221">
        <v>206975</v>
      </c>
      <c r="F16" s="221">
        <v>746425</v>
      </c>
      <c r="G16" s="94"/>
      <c r="H16" s="304">
        <v>206975</v>
      </c>
      <c r="I16" s="304">
        <v>206975</v>
      </c>
      <c r="J16" s="304">
        <v>746425</v>
      </c>
      <c r="K16" s="94"/>
      <c r="L16" s="593" t="e">
        <f t="shared" si="23"/>
        <v>#DIV/0!</v>
      </c>
      <c r="M16" s="593">
        <f t="shared" si="24"/>
        <v>1</v>
      </c>
      <c r="N16" s="593">
        <f t="shared" si="25"/>
        <v>3.6063534243266093</v>
      </c>
      <c r="O16" s="120"/>
      <c r="P16" s="81">
        <f t="shared" si="26"/>
        <v>206975</v>
      </c>
      <c r="Q16" s="81">
        <f t="shared" si="27"/>
        <v>0</v>
      </c>
      <c r="R16" s="81">
        <f t="shared" si="28"/>
        <v>0</v>
      </c>
      <c r="S16" s="81">
        <f t="shared" ref="S16:S27" si="30">+P$10*P16+Q$10*Q16+R$10*R16</f>
        <v>206975</v>
      </c>
      <c r="T16" s="85">
        <f t="shared" si="29"/>
        <v>0</v>
      </c>
      <c r="U16" s="120"/>
      <c r="V16" s="195">
        <f t="shared" si="22"/>
        <v>0</v>
      </c>
      <c r="W16" s="122"/>
      <c r="X16" s="122"/>
    </row>
    <row r="17" spans="1:26" x14ac:dyDescent="0.25">
      <c r="A17" s="15" t="s">
        <v>11</v>
      </c>
      <c r="B17" s="20" t="s">
        <v>4</v>
      </c>
      <c r="C17" s="221"/>
      <c r="D17" s="221"/>
      <c r="E17" s="221"/>
      <c r="F17" s="221"/>
      <c r="G17" s="94"/>
      <c r="H17" s="304"/>
      <c r="I17" s="304"/>
      <c r="J17" s="304"/>
      <c r="K17" s="94"/>
      <c r="L17" s="593">
        <f t="shared" si="23"/>
        <v>0</v>
      </c>
      <c r="M17" s="593">
        <f t="shared" si="24"/>
        <v>0</v>
      </c>
      <c r="N17" s="593">
        <f t="shared" si="25"/>
        <v>0</v>
      </c>
      <c r="O17" s="120"/>
      <c r="P17" s="81">
        <f t="shared" si="26"/>
        <v>0</v>
      </c>
      <c r="Q17" s="81">
        <f t="shared" si="27"/>
        <v>0</v>
      </c>
      <c r="R17" s="81">
        <f t="shared" si="28"/>
        <v>0</v>
      </c>
      <c r="S17" s="81">
        <f t="shared" si="30"/>
        <v>0</v>
      </c>
      <c r="T17" s="85">
        <f t="shared" si="29"/>
        <v>0</v>
      </c>
      <c r="U17" s="120"/>
      <c r="V17" s="195">
        <f t="shared" si="22"/>
        <v>0</v>
      </c>
      <c r="W17" s="122"/>
      <c r="X17" s="122"/>
    </row>
    <row r="18" spans="1:26" x14ac:dyDescent="0.25">
      <c r="A18" s="15" t="s">
        <v>376</v>
      </c>
      <c r="B18" s="15" t="s">
        <v>5</v>
      </c>
      <c r="C18" s="302">
        <v>0</v>
      </c>
      <c r="D18" s="221"/>
      <c r="E18" s="221">
        <v>0</v>
      </c>
      <c r="F18" s="221"/>
      <c r="G18" s="94"/>
      <c r="H18" s="304"/>
      <c r="I18" s="304">
        <v>0</v>
      </c>
      <c r="J18" s="304">
        <v>0</v>
      </c>
      <c r="K18" s="94"/>
      <c r="L18" s="593">
        <f t="shared" si="23"/>
        <v>0</v>
      </c>
      <c r="M18" s="593">
        <f t="shared" si="24"/>
        <v>0</v>
      </c>
      <c r="N18" s="593">
        <f t="shared" si="25"/>
        <v>0</v>
      </c>
      <c r="O18" s="120"/>
      <c r="P18" s="81">
        <f t="shared" si="26"/>
        <v>0</v>
      </c>
      <c r="Q18" s="81">
        <f t="shared" si="27"/>
        <v>0</v>
      </c>
      <c r="R18" s="81">
        <f t="shared" si="28"/>
        <v>0</v>
      </c>
      <c r="S18" s="81">
        <f t="shared" si="30"/>
        <v>0</v>
      </c>
      <c r="T18" s="85">
        <f t="shared" si="29"/>
        <v>0</v>
      </c>
      <c r="U18" s="120"/>
      <c r="V18" s="195">
        <f t="shared" si="22"/>
        <v>0</v>
      </c>
      <c r="W18" s="122"/>
      <c r="X18" s="122"/>
    </row>
    <row r="19" spans="1:26" x14ac:dyDescent="0.25">
      <c r="A19" s="15" t="s">
        <v>12</v>
      </c>
      <c r="B19" s="15" t="s">
        <v>6</v>
      </c>
      <c r="C19" s="530">
        <v>0</v>
      </c>
      <c r="D19" s="530"/>
      <c r="E19" s="530">
        <v>78458</v>
      </c>
      <c r="F19" s="221">
        <v>156916</v>
      </c>
      <c r="G19" s="94"/>
      <c r="H19" s="304"/>
      <c r="I19" s="304">
        <v>78458</v>
      </c>
      <c r="J19" s="304">
        <v>156916</v>
      </c>
      <c r="K19" s="94"/>
      <c r="L19" s="593">
        <f t="shared" si="23"/>
        <v>0</v>
      </c>
      <c r="M19" s="593" t="e">
        <f t="shared" si="24"/>
        <v>#DIV/0!</v>
      </c>
      <c r="N19" s="593">
        <f t="shared" si="25"/>
        <v>2</v>
      </c>
      <c r="O19" s="120"/>
      <c r="P19" s="81">
        <f t="shared" si="26"/>
        <v>0</v>
      </c>
      <c r="Q19" s="81">
        <f t="shared" si="27"/>
        <v>78458</v>
      </c>
      <c r="R19" s="81">
        <f t="shared" si="28"/>
        <v>0</v>
      </c>
      <c r="S19" s="81">
        <f t="shared" si="30"/>
        <v>78458</v>
      </c>
      <c r="T19" s="85">
        <f t="shared" si="29"/>
        <v>0</v>
      </c>
      <c r="U19" s="120"/>
      <c r="V19" s="195">
        <f t="shared" si="22"/>
        <v>0</v>
      </c>
      <c r="W19" s="122"/>
      <c r="X19" s="122"/>
    </row>
    <row r="20" spans="1:26" x14ac:dyDescent="0.25">
      <c r="A20" s="15" t="s">
        <v>13</v>
      </c>
      <c r="B20" s="15" t="s">
        <v>7</v>
      </c>
      <c r="C20" s="530">
        <v>0</v>
      </c>
      <c r="D20" s="530"/>
      <c r="F20" s="221"/>
      <c r="G20" s="94"/>
      <c r="H20" s="304"/>
      <c r="I20" s="304"/>
      <c r="J20" s="304"/>
      <c r="K20" s="94"/>
      <c r="L20" s="593">
        <f t="shared" si="23"/>
        <v>0</v>
      </c>
      <c r="M20" s="593">
        <f t="shared" si="24"/>
        <v>0</v>
      </c>
      <c r="N20" s="593">
        <f>IF(J20&gt;0,J20/E21,0)</f>
        <v>0</v>
      </c>
      <c r="O20" s="120"/>
      <c r="P20" s="81">
        <f t="shared" si="26"/>
        <v>0</v>
      </c>
      <c r="Q20" s="81">
        <f>+(E21-D20)*Q$10</f>
        <v>100000</v>
      </c>
      <c r="R20" s="81">
        <f>+(F20-E21)*R$10</f>
        <v>0</v>
      </c>
      <c r="S20" s="81">
        <f t="shared" si="30"/>
        <v>100000</v>
      </c>
      <c r="T20" s="85">
        <f t="shared" si="29"/>
        <v>0</v>
      </c>
      <c r="U20" s="120"/>
      <c r="V20" s="195">
        <f>+S20-E21+C20</f>
        <v>0</v>
      </c>
      <c r="W20" s="122"/>
      <c r="X20" s="122"/>
    </row>
    <row r="21" spans="1:26" x14ac:dyDescent="0.25">
      <c r="A21" s="15" t="s">
        <v>14</v>
      </c>
      <c r="B21" s="15" t="s">
        <v>8</v>
      </c>
      <c r="C21" s="530">
        <v>100000</v>
      </c>
      <c r="D21" s="530">
        <v>100000</v>
      </c>
      <c r="E21" s="530">
        <v>100000</v>
      </c>
      <c r="F21" s="221">
        <v>100000</v>
      </c>
      <c r="G21" s="94"/>
      <c r="H21" s="304">
        <v>30780</v>
      </c>
      <c r="I21" s="304">
        <v>46510</v>
      </c>
      <c r="J21" s="304">
        <v>68055</v>
      </c>
      <c r="K21" s="94"/>
      <c r="L21" s="593">
        <f t="shared" si="23"/>
        <v>0.30780000000000002</v>
      </c>
      <c r="M21" s="593">
        <f t="shared" si="24"/>
        <v>0.46510000000000001</v>
      </c>
      <c r="N21" s="593" t="e">
        <f>IF(J21&gt;0,J21/#REF!,0)</f>
        <v>#REF!</v>
      </c>
      <c r="O21" s="120"/>
      <c r="P21" s="81">
        <f t="shared" si="26"/>
        <v>0</v>
      </c>
      <c r="Q21" s="81" t="e">
        <f>+(#REF!-D21)*Q$10</f>
        <v>#REF!</v>
      </c>
      <c r="R21" s="81" t="e">
        <f>+(F21-#REF!)*R$10</f>
        <v>#REF!</v>
      </c>
      <c r="S21" s="81" t="e">
        <f t="shared" si="30"/>
        <v>#REF!</v>
      </c>
      <c r="T21" s="85" t="e">
        <f t="shared" si="29"/>
        <v>#REF!</v>
      </c>
      <c r="U21" s="120"/>
      <c r="V21" s="195" t="e">
        <f>+S21-#REF!+C21</f>
        <v>#REF!</v>
      </c>
      <c r="W21" s="122"/>
      <c r="X21" s="122"/>
    </row>
    <row r="22" spans="1:26" x14ac:dyDescent="0.25">
      <c r="A22" s="15" t="s">
        <v>15</v>
      </c>
      <c r="B22" s="15" t="s">
        <v>9</v>
      </c>
      <c r="C22" s="530">
        <v>0</v>
      </c>
      <c r="D22" s="530"/>
      <c r="E22" s="530"/>
      <c r="F22" s="221"/>
      <c r="G22" s="94"/>
      <c r="H22" s="304"/>
      <c r="I22" s="304"/>
      <c r="J22" s="304"/>
      <c r="K22" s="94"/>
      <c r="L22" s="593">
        <f t="shared" si="23"/>
        <v>0</v>
      </c>
      <c r="M22" s="593">
        <f t="shared" si="24"/>
        <v>0</v>
      </c>
      <c r="N22" s="593">
        <f t="shared" si="25"/>
        <v>0</v>
      </c>
      <c r="O22" s="120"/>
      <c r="P22" s="81">
        <f t="shared" si="26"/>
        <v>0</v>
      </c>
      <c r="Q22" s="81">
        <f t="shared" si="27"/>
        <v>0</v>
      </c>
      <c r="R22" s="81">
        <f t="shared" si="28"/>
        <v>0</v>
      </c>
      <c r="S22" s="81">
        <f t="shared" si="30"/>
        <v>0</v>
      </c>
      <c r="T22" s="85">
        <f t="shared" si="29"/>
        <v>0</v>
      </c>
      <c r="U22" s="120"/>
      <c r="V22" s="195">
        <f t="shared" si="22"/>
        <v>0</v>
      </c>
      <c r="W22" s="122"/>
      <c r="X22" s="122"/>
    </row>
    <row r="23" spans="1:26" x14ac:dyDescent="0.25">
      <c r="A23" s="15" t="s">
        <v>16</v>
      </c>
      <c r="B23" s="15" t="s">
        <v>10</v>
      </c>
      <c r="C23" s="530">
        <f>45000*2*8+5000</f>
        <v>725000</v>
      </c>
      <c r="D23" s="530">
        <v>725000</v>
      </c>
      <c r="E23" s="530">
        <v>725000</v>
      </c>
      <c r="F23" s="221">
        <v>1032758</v>
      </c>
      <c r="G23" s="94"/>
      <c r="H23" s="304">
        <v>279300</v>
      </c>
      <c r="I23" s="304">
        <v>673348</v>
      </c>
      <c r="J23" s="304">
        <v>1032758</v>
      </c>
      <c r="K23" s="94"/>
      <c r="L23" s="593">
        <f t="shared" si="23"/>
        <v>0.3852413793103448</v>
      </c>
      <c r="M23" s="593">
        <f t="shared" si="24"/>
        <v>0.92875586206896554</v>
      </c>
      <c r="N23" s="593">
        <f t="shared" si="25"/>
        <v>1.4244937931034483</v>
      </c>
      <c r="O23" s="120"/>
      <c r="P23" s="81">
        <f t="shared" si="26"/>
        <v>0</v>
      </c>
      <c r="Q23" s="81">
        <f t="shared" si="27"/>
        <v>0</v>
      </c>
      <c r="R23" s="81">
        <f t="shared" si="28"/>
        <v>0</v>
      </c>
      <c r="S23" s="81">
        <f t="shared" si="30"/>
        <v>0</v>
      </c>
      <c r="T23" s="85">
        <f t="shared" si="29"/>
        <v>0</v>
      </c>
      <c r="U23" s="120"/>
      <c r="V23" s="195">
        <f t="shared" si="22"/>
        <v>0</v>
      </c>
      <c r="W23" s="122"/>
      <c r="X23" s="122"/>
    </row>
    <row r="24" spans="1:26" x14ac:dyDescent="0.25">
      <c r="A24" s="15" t="s">
        <v>17</v>
      </c>
      <c r="B24" s="15"/>
      <c r="C24" s="530"/>
      <c r="D24" s="530"/>
      <c r="E24" s="530"/>
      <c r="F24" s="221"/>
      <c r="G24" s="94"/>
      <c r="H24" s="304"/>
      <c r="I24" s="304"/>
      <c r="J24" s="304"/>
      <c r="K24" s="94"/>
      <c r="L24" s="593"/>
      <c r="M24" s="593"/>
      <c r="N24" s="593"/>
      <c r="O24" s="120"/>
      <c r="P24" s="81"/>
      <c r="Q24" s="81"/>
      <c r="R24" s="81"/>
      <c r="S24" s="81">
        <f t="shared" si="30"/>
        <v>0</v>
      </c>
      <c r="T24" s="85"/>
      <c r="U24" s="120"/>
      <c r="V24" s="195">
        <f t="shared" si="22"/>
        <v>0</v>
      </c>
      <c r="W24" s="122"/>
      <c r="X24" s="122"/>
    </row>
    <row r="25" spans="1:26" x14ac:dyDescent="0.25">
      <c r="A25" s="15" t="s">
        <v>18</v>
      </c>
      <c r="B25" s="15" t="s">
        <v>19</v>
      </c>
      <c r="C25" s="530"/>
      <c r="D25" s="530"/>
      <c r="E25" s="530"/>
      <c r="F25" s="221"/>
      <c r="G25" s="94"/>
      <c r="H25" s="304"/>
      <c r="I25" s="304"/>
      <c r="J25" s="304"/>
      <c r="K25" s="94"/>
      <c r="L25" s="593">
        <f t="shared" ref="L25:M27" si="31">IF(H25&gt;0,H25/C25,0)</f>
        <v>0</v>
      </c>
      <c r="M25" s="593">
        <f t="shared" si="31"/>
        <v>0</v>
      </c>
      <c r="N25" s="593">
        <f>IF(J25&gt;0,J25/F25,0)</f>
        <v>0</v>
      </c>
      <c r="O25" s="120"/>
      <c r="P25" s="81">
        <f t="shared" ref="P25:R27" si="32">+(D25-C25)*P$10</f>
        <v>0</v>
      </c>
      <c r="Q25" s="81">
        <f t="shared" si="32"/>
        <v>0</v>
      </c>
      <c r="R25" s="81">
        <f t="shared" si="32"/>
        <v>0</v>
      </c>
      <c r="S25" s="81">
        <f t="shared" si="30"/>
        <v>0</v>
      </c>
      <c r="T25" s="85">
        <f>IF(C25=0,0,+S25/C25)</f>
        <v>0</v>
      </c>
      <c r="U25" s="120"/>
      <c r="V25" s="195">
        <f t="shared" si="22"/>
        <v>0</v>
      </c>
      <c r="W25" s="122"/>
      <c r="X25" s="122"/>
    </row>
    <row r="26" spans="1:26" x14ac:dyDescent="0.25">
      <c r="A26" s="15" t="s">
        <v>20</v>
      </c>
      <c r="B26" s="15" t="s">
        <v>21</v>
      </c>
      <c r="C26" s="530"/>
      <c r="D26" s="530"/>
      <c r="E26" s="530"/>
      <c r="F26" s="221"/>
      <c r="G26" s="94"/>
      <c r="H26" s="304"/>
      <c r="I26" s="304"/>
      <c r="J26" s="304"/>
      <c r="K26" s="94"/>
      <c r="L26" s="593">
        <f t="shared" si="31"/>
        <v>0</v>
      </c>
      <c r="M26" s="593">
        <f t="shared" si="31"/>
        <v>0</v>
      </c>
      <c r="N26" s="593">
        <f>IF(J26&gt;0,J26/F26,0)</f>
        <v>0</v>
      </c>
      <c r="O26" s="120"/>
      <c r="P26" s="81">
        <f t="shared" si="32"/>
        <v>0</v>
      </c>
      <c r="Q26" s="81">
        <f t="shared" si="32"/>
        <v>0</v>
      </c>
      <c r="R26" s="81">
        <f t="shared" si="32"/>
        <v>0</v>
      </c>
      <c r="S26" s="81">
        <f t="shared" si="30"/>
        <v>0</v>
      </c>
      <c r="T26" s="85">
        <f>IF(C26=0,0,+S26/C26)</f>
        <v>0</v>
      </c>
      <c r="U26" s="120"/>
      <c r="V26" s="195">
        <f t="shared" si="22"/>
        <v>0</v>
      </c>
      <c r="W26" s="122"/>
      <c r="X26" s="122"/>
    </row>
    <row r="27" spans="1:26" x14ac:dyDescent="0.25">
      <c r="A27" s="15" t="s">
        <v>22</v>
      </c>
      <c r="B27" s="15" t="s">
        <v>23</v>
      </c>
      <c r="C27" s="302"/>
      <c r="D27" s="221"/>
      <c r="E27" s="221"/>
      <c r="F27" s="221"/>
      <c r="G27" s="94"/>
      <c r="H27" s="304"/>
      <c r="I27" s="304"/>
      <c r="J27" s="304"/>
      <c r="K27" s="94"/>
      <c r="L27" s="593">
        <f t="shared" si="31"/>
        <v>0</v>
      </c>
      <c r="M27" s="593">
        <f t="shared" si="31"/>
        <v>0</v>
      </c>
      <c r="N27" s="593">
        <f>IF(J27&gt;0,J27/F27,0)</f>
        <v>0</v>
      </c>
      <c r="O27" s="120"/>
      <c r="P27" s="81">
        <f t="shared" si="32"/>
        <v>0</v>
      </c>
      <c r="Q27" s="81">
        <f t="shared" si="32"/>
        <v>0</v>
      </c>
      <c r="R27" s="81">
        <f t="shared" si="32"/>
        <v>0</v>
      </c>
      <c r="S27" s="81">
        <f t="shared" si="30"/>
        <v>0</v>
      </c>
      <c r="T27" s="85">
        <f>IF(C27=0,0,+S27/C27)</f>
        <v>0</v>
      </c>
      <c r="U27" s="120"/>
      <c r="V27" s="195">
        <f t="shared" si="22"/>
        <v>0</v>
      </c>
      <c r="W27" s="122"/>
      <c r="X27" s="122"/>
    </row>
    <row r="28" spans="1:26" x14ac:dyDescent="0.25">
      <c r="A28" s="20"/>
      <c r="B28" s="14"/>
      <c r="C28" s="302"/>
      <c r="D28" s="221"/>
      <c r="E28" s="221"/>
      <c r="F28" s="221"/>
      <c r="G28" s="94"/>
      <c r="H28" s="304"/>
      <c r="I28" s="304"/>
      <c r="J28" s="304"/>
      <c r="K28" s="94"/>
      <c r="L28" s="589"/>
      <c r="M28" s="589"/>
      <c r="N28" s="589"/>
      <c r="O28" s="119"/>
      <c r="P28" s="81"/>
      <c r="Q28" s="81"/>
      <c r="R28" s="81"/>
      <c r="S28" s="81"/>
      <c r="T28" s="85"/>
      <c r="U28" s="119"/>
      <c r="V28" s="195">
        <f t="shared" si="22"/>
        <v>0</v>
      </c>
      <c r="W28" s="122"/>
      <c r="X28" s="122"/>
    </row>
    <row r="29" spans="1:26" x14ac:dyDescent="0.25">
      <c r="A29" s="3" t="s">
        <v>24</v>
      </c>
      <c r="B29" s="3" t="s">
        <v>25</v>
      </c>
      <c r="C29" s="89">
        <f>SUM(C30:C31)</f>
        <v>4600000</v>
      </c>
      <c r="D29" s="89">
        <f t="shared" ref="D29:F29" si="33">SUM(D30:D31)</f>
        <v>4600000</v>
      </c>
      <c r="E29" s="89">
        <f t="shared" si="33"/>
        <v>4600000</v>
      </c>
      <c r="F29" s="89">
        <f t="shared" si="33"/>
        <v>4374822</v>
      </c>
      <c r="G29" s="90"/>
      <c r="H29" s="89">
        <f t="shared" ref="H29" si="34">SUM(H30:H31)</f>
        <v>2287014</v>
      </c>
      <c r="I29" s="89">
        <f t="shared" ref="I29" si="35">SUM(I30:I31)</f>
        <v>3341309</v>
      </c>
      <c r="J29" s="89">
        <f t="shared" ref="J29" si="36">SUM(J30:J31)</f>
        <v>4374822</v>
      </c>
      <c r="K29" s="90"/>
      <c r="L29" s="590">
        <f t="shared" ref="L29:N30" si="37">IF(H29&gt;0,H29/C29,0)</f>
        <v>0.49717695652173916</v>
      </c>
      <c r="M29" s="590">
        <f t="shared" si="37"/>
        <v>0.72637152173913044</v>
      </c>
      <c r="N29" s="590">
        <f t="shared" si="37"/>
        <v>0.95104826086956518</v>
      </c>
      <c r="O29" s="118"/>
      <c r="P29" s="90">
        <f t="shared" ref="P29:R30" si="38">+(D29-C29)*P$10</f>
        <v>0</v>
      </c>
      <c r="Q29" s="90">
        <f t="shared" si="38"/>
        <v>0</v>
      </c>
      <c r="R29" s="90">
        <f t="shared" si="38"/>
        <v>0</v>
      </c>
      <c r="S29" s="90">
        <f t="shared" ref="S29:S30" si="39">+P$10*P29+Q$10*Q29+R$10*R29</f>
        <v>0</v>
      </c>
      <c r="T29" s="202">
        <f>IF(C29=0,0,+S29/C29)</f>
        <v>0</v>
      </c>
      <c r="U29" s="118"/>
      <c r="V29" s="195">
        <f t="shared" si="22"/>
        <v>0</v>
      </c>
      <c r="W29" s="122"/>
      <c r="X29" s="122"/>
      <c r="Y29" s="2"/>
      <c r="Z29" s="2"/>
    </row>
    <row r="30" spans="1:26" x14ac:dyDescent="0.25">
      <c r="A30" s="20"/>
      <c r="B30" s="20" t="s">
        <v>26</v>
      </c>
      <c r="C30" s="272">
        <v>4600000</v>
      </c>
      <c r="D30" s="272">
        <v>4600000</v>
      </c>
      <c r="E30" s="272">
        <v>4600000</v>
      </c>
      <c r="F30" s="272">
        <v>4374822</v>
      </c>
      <c r="G30" s="301"/>
      <c r="H30" s="301">
        <v>2287014</v>
      </c>
      <c r="I30" s="301">
        <v>3341309</v>
      </c>
      <c r="J30" s="301">
        <v>4374822</v>
      </c>
      <c r="K30" s="94"/>
      <c r="L30" s="593">
        <f t="shared" si="37"/>
        <v>0.49717695652173916</v>
      </c>
      <c r="M30" s="593">
        <f t="shared" si="37"/>
        <v>0.72637152173913044</v>
      </c>
      <c r="N30" s="593">
        <f t="shared" si="37"/>
        <v>0.95104826086956518</v>
      </c>
      <c r="O30" s="120"/>
      <c r="P30" s="81">
        <f t="shared" si="38"/>
        <v>0</v>
      </c>
      <c r="Q30" s="81">
        <f t="shared" si="38"/>
        <v>0</v>
      </c>
      <c r="R30" s="81">
        <f t="shared" si="38"/>
        <v>0</v>
      </c>
      <c r="S30" s="81">
        <f t="shared" si="39"/>
        <v>0</v>
      </c>
      <c r="T30" s="85">
        <f>IF(C30=0,0,+S30/C30)</f>
        <v>0</v>
      </c>
      <c r="U30" s="120"/>
      <c r="V30" s="195">
        <f t="shared" si="22"/>
        <v>0</v>
      </c>
      <c r="W30" s="122"/>
      <c r="X30" s="122"/>
      <c r="Y30" s="57"/>
    </row>
    <row r="31" spans="1:26" x14ac:dyDescent="0.25">
      <c r="A31" s="20"/>
      <c r="B31" s="14"/>
      <c r="C31" s="68"/>
      <c r="D31" s="93"/>
      <c r="E31" s="93"/>
      <c r="F31" s="93"/>
      <c r="G31" s="94"/>
      <c r="H31" s="94"/>
      <c r="I31" s="94"/>
      <c r="J31" s="94"/>
      <c r="K31" s="94"/>
      <c r="L31" s="589"/>
      <c r="M31" s="589"/>
      <c r="N31" s="589"/>
      <c r="O31" s="119"/>
      <c r="P31" s="81"/>
      <c r="Q31" s="81"/>
      <c r="R31" s="81"/>
      <c r="S31" s="81"/>
      <c r="T31" s="85"/>
      <c r="U31" s="119"/>
      <c r="V31" s="195">
        <f t="shared" si="22"/>
        <v>0</v>
      </c>
      <c r="W31" s="122"/>
      <c r="X31" s="122"/>
    </row>
    <row r="32" spans="1:26" x14ac:dyDescent="0.25">
      <c r="A32" s="3" t="s">
        <v>27</v>
      </c>
      <c r="B32" s="3" t="s">
        <v>28</v>
      </c>
      <c r="C32" s="89">
        <f>+C33+C41+C48+C66+C71</f>
        <v>11570000</v>
      </c>
      <c r="D32" s="89">
        <f>+D33+D41+D48+D66+D71</f>
        <v>11570000</v>
      </c>
      <c r="E32" s="89">
        <f>+E33+E41+E48+E66+E71</f>
        <v>11570000</v>
      </c>
      <c r="F32" s="89">
        <f>+F33+F41+F48+F66+F71</f>
        <v>11541054</v>
      </c>
      <c r="G32" s="89"/>
      <c r="H32" s="89">
        <f>+H33+H41+H48+H66+H71</f>
        <v>5248399</v>
      </c>
      <c r="I32" s="89">
        <f>+I33+I41+I48+I66+I71</f>
        <v>7719977</v>
      </c>
      <c r="J32" s="89">
        <f>+J33+J41+J48+J66+J71</f>
        <v>10670176</v>
      </c>
      <c r="K32" s="89"/>
      <c r="L32" s="590">
        <f t="shared" ref="L32:L63" si="40">IF(H32&gt;0,H32/C32,0)</f>
        <v>0.45362134831460676</v>
      </c>
      <c r="M32" s="590">
        <f t="shared" ref="M32:M63" si="41">IF(I32&gt;0,I32/D32,0)</f>
        <v>0.6672408815903198</v>
      </c>
      <c r="N32" s="590">
        <f t="shared" ref="N32:N63" si="42">IF(J32&gt;0,J32/E32,0)</f>
        <v>0.92222783059636992</v>
      </c>
      <c r="O32" s="31"/>
      <c r="P32" s="89">
        <f t="shared" ref="P32:P63" si="43">+(D32-C32)*P$10</f>
        <v>0</v>
      </c>
      <c r="Q32" s="89">
        <f t="shared" ref="Q32:Q63" si="44">+(E32-D32)*Q$10</f>
        <v>0</v>
      </c>
      <c r="R32" s="89">
        <f t="shared" ref="R32:R63" si="45">+(F32-E32)*R$10</f>
        <v>0</v>
      </c>
      <c r="S32" s="89">
        <f t="shared" ref="S32:S84" si="46">+P$10*P32+Q$10*Q32+R$10*R32</f>
        <v>0</v>
      </c>
      <c r="T32" s="201">
        <f t="shared" ref="T32:T63" si="47">IF(C32=0,0,+S32/C32)</f>
        <v>0</v>
      </c>
      <c r="U32" s="118"/>
      <c r="V32" s="195">
        <f t="shared" si="22"/>
        <v>0</v>
      </c>
      <c r="W32" s="122"/>
      <c r="X32" s="122"/>
    </row>
    <row r="33" spans="1:25" s="42" customFormat="1" x14ac:dyDescent="0.25">
      <c r="A33" s="39" t="s">
        <v>29</v>
      </c>
      <c r="B33" s="39" t="s">
        <v>30</v>
      </c>
      <c r="C33" s="95">
        <f t="shared" ref="C33:F33" si="48">SUM(C34:C40)</f>
        <v>580000</v>
      </c>
      <c r="D33" s="95">
        <f t="shared" si="48"/>
        <v>548800</v>
      </c>
      <c r="E33" s="95">
        <f t="shared" si="48"/>
        <v>524100</v>
      </c>
      <c r="F33" s="95">
        <f t="shared" si="48"/>
        <v>584100</v>
      </c>
      <c r="G33" s="95"/>
      <c r="H33" s="95">
        <f>SUM(H34:H40)</f>
        <v>225015</v>
      </c>
      <c r="I33" s="95">
        <f t="shared" ref="I33:J33" si="49">SUM(I34:I40)</f>
        <v>242117</v>
      </c>
      <c r="J33" s="95">
        <f t="shared" si="49"/>
        <v>569547</v>
      </c>
      <c r="K33" s="95"/>
      <c r="L33" s="594">
        <f t="shared" si="40"/>
        <v>0.38795689655172416</v>
      </c>
      <c r="M33" s="594">
        <f t="shared" si="41"/>
        <v>0.44117529154518953</v>
      </c>
      <c r="N33" s="594">
        <f t="shared" si="42"/>
        <v>1.0867143674871207</v>
      </c>
      <c r="O33" s="40"/>
      <c r="P33" s="81">
        <f t="shared" si="43"/>
        <v>-31200</v>
      </c>
      <c r="Q33" s="81">
        <f t="shared" si="44"/>
        <v>-24700</v>
      </c>
      <c r="R33" s="81">
        <f t="shared" si="45"/>
        <v>0</v>
      </c>
      <c r="S33" s="81">
        <f t="shared" si="46"/>
        <v>-55900</v>
      </c>
      <c r="T33" s="85">
        <f t="shared" si="47"/>
        <v>-9.6379310344827593E-2</v>
      </c>
      <c r="U33" s="121"/>
      <c r="V33" s="195">
        <f t="shared" si="22"/>
        <v>0</v>
      </c>
      <c r="W33" s="129"/>
      <c r="X33" s="129"/>
    </row>
    <row r="34" spans="1:25" x14ac:dyDescent="0.25">
      <c r="A34" s="20" t="s">
        <v>31</v>
      </c>
      <c r="B34" s="20" t="s">
        <v>33</v>
      </c>
      <c r="C34" s="143">
        <v>80000</v>
      </c>
      <c r="D34" s="143">
        <v>80000</v>
      </c>
      <c r="E34" s="143">
        <v>110000</v>
      </c>
      <c r="F34" s="68">
        <v>110000</v>
      </c>
      <c r="G34" s="96"/>
      <c r="H34" s="96">
        <v>58428</v>
      </c>
      <c r="I34" s="96">
        <v>58428</v>
      </c>
      <c r="J34" s="96">
        <v>106628</v>
      </c>
      <c r="K34" s="96"/>
      <c r="L34" s="593">
        <f t="shared" si="40"/>
        <v>0.73035000000000005</v>
      </c>
      <c r="M34" s="593">
        <f t="shared" si="41"/>
        <v>0.73035000000000005</v>
      </c>
      <c r="N34" s="593">
        <f t="shared" si="42"/>
        <v>0.96934545454545451</v>
      </c>
      <c r="O34" s="120"/>
      <c r="P34" s="81">
        <f t="shared" si="43"/>
        <v>0</v>
      </c>
      <c r="Q34" s="81">
        <f t="shared" si="44"/>
        <v>30000</v>
      </c>
      <c r="R34" s="81">
        <f t="shared" si="45"/>
        <v>0</v>
      </c>
      <c r="S34" s="81">
        <f t="shared" si="46"/>
        <v>30000</v>
      </c>
      <c r="T34" s="85">
        <f t="shared" si="47"/>
        <v>0.375</v>
      </c>
      <c r="U34" s="120"/>
      <c r="V34" s="195">
        <f t="shared" si="22"/>
        <v>0</v>
      </c>
      <c r="W34" s="122"/>
      <c r="X34" s="122"/>
    </row>
    <row r="35" spans="1:25" x14ac:dyDescent="0.25">
      <c r="A35" s="20"/>
      <c r="B35" s="20" t="s">
        <v>87</v>
      </c>
      <c r="C35" s="143"/>
      <c r="D35" s="143"/>
      <c r="E35" s="143"/>
      <c r="F35" s="68"/>
      <c r="G35" s="96"/>
      <c r="H35" s="96"/>
      <c r="I35" s="96"/>
      <c r="J35" s="96"/>
      <c r="K35" s="96"/>
      <c r="L35" s="589">
        <f t="shared" si="40"/>
        <v>0</v>
      </c>
      <c r="M35" s="589">
        <f t="shared" si="41"/>
        <v>0</v>
      </c>
      <c r="N35" s="589">
        <f t="shared" si="42"/>
        <v>0</v>
      </c>
      <c r="O35" s="119"/>
      <c r="P35" s="81">
        <f t="shared" si="43"/>
        <v>0</v>
      </c>
      <c r="Q35" s="81">
        <f t="shared" si="44"/>
        <v>0</v>
      </c>
      <c r="R35" s="81">
        <f t="shared" si="45"/>
        <v>0</v>
      </c>
      <c r="S35" s="81">
        <f t="shared" si="46"/>
        <v>0</v>
      </c>
      <c r="T35" s="85">
        <f t="shared" si="47"/>
        <v>0</v>
      </c>
      <c r="U35" s="119"/>
      <c r="V35" s="195">
        <f t="shared" si="22"/>
        <v>0</v>
      </c>
      <c r="W35" s="122"/>
      <c r="X35" s="122"/>
    </row>
    <row r="36" spans="1:25" x14ac:dyDescent="0.25">
      <c r="A36" s="20" t="s">
        <v>32</v>
      </c>
      <c r="B36" s="20" t="s">
        <v>34</v>
      </c>
      <c r="C36" s="143">
        <v>500000</v>
      </c>
      <c r="D36" s="143">
        <v>468800</v>
      </c>
      <c r="E36" s="143">
        <v>414100</v>
      </c>
      <c r="F36" s="68">
        <v>474100</v>
      </c>
      <c r="G36" s="96"/>
      <c r="H36" s="96">
        <v>166587</v>
      </c>
      <c r="I36" s="96">
        <v>183689</v>
      </c>
      <c r="J36" s="96">
        <v>462919</v>
      </c>
      <c r="K36" s="96"/>
      <c r="L36" s="593">
        <f t="shared" si="40"/>
        <v>0.33317400000000003</v>
      </c>
      <c r="M36" s="593">
        <f t="shared" si="41"/>
        <v>0.39182807167235495</v>
      </c>
      <c r="N36" s="593">
        <f t="shared" si="42"/>
        <v>1.1178918135716012</v>
      </c>
      <c r="O36" s="120"/>
      <c r="P36" s="81">
        <f t="shared" si="43"/>
        <v>-31200</v>
      </c>
      <c r="Q36" s="81">
        <f t="shared" si="44"/>
        <v>-54700</v>
      </c>
      <c r="R36" s="81">
        <f t="shared" si="45"/>
        <v>0</v>
      </c>
      <c r="S36" s="81">
        <f t="shared" si="46"/>
        <v>-85900</v>
      </c>
      <c r="T36" s="85">
        <f t="shared" si="47"/>
        <v>-0.17180000000000001</v>
      </c>
      <c r="U36" s="120"/>
      <c r="V36" s="195">
        <f t="shared" si="22"/>
        <v>0</v>
      </c>
      <c r="W36" s="122"/>
      <c r="X36" s="122"/>
    </row>
    <row r="37" spans="1:25" x14ac:dyDescent="0.25">
      <c r="A37" s="20"/>
      <c r="B37" s="20" t="s">
        <v>94</v>
      </c>
      <c r="C37" s="143"/>
      <c r="D37" s="143"/>
      <c r="E37" s="143"/>
      <c r="F37" s="68"/>
      <c r="G37" s="96"/>
      <c r="H37" s="96"/>
      <c r="I37" s="96"/>
      <c r="J37" s="96"/>
      <c r="K37" s="96"/>
      <c r="L37" s="589">
        <f t="shared" si="40"/>
        <v>0</v>
      </c>
      <c r="M37" s="589">
        <f t="shared" si="41"/>
        <v>0</v>
      </c>
      <c r="N37" s="589">
        <f t="shared" si="42"/>
        <v>0</v>
      </c>
      <c r="O37" s="119"/>
      <c r="P37" s="81">
        <f t="shared" si="43"/>
        <v>0</v>
      </c>
      <c r="Q37" s="81">
        <f t="shared" si="44"/>
        <v>0</v>
      </c>
      <c r="R37" s="81">
        <f t="shared" si="45"/>
        <v>0</v>
      </c>
      <c r="S37" s="81">
        <f t="shared" si="46"/>
        <v>0</v>
      </c>
      <c r="T37" s="85">
        <f t="shared" si="47"/>
        <v>0</v>
      </c>
      <c r="U37" s="119"/>
      <c r="V37" s="195">
        <f t="shared" si="22"/>
        <v>0</v>
      </c>
      <c r="W37" s="122"/>
      <c r="X37" s="122"/>
    </row>
    <row r="38" spans="1:25" x14ac:dyDescent="0.25">
      <c r="A38" s="20"/>
      <c r="B38" s="20" t="s">
        <v>93</v>
      </c>
      <c r="C38" s="143"/>
      <c r="D38" s="143"/>
      <c r="E38" s="143"/>
      <c r="F38" s="68"/>
      <c r="G38" s="96"/>
      <c r="H38" s="96"/>
      <c r="I38" s="96"/>
      <c r="J38" s="96"/>
      <c r="K38" s="96"/>
      <c r="L38" s="589">
        <f t="shared" si="40"/>
        <v>0</v>
      </c>
      <c r="M38" s="589">
        <f t="shared" si="41"/>
        <v>0</v>
      </c>
      <c r="N38" s="589">
        <f t="shared" si="42"/>
        <v>0</v>
      </c>
      <c r="O38" s="119"/>
      <c r="P38" s="81">
        <f t="shared" si="43"/>
        <v>0</v>
      </c>
      <c r="Q38" s="81">
        <f t="shared" si="44"/>
        <v>0</v>
      </c>
      <c r="R38" s="81">
        <f t="shared" si="45"/>
        <v>0</v>
      </c>
      <c r="S38" s="81">
        <f t="shared" si="46"/>
        <v>0</v>
      </c>
      <c r="T38" s="85">
        <f t="shared" si="47"/>
        <v>0</v>
      </c>
      <c r="U38" s="119"/>
      <c r="V38" s="195">
        <f t="shared" si="22"/>
        <v>0</v>
      </c>
      <c r="W38" s="122"/>
      <c r="X38" s="122"/>
    </row>
    <row r="39" spans="1:25" x14ac:dyDescent="0.25">
      <c r="A39" s="20"/>
      <c r="B39" s="20" t="s">
        <v>92</v>
      </c>
      <c r="C39" s="143"/>
      <c r="D39" s="143"/>
      <c r="E39" s="143"/>
      <c r="F39" s="68"/>
      <c r="G39" s="96"/>
      <c r="H39" s="96"/>
      <c r="I39" s="96"/>
      <c r="J39" s="96"/>
      <c r="K39" s="96"/>
      <c r="L39" s="589">
        <f t="shared" si="40"/>
        <v>0</v>
      </c>
      <c r="M39" s="589">
        <f t="shared" si="41"/>
        <v>0</v>
      </c>
      <c r="N39" s="589">
        <f t="shared" si="42"/>
        <v>0</v>
      </c>
      <c r="O39" s="119"/>
      <c r="P39" s="81">
        <f t="shared" si="43"/>
        <v>0</v>
      </c>
      <c r="Q39" s="81">
        <f t="shared" si="44"/>
        <v>0</v>
      </c>
      <c r="R39" s="81">
        <f t="shared" si="45"/>
        <v>0</v>
      </c>
      <c r="S39" s="81">
        <f t="shared" si="46"/>
        <v>0</v>
      </c>
      <c r="T39" s="85">
        <f t="shared" si="47"/>
        <v>0</v>
      </c>
      <c r="U39" s="119"/>
      <c r="V39" s="195">
        <f t="shared" si="22"/>
        <v>0</v>
      </c>
      <c r="W39" s="122"/>
      <c r="X39" s="122"/>
    </row>
    <row r="40" spans="1:25" x14ac:dyDescent="0.25">
      <c r="A40" s="20"/>
      <c r="B40" s="20" t="s">
        <v>91</v>
      </c>
      <c r="C40" s="143">
        <v>0</v>
      </c>
      <c r="D40" s="143">
        <v>0</v>
      </c>
      <c r="E40" s="143">
        <v>0</v>
      </c>
      <c r="F40" s="68">
        <v>0</v>
      </c>
      <c r="G40" s="96"/>
      <c r="H40" s="96">
        <v>0</v>
      </c>
      <c r="I40" s="96">
        <v>0</v>
      </c>
      <c r="J40" s="96"/>
      <c r="K40" s="96"/>
      <c r="L40" s="593">
        <f t="shared" si="40"/>
        <v>0</v>
      </c>
      <c r="M40" s="593">
        <f t="shared" si="41"/>
        <v>0</v>
      </c>
      <c r="N40" s="593">
        <f t="shared" si="42"/>
        <v>0</v>
      </c>
      <c r="O40" s="120"/>
      <c r="P40" s="81">
        <f t="shared" si="43"/>
        <v>0</v>
      </c>
      <c r="Q40" s="81">
        <f t="shared" si="44"/>
        <v>0</v>
      </c>
      <c r="R40" s="81">
        <f t="shared" si="45"/>
        <v>0</v>
      </c>
      <c r="S40" s="81">
        <f t="shared" si="46"/>
        <v>0</v>
      </c>
      <c r="T40" s="85">
        <f t="shared" si="47"/>
        <v>0</v>
      </c>
      <c r="U40" s="120"/>
      <c r="V40" s="195">
        <f t="shared" si="22"/>
        <v>0</v>
      </c>
      <c r="W40" s="122"/>
      <c r="X40" s="122"/>
    </row>
    <row r="41" spans="1:25" s="42" customFormat="1" x14ac:dyDescent="0.25">
      <c r="A41" s="39" t="s">
        <v>35</v>
      </c>
      <c r="B41" s="39" t="s">
        <v>36</v>
      </c>
      <c r="C41" s="95">
        <f>SUM(C42:C47)</f>
        <v>190000</v>
      </c>
      <c r="D41" s="95">
        <f t="shared" ref="D41:F41" si="50">SUM(D42:D47)</f>
        <v>240000</v>
      </c>
      <c r="E41" s="95">
        <f t="shared" si="50"/>
        <v>240000</v>
      </c>
      <c r="F41" s="95">
        <f t="shared" si="50"/>
        <v>220000</v>
      </c>
      <c r="G41" s="95"/>
      <c r="H41" s="95">
        <f t="shared" ref="H41" si="51">SUM(H42:H47)</f>
        <v>118978</v>
      </c>
      <c r="I41" s="95">
        <f t="shared" ref="I41" si="52">SUM(I42:I47)</f>
        <v>159538</v>
      </c>
      <c r="J41" s="95">
        <f t="shared" ref="J41" si="53">SUM(J42:J47)</f>
        <v>175807</v>
      </c>
      <c r="K41" s="95"/>
      <c r="L41" s="594">
        <f t="shared" si="40"/>
        <v>0.62619999999999998</v>
      </c>
      <c r="M41" s="594">
        <f t="shared" si="41"/>
        <v>0.66474166666666668</v>
      </c>
      <c r="N41" s="594">
        <f t="shared" si="42"/>
        <v>0.73252916666666668</v>
      </c>
      <c r="O41" s="121"/>
      <c r="P41" s="81">
        <f t="shared" si="43"/>
        <v>50000</v>
      </c>
      <c r="Q41" s="81">
        <f t="shared" si="44"/>
        <v>0</v>
      </c>
      <c r="R41" s="81">
        <f t="shared" si="45"/>
        <v>0</v>
      </c>
      <c r="S41" s="81">
        <f t="shared" si="46"/>
        <v>50000</v>
      </c>
      <c r="T41" s="85">
        <f t="shared" si="47"/>
        <v>0.26315789473684209</v>
      </c>
      <c r="U41" s="121"/>
      <c r="V41" s="195">
        <f t="shared" si="22"/>
        <v>0</v>
      </c>
      <c r="W41" s="129"/>
      <c r="X41" s="129"/>
    </row>
    <row r="42" spans="1:25" x14ac:dyDescent="0.25">
      <c r="A42" s="20" t="s">
        <v>37</v>
      </c>
      <c r="B42" s="20" t="s">
        <v>38</v>
      </c>
      <c r="C42" s="68">
        <v>90000</v>
      </c>
      <c r="D42" s="68">
        <v>140000</v>
      </c>
      <c r="E42" s="143">
        <v>140000</v>
      </c>
      <c r="F42" s="68">
        <v>140000</v>
      </c>
      <c r="G42" s="96"/>
      <c r="H42" s="96">
        <v>87000</v>
      </c>
      <c r="I42" s="96">
        <v>111750</v>
      </c>
      <c r="J42" s="96">
        <v>111750</v>
      </c>
      <c r="K42" s="96"/>
      <c r="L42" s="593">
        <f t="shared" si="40"/>
        <v>0.96666666666666667</v>
      </c>
      <c r="M42" s="593">
        <f t="shared" si="41"/>
        <v>0.79821428571428577</v>
      </c>
      <c r="N42" s="593">
        <f t="shared" si="42"/>
        <v>0.79821428571428577</v>
      </c>
      <c r="O42" s="120"/>
      <c r="P42" s="81">
        <f t="shared" si="43"/>
        <v>50000</v>
      </c>
      <c r="Q42" s="81">
        <f t="shared" si="44"/>
        <v>0</v>
      </c>
      <c r="R42" s="81">
        <f t="shared" si="45"/>
        <v>0</v>
      </c>
      <c r="S42" s="81">
        <f t="shared" si="46"/>
        <v>50000</v>
      </c>
      <c r="T42" s="85">
        <f t="shared" si="47"/>
        <v>0.55555555555555558</v>
      </c>
      <c r="U42" s="120"/>
      <c r="V42" s="195">
        <f t="shared" si="22"/>
        <v>0</v>
      </c>
      <c r="W42" s="122"/>
      <c r="X42" s="122"/>
      <c r="Y42" s="2"/>
    </row>
    <row r="43" spans="1:25" ht="14.25" customHeight="1" x14ac:dyDescent="0.25">
      <c r="A43" s="20"/>
      <c r="B43" s="20" t="s">
        <v>39</v>
      </c>
      <c r="C43" s="68"/>
      <c r="D43" s="68"/>
      <c r="E43" s="68"/>
      <c r="F43" s="68"/>
      <c r="G43" s="96"/>
      <c r="H43" s="96"/>
      <c r="I43" s="96"/>
      <c r="J43" s="96"/>
      <c r="K43" s="96"/>
      <c r="L43" s="589">
        <f t="shared" si="40"/>
        <v>0</v>
      </c>
      <c r="M43" s="589">
        <f t="shared" si="41"/>
        <v>0</v>
      </c>
      <c r="N43" s="589">
        <f t="shared" si="42"/>
        <v>0</v>
      </c>
      <c r="O43" s="119"/>
      <c r="P43" s="81">
        <f t="shared" si="43"/>
        <v>0</v>
      </c>
      <c r="Q43" s="81">
        <f t="shared" si="44"/>
        <v>0</v>
      </c>
      <c r="R43" s="81">
        <f t="shared" si="45"/>
        <v>0</v>
      </c>
      <c r="S43" s="81">
        <f t="shared" si="46"/>
        <v>0</v>
      </c>
      <c r="T43" s="85">
        <f t="shared" si="47"/>
        <v>0</v>
      </c>
      <c r="U43" s="119"/>
      <c r="V43" s="195">
        <f t="shared" si="22"/>
        <v>0</v>
      </c>
      <c r="W43" s="122"/>
      <c r="X43" s="122"/>
    </row>
    <row r="44" spans="1:25" ht="15.75" customHeight="1" x14ac:dyDescent="0.25">
      <c r="A44" s="20"/>
      <c r="B44" s="20" t="s">
        <v>40</v>
      </c>
      <c r="C44" s="68"/>
      <c r="D44" s="68"/>
      <c r="E44" s="68"/>
      <c r="F44" s="68"/>
      <c r="G44" s="96"/>
      <c r="H44" s="96"/>
      <c r="I44" s="96"/>
      <c r="J44" s="96"/>
      <c r="K44" s="96"/>
      <c r="L44" s="589">
        <f t="shared" si="40"/>
        <v>0</v>
      </c>
      <c r="M44" s="589">
        <f t="shared" si="41"/>
        <v>0</v>
      </c>
      <c r="N44" s="589">
        <f t="shared" si="42"/>
        <v>0</v>
      </c>
      <c r="O44" s="119"/>
      <c r="P44" s="81">
        <f t="shared" si="43"/>
        <v>0</v>
      </c>
      <c r="Q44" s="81">
        <f t="shared" si="44"/>
        <v>0</v>
      </c>
      <c r="R44" s="81">
        <f t="shared" si="45"/>
        <v>0</v>
      </c>
      <c r="S44" s="81">
        <f t="shared" si="46"/>
        <v>0</v>
      </c>
      <c r="T44" s="85">
        <f t="shared" si="47"/>
        <v>0</v>
      </c>
      <c r="U44" s="119"/>
      <c r="V44" s="195">
        <f t="shared" si="22"/>
        <v>0</v>
      </c>
      <c r="W44" s="122"/>
      <c r="X44" s="122"/>
    </row>
    <row r="45" spans="1:25" x14ac:dyDescent="0.25">
      <c r="A45" s="20"/>
      <c r="B45" s="20" t="s">
        <v>41</v>
      </c>
      <c r="C45" s="68"/>
      <c r="D45" s="68"/>
      <c r="E45" s="68"/>
      <c r="F45" s="68"/>
      <c r="G45" s="96"/>
      <c r="H45" s="96"/>
      <c r="I45" s="96"/>
      <c r="J45" s="96"/>
      <c r="K45" s="96"/>
      <c r="L45" s="589">
        <f t="shared" si="40"/>
        <v>0</v>
      </c>
      <c r="M45" s="589">
        <f t="shared" si="41"/>
        <v>0</v>
      </c>
      <c r="N45" s="589">
        <f t="shared" si="42"/>
        <v>0</v>
      </c>
      <c r="O45" s="119"/>
      <c r="P45" s="81">
        <f t="shared" si="43"/>
        <v>0</v>
      </c>
      <c r="Q45" s="81">
        <f t="shared" si="44"/>
        <v>0</v>
      </c>
      <c r="R45" s="81">
        <f t="shared" si="45"/>
        <v>0</v>
      </c>
      <c r="S45" s="81">
        <f t="shared" si="46"/>
        <v>0</v>
      </c>
      <c r="T45" s="85">
        <f t="shared" si="47"/>
        <v>0</v>
      </c>
      <c r="U45" s="119"/>
      <c r="V45" s="195">
        <f t="shared" si="22"/>
        <v>0</v>
      </c>
      <c r="W45" s="122"/>
      <c r="X45" s="122"/>
    </row>
    <row r="46" spans="1:25" x14ac:dyDescent="0.25">
      <c r="A46" s="20" t="s">
        <v>42</v>
      </c>
      <c r="B46" s="20" t="s">
        <v>43</v>
      </c>
      <c r="C46" s="68">
        <v>100000</v>
      </c>
      <c r="D46" s="68">
        <v>100000</v>
      </c>
      <c r="E46" s="143">
        <v>100000</v>
      </c>
      <c r="F46" s="68">
        <v>80000</v>
      </c>
      <c r="G46" s="96"/>
      <c r="H46" s="96">
        <v>31978</v>
      </c>
      <c r="I46" s="96">
        <v>47788</v>
      </c>
      <c r="J46" s="96">
        <v>64057</v>
      </c>
      <c r="K46" s="96"/>
      <c r="L46" s="593">
        <f t="shared" si="40"/>
        <v>0.31978000000000001</v>
      </c>
      <c r="M46" s="593">
        <f t="shared" si="41"/>
        <v>0.47788000000000003</v>
      </c>
      <c r="N46" s="593">
        <f t="shared" si="42"/>
        <v>0.64056999999999997</v>
      </c>
      <c r="O46" s="120"/>
      <c r="P46" s="81">
        <f t="shared" si="43"/>
        <v>0</v>
      </c>
      <c r="Q46" s="81">
        <f t="shared" si="44"/>
        <v>0</v>
      </c>
      <c r="R46" s="81">
        <f t="shared" si="45"/>
        <v>0</v>
      </c>
      <c r="S46" s="81">
        <f t="shared" si="46"/>
        <v>0</v>
      </c>
      <c r="T46" s="85">
        <f t="shared" si="47"/>
        <v>0</v>
      </c>
      <c r="U46" s="120"/>
      <c r="V46" s="195">
        <f t="shared" si="22"/>
        <v>0</v>
      </c>
      <c r="W46" s="122"/>
      <c r="X46" s="122"/>
    </row>
    <row r="47" spans="1:25" ht="15.75" customHeight="1" x14ac:dyDescent="0.25">
      <c r="A47" s="20"/>
      <c r="B47" s="20" t="s">
        <v>44</v>
      </c>
      <c r="C47" s="68"/>
      <c r="D47" s="68"/>
      <c r="E47" s="68"/>
      <c r="F47" s="68"/>
      <c r="G47" s="96"/>
      <c r="H47" s="96"/>
      <c r="I47" s="96"/>
      <c r="J47" s="96"/>
      <c r="K47" s="96"/>
      <c r="L47" s="589">
        <f t="shared" si="40"/>
        <v>0</v>
      </c>
      <c r="M47" s="589">
        <f t="shared" si="41"/>
        <v>0</v>
      </c>
      <c r="N47" s="589">
        <f t="shared" si="42"/>
        <v>0</v>
      </c>
      <c r="O47" s="119"/>
      <c r="P47" s="81">
        <f t="shared" si="43"/>
        <v>0</v>
      </c>
      <c r="Q47" s="81">
        <f t="shared" si="44"/>
        <v>0</v>
      </c>
      <c r="R47" s="81">
        <f t="shared" si="45"/>
        <v>0</v>
      </c>
      <c r="S47" s="81">
        <f t="shared" si="46"/>
        <v>0</v>
      </c>
      <c r="T47" s="85">
        <f t="shared" si="47"/>
        <v>0</v>
      </c>
      <c r="U47" s="119"/>
      <c r="V47" s="195">
        <f t="shared" si="22"/>
        <v>0</v>
      </c>
      <c r="W47" s="122"/>
      <c r="X47" s="122"/>
    </row>
    <row r="48" spans="1:25" s="42" customFormat="1" x14ac:dyDescent="0.25">
      <c r="A48" s="39" t="s">
        <v>45</v>
      </c>
      <c r="B48" s="39" t="s">
        <v>46</v>
      </c>
      <c r="C48" s="95">
        <f>SUM(C49:C65)</f>
        <v>7140000</v>
      </c>
      <c r="D48" s="95">
        <f t="shared" ref="D48:F48" si="54">SUM(D49:D65)</f>
        <v>6771200</v>
      </c>
      <c r="E48" s="95">
        <f t="shared" si="54"/>
        <v>6795900</v>
      </c>
      <c r="F48" s="95">
        <f t="shared" si="54"/>
        <v>6576954</v>
      </c>
      <c r="G48" s="95"/>
      <c r="H48" s="95">
        <f t="shared" ref="H48" si="55">SUM(H49:H65)</f>
        <v>2751857</v>
      </c>
      <c r="I48" s="95">
        <f t="shared" ref="I48" si="56">SUM(I49:I65)</f>
        <v>4363375</v>
      </c>
      <c r="J48" s="95">
        <f t="shared" ref="J48" si="57">SUM(J49:J65)</f>
        <v>5981658</v>
      </c>
      <c r="K48" s="95"/>
      <c r="L48" s="594">
        <f t="shared" si="40"/>
        <v>0.38541414565826332</v>
      </c>
      <c r="M48" s="594">
        <f t="shared" si="41"/>
        <v>0.64440202622873344</v>
      </c>
      <c r="N48" s="594">
        <f t="shared" si="42"/>
        <v>0.88018628879177152</v>
      </c>
      <c r="O48" s="121"/>
      <c r="P48" s="81">
        <f t="shared" si="43"/>
        <v>-368800</v>
      </c>
      <c r="Q48" s="81">
        <f t="shared" si="44"/>
        <v>24700</v>
      </c>
      <c r="R48" s="81">
        <f t="shared" si="45"/>
        <v>0</v>
      </c>
      <c r="S48" s="81">
        <f t="shared" si="46"/>
        <v>-344100</v>
      </c>
      <c r="T48" s="85">
        <f t="shared" si="47"/>
        <v>-4.8193277310924369E-2</v>
      </c>
      <c r="U48" s="121"/>
      <c r="V48" s="195">
        <f t="shared" si="22"/>
        <v>0</v>
      </c>
      <c r="W48" s="129"/>
      <c r="X48" s="129"/>
    </row>
    <row r="49" spans="1:25" x14ac:dyDescent="0.25">
      <c r="A49" s="20" t="s">
        <v>47</v>
      </c>
      <c r="B49" s="561" t="s">
        <v>48</v>
      </c>
      <c r="C49" s="68">
        <v>900000</v>
      </c>
      <c r="D49" s="68">
        <v>900000</v>
      </c>
      <c r="E49" s="68">
        <v>900000</v>
      </c>
      <c r="F49" s="68">
        <v>661054</v>
      </c>
      <c r="G49" s="96"/>
      <c r="H49" s="96">
        <v>200599</v>
      </c>
      <c r="I49" s="96">
        <v>361459</v>
      </c>
      <c r="J49" s="96">
        <v>467518</v>
      </c>
      <c r="K49" s="96"/>
      <c r="L49" s="593">
        <f t="shared" si="40"/>
        <v>0.22288777777777777</v>
      </c>
      <c r="M49" s="593">
        <f t="shared" si="41"/>
        <v>0.4016211111111111</v>
      </c>
      <c r="N49" s="593">
        <f t="shared" si="42"/>
        <v>0.5194644444444444</v>
      </c>
      <c r="O49" s="120"/>
      <c r="P49" s="81">
        <f t="shared" si="43"/>
        <v>0</v>
      </c>
      <c r="Q49" s="81">
        <f t="shared" si="44"/>
        <v>0</v>
      </c>
      <c r="R49" s="81">
        <f t="shared" si="45"/>
        <v>0</v>
      </c>
      <c r="S49" s="81">
        <f t="shared" si="46"/>
        <v>0</v>
      </c>
      <c r="T49" s="85">
        <f t="shared" si="47"/>
        <v>0</v>
      </c>
      <c r="U49" s="120"/>
      <c r="V49" s="195">
        <f t="shared" si="22"/>
        <v>0</v>
      </c>
      <c r="W49" s="122"/>
      <c r="X49" s="122"/>
    </row>
    <row r="50" spans="1:25" x14ac:dyDescent="0.25">
      <c r="A50" s="20" t="s">
        <v>101</v>
      </c>
      <c r="B50" s="20" t="s">
        <v>95</v>
      </c>
      <c r="C50" s="68"/>
      <c r="D50" s="68"/>
      <c r="E50" s="68"/>
      <c r="F50" s="68"/>
      <c r="G50" s="96"/>
      <c r="H50" s="96"/>
      <c r="I50" s="96"/>
      <c r="J50" s="96"/>
      <c r="K50" s="96"/>
      <c r="L50" s="589">
        <f t="shared" si="40"/>
        <v>0</v>
      </c>
      <c r="M50" s="589">
        <f t="shared" si="41"/>
        <v>0</v>
      </c>
      <c r="N50" s="589">
        <f t="shared" si="42"/>
        <v>0</v>
      </c>
      <c r="O50" s="119"/>
      <c r="P50" s="81">
        <f t="shared" si="43"/>
        <v>0</v>
      </c>
      <c r="Q50" s="81">
        <f t="shared" si="44"/>
        <v>0</v>
      </c>
      <c r="R50" s="81">
        <f t="shared" si="45"/>
        <v>0</v>
      </c>
      <c r="S50" s="81">
        <f t="shared" si="46"/>
        <v>0</v>
      </c>
      <c r="T50" s="85">
        <f t="shared" si="47"/>
        <v>0</v>
      </c>
      <c r="U50" s="119"/>
      <c r="V50" s="195">
        <f t="shared" si="22"/>
        <v>0</v>
      </c>
      <c r="W50" s="122"/>
      <c r="X50" s="122"/>
    </row>
    <row r="51" spans="1:25" x14ac:dyDescent="0.25">
      <c r="A51" s="20"/>
      <c r="B51" s="20" t="s">
        <v>96</v>
      </c>
      <c r="C51" s="68"/>
      <c r="D51" s="68"/>
      <c r="E51" s="68"/>
      <c r="F51" s="68"/>
      <c r="G51" s="96"/>
      <c r="H51" s="96"/>
      <c r="I51" s="96"/>
      <c r="J51" s="96"/>
      <c r="K51" s="96"/>
      <c r="L51" s="589">
        <f t="shared" si="40"/>
        <v>0</v>
      </c>
      <c r="M51" s="589">
        <f t="shared" si="41"/>
        <v>0</v>
      </c>
      <c r="N51" s="589">
        <f t="shared" si="42"/>
        <v>0</v>
      </c>
      <c r="O51" s="119"/>
      <c r="P51" s="81">
        <f t="shared" si="43"/>
        <v>0</v>
      </c>
      <c r="Q51" s="81">
        <f t="shared" si="44"/>
        <v>0</v>
      </c>
      <c r="R51" s="81">
        <f t="shared" si="45"/>
        <v>0</v>
      </c>
      <c r="S51" s="81">
        <f t="shared" si="46"/>
        <v>0</v>
      </c>
      <c r="T51" s="85">
        <f t="shared" si="47"/>
        <v>0</v>
      </c>
      <c r="U51" s="119"/>
      <c r="V51" s="195">
        <f t="shared" si="22"/>
        <v>0</v>
      </c>
      <c r="W51" s="122"/>
      <c r="X51" s="122"/>
    </row>
    <row r="52" spans="1:25" x14ac:dyDescent="0.25">
      <c r="A52" s="20"/>
      <c r="B52" s="20" t="s">
        <v>97</v>
      </c>
      <c r="C52" s="68"/>
      <c r="D52" s="68"/>
      <c r="E52" s="68"/>
      <c r="F52" s="68"/>
      <c r="G52" s="96"/>
      <c r="H52" s="96"/>
      <c r="I52" s="96"/>
      <c r="J52" s="96"/>
      <c r="K52" s="96"/>
      <c r="L52" s="589">
        <f t="shared" si="40"/>
        <v>0</v>
      </c>
      <c r="M52" s="589">
        <f t="shared" si="41"/>
        <v>0</v>
      </c>
      <c r="N52" s="589">
        <f t="shared" si="42"/>
        <v>0</v>
      </c>
      <c r="O52" s="119"/>
      <c r="P52" s="81">
        <f t="shared" si="43"/>
        <v>0</v>
      </c>
      <c r="Q52" s="81">
        <f t="shared" si="44"/>
        <v>0</v>
      </c>
      <c r="R52" s="81">
        <f t="shared" si="45"/>
        <v>0</v>
      </c>
      <c r="S52" s="81">
        <f t="shared" si="46"/>
        <v>0</v>
      </c>
      <c r="T52" s="85">
        <f t="shared" si="47"/>
        <v>0</v>
      </c>
      <c r="U52" s="119"/>
      <c r="V52" s="195">
        <f t="shared" si="22"/>
        <v>0</v>
      </c>
      <c r="W52" s="122"/>
      <c r="X52" s="122"/>
    </row>
    <row r="53" spans="1:25" x14ac:dyDescent="0.25">
      <c r="A53" s="20" t="s">
        <v>49</v>
      </c>
      <c r="B53" s="20" t="s">
        <v>50</v>
      </c>
      <c r="C53" s="68">
        <v>6000000</v>
      </c>
      <c r="D53" s="68">
        <v>5600000</v>
      </c>
      <c r="E53" s="143">
        <v>5600000</v>
      </c>
      <c r="F53" s="68">
        <v>5600000</v>
      </c>
      <c r="G53" s="96"/>
      <c r="H53" s="96">
        <v>2378737</v>
      </c>
      <c r="I53" s="96">
        <v>3775253</v>
      </c>
      <c r="J53" s="96">
        <v>5210797</v>
      </c>
      <c r="K53" s="96"/>
      <c r="L53" s="593">
        <f t="shared" si="40"/>
        <v>0.39645616666666667</v>
      </c>
      <c r="M53" s="593">
        <f t="shared" si="41"/>
        <v>0.6741523214285714</v>
      </c>
      <c r="N53" s="593">
        <f t="shared" si="42"/>
        <v>0.93049946428571428</v>
      </c>
      <c r="O53" s="120"/>
      <c r="P53" s="81">
        <f t="shared" si="43"/>
        <v>-400000</v>
      </c>
      <c r="Q53" s="81">
        <f t="shared" si="44"/>
        <v>0</v>
      </c>
      <c r="R53" s="81">
        <f t="shared" si="45"/>
        <v>0</v>
      </c>
      <c r="S53" s="81">
        <f t="shared" si="46"/>
        <v>-400000</v>
      </c>
      <c r="T53" s="85">
        <f t="shared" si="47"/>
        <v>-6.6666666666666666E-2</v>
      </c>
      <c r="U53" s="120"/>
      <c r="V53" s="195">
        <f t="shared" si="22"/>
        <v>0</v>
      </c>
      <c r="W53" s="122"/>
      <c r="X53" s="122"/>
    </row>
    <row r="54" spans="1:25" x14ac:dyDescent="0.25">
      <c r="A54" s="20"/>
      <c r="B54" s="20" t="s">
        <v>88</v>
      </c>
      <c r="C54" s="68"/>
      <c r="D54" s="68"/>
      <c r="E54" s="68"/>
      <c r="F54" s="68"/>
      <c r="G54" s="96"/>
      <c r="H54" s="96"/>
      <c r="I54" s="96"/>
      <c r="J54" s="96"/>
      <c r="K54" s="96"/>
      <c r="L54" s="589">
        <f t="shared" si="40"/>
        <v>0</v>
      </c>
      <c r="M54" s="589">
        <f t="shared" si="41"/>
        <v>0</v>
      </c>
      <c r="N54" s="589">
        <f t="shared" si="42"/>
        <v>0</v>
      </c>
      <c r="O54" s="119"/>
      <c r="P54" s="81">
        <f t="shared" si="43"/>
        <v>0</v>
      </c>
      <c r="Q54" s="81">
        <f t="shared" si="44"/>
        <v>0</v>
      </c>
      <c r="R54" s="81">
        <f t="shared" si="45"/>
        <v>0</v>
      </c>
      <c r="S54" s="81">
        <f t="shared" si="46"/>
        <v>0</v>
      </c>
      <c r="T54" s="85">
        <f t="shared" si="47"/>
        <v>0</v>
      </c>
      <c r="U54" s="119"/>
      <c r="V54" s="195">
        <f t="shared" si="22"/>
        <v>0</v>
      </c>
      <c r="W54" s="122"/>
      <c r="X54" s="122"/>
    </row>
    <row r="55" spans="1:25" x14ac:dyDescent="0.25">
      <c r="A55" s="20"/>
      <c r="B55" s="20" t="s">
        <v>51</v>
      </c>
      <c r="C55" s="68"/>
      <c r="D55" s="68"/>
      <c r="E55" s="68"/>
      <c r="F55" s="68"/>
      <c r="G55" s="96"/>
      <c r="H55" s="96"/>
      <c r="I55" s="96"/>
      <c r="J55" s="96"/>
      <c r="K55" s="96"/>
      <c r="L55" s="589">
        <f t="shared" si="40"/>
        <v>0</v>
      </c>
      <c r="M55" s="589">
        <f t="shared" si="41"/>
        <v>0</v>
      </c>
      <c r="N55" s="589">
        <f t="shared" si="42"/>
        <v>0</v>
      </c>
      <c r="O55" s="119"/>
      <c r="P55" s="81">
        <f t="shared" si="43"/>
        <v>0</v>
      </c>
      <c r="Q55" s="81">
        <f t="shared" si="44"/>
        <v>0</v>
      </c>
      <c r="R55" s="81">
        <f t="shared" si="45"/>
        <v>0</v>
      </c>
      <c r="S55" s="81">
        <f t="shared" si="46"/>
        <v>0</v>
      </c>
      <c r="T55" s="85">
        <f t="shared" si="47"/>
        <v>0</v>
      </c>
      <c r="U55" s="119"/>
      <c r="V55" s="195">
        <f t="shared" si="22"/>
        <v>0</v>
      </c>
      <c r="W55" s="122"/>
      <c r="X55" s="122"/>
    </row>
    <row r="56" spans="1:25" x14ac:dyDescent="0.25">
      <c r="A56" s="20" t="s">
        <v>52</v>
      </c>
      <c r="B56" s="20" t="s">
        <v>53</v>
      </c>
      <c r="C56" s="68"/>
      <c r="D56" s="68"/>
      <c r="E56" s="68"/>
      <c r="F56" s="68"/>
      <c r="G56" s="96"/>
      <c r="H56" s="96"/>
      <c r="I56" s="96"/>
      <c r="J56" s="96"/>
      <c r="K56" s="96"/>
      <c r="L56" s="589">
        <f t="shared" si="40"/>
        <v>0</v>
      </c>
      <c r="M56" s="589">
        <f t="shared" si="41"/>
        <v>0</v>
      </c>
      <c r="N56" s="589">
        <f t="shared" si="42"/>
        <v>0</v>
      </c>
      <c r="O56" s="119"/>
      <c r="P56" s="81">
        <f t="shared" si="43"/>
        <v>0</v>
      </c>
      <c r="Q56" s="81">
        <f t="shared" si="44"/>
        <v>0</v>
      </c>
      <c r="R56" s="81">
        <f t="shared" si="45"/>
        <v>0</v>
      </c>
      <c r="S56" s="81">
        <f t="shared" si="46"/>
        <v>0</v>
      </c>
      <c r="T56" s="85">
        <f t="shared" si="47"/>
        <v>0</v>
      </c>
      <c r="U56" s="119"/>
      <c r="V56" s="195">
        <f t="shared" si="22"/>
        <v>0</v>
      </c>
      <c r="W56" s="122"/>
      <c r="X56" s="122"/>
    </row>
    <row r="57" spans="1:25" x14ac:dyDescent="0.25">
      <c r="A57" s="20"/>
      <c r="B57" s="20" t="s">
        <v>54</v>
      </c>
      <c r="C57" s="68"/>
      <c r="D57" s="68"/>
      <c r="E57" s="68"/>
      <c r="F57" s="68"/>
      <c r="G57" s="96"/>
      <c r="H57" s="96"/>
      <c r="I57" s="96"/>
      <c r="J57" s="96"/>
      <c r="K57" s="96"/>
      <c r="L57" s="589">
        <f t="shared" si="40"/>
        <v>0</v>
      </c>
      <c r="M57" s="589">
        <f t="shared" si="41"/>
        <v>0</v>
      </c>
      <c r="N57" s="589">
        <f t="shared" si="42"/>
        <v>0</v>
      </c>
      <c r="O57" s="119"/>
      <c r="P57" s="81">
        <f t="shared" si="43"/>
        <v>0</v>
      </c>
      <c r="Q57" s="81">
        <f t="shared" si="44"/>
        <v>0</v>
      </c>
      <c r="R57" s="81">
        <f t="shared" si="45"/>
        <v>0</v>
      </c>
      <c r="S57" s="81">
        <f t="shared" si="46"/>
        <v>0</v>
      </c>
      <c r="T57" s="85">
        <f t="shared" si="47"/>
        <v>0</v>
      </c>
      <c r="U57" s="119"/>
      <c r="V57" s="195">
        <f t="shared" si="22"/>
        <v>0</v>
      </c>
      <c r="W57" s="122"/>
      <c r="X57" s="122"/>
    </row>
    <row r="58" spans="1:25" x14ac:dyDescent="0.25">
      <c r="A58" s="20" t="s">
        <v>55</v>
      </c>
      <c r="B58" s="20" t="s">
        <v>89</v>
      </c>
      <c r="C58" s="68">
        <v>40000</v>
      </c>
      <c r="D58" s="68">
        <v>40000</v>
      </c>
      <c r="E58" s="68">
        <v>0</v>
      </c>
      <c r="F58" s="68">
        <v>0</v>
      </c>
      <c r="G58" s="96"/>
      <c r="H58" s="96">
        <v>0</v>
      </c>
      <c r="I58" s="96">
        <v>0</v>
      </c>
      <c r="J58" s="96">
        <v>0</v>
      </c>
      <c r="K58" s="96"/>
      <c r="L58" s="593">
        <f t="shared" si="40"/>
        <v>0</v>
      </c>
      <c r="M58" s="593">
        <f t="shared" si="41"/>
        <v>0</v>
      </c>
      <c r="N58" s="593">
        <f t="shared" si="42"/>
        <v>0</v>
      </c>
      <c r="O58" s="120"/>
      <c r="P58" s="81">
        <f t="shared" si="43"/>
        <v>0</v>
      </c>
      <c r="Q58" s="81">
        <f t="shared" si="44"/>
        <v>-40000</v>
      </c>
      <c r="R58" s="81">
        <f t="shared" si="45"/>
        <v>0</v>
      </c>
      <c r="S58" s="81">
        <f t="shared" si="46"/>
        <v>-40000</v>
      </c>
      <c r="T58" s="85">
        <f t="shared" si="47"/>
        <v>-1</v>
      </c>
      <c r="U58" s="120"/>
      <c r="V58" s="195">
        <f t="shared" si="22"/>
        <v>0</v>
      </c>
      <c r="W58" s="122"/>
      <c r="X58" s="122"/>
    </row>
    <row r="59" spans="1:25" x14ac:dyDescent="0.25">
      <c r="A59" s="20"/>
      <c r="B59" s="20" t="s">
        <v>56</v>
      </c>
      <c r="C59" s="68"/>
      <c r="D59" s="68"/>
      <c r="E59" s="68"/>
      <c r="F59" s="68"/>
      <c r="G59" s="96"/>
      <c r="H59" s="96"/>
      <c r="I59" s="96"/>
      <c r="J59" s="96"/>
      <c r="K59" s="96"/>
      <c r="L59" s="589">
        <f t="shared" si="40"/>
        <v>0</v>
      </c>
      <c r="M59" s="589">
        <f t="shared" si="41"/>
        <v>0</v>
      </c>
      <c r="N59" s="589">
        <f t="shared" si="42"/>
        <v>0</v>
      </c>
      <c r="O59" s="119"/>
      <c r="P59" s="81">
        <f t="shared" si="43"/>
        <v>0</v>
      </c>
      <c r="Q59" s="81">
        <f t="shared" si="44"/>
        <v>0</v>
      </c>
      <c r="R59" s="81">
        <f t="shared" si="45"/>
        <v>0</v>
      </c>
      <c r="S59" s="81">
        <f t="shared" si="46"/>
        <v>0</v>
      </c>
      <c r="T59" s="85">
        <f t="shared" si="47"/>
        <v>0</v>
      </c>
      <c r="U59" s="119"/>
      <c r="V59" s="195">
        <f t="shared" si="22"/>
        <v>0</v>
      </c>
      <c r="W59" s="122"/>
      <c r="X59" s="122"/>
    </row>
    <row r="60" spans="1:25" x14ac:dyDescent="0.25">
      <c r="A60" s="20" t="s">
        <v>57</v>
      </c>
      <c r="B60" s="20" t="s">
        <v>58</v>
      </c>
      <c r="C60" s="68"/>
      <c r="D60" s="68"/>
      <c r="E60" s="68"/>
      <c r="F60" s="68"/>
      <c r="G60" s="96"/>
      <c r="H60" s="96"/>
      <c r="I60" s="96"/>
      <c r="J60" s="96"/>
      <c r="K60" s="96"/>
      <c r="L60" s="589">
        <f t="shared" si="40"/>
        <v>0</v>
      </c>
      <c r="M60" s="589">
        <f t="shared" si="41"/>
        <v>0</v>
      </c>
      <c r="N60" s="589">
        <f t="shared" si="42"/>
        <v>0</v>
      </c>
      <c r="O60" s="119"/>
      <c r="P60" s="81">
        <f t="shared" si="43"/>
        <v>0</v>
      </c>
      <c r="Q60" s="81">
        <f t="shared" si="44"/>
        <v>0</v>
      </c>
      <c r="R60" s="81">
        <f t="shared" si="45"/>
        <v>0</v>
      </c>
      <c r="S60" s="81">
        <f t="shared" si="46"/>
        <v>0</v>
      </c>
      <c r="T60" s="85">
        <f t="shared" si="47"/>
        <v>0</v>
      </c>
      <c r="U60" s="119"/>
      <c r="V60" s="195">
        <f t="shared" si="22"/>
        <v>0</v>
      </c>
      <c r="W60" s="122"/>
      <c r="X60" s="122"/>
    </row>
    <row r="61" spans="1:25" ht="26.4" x14ac:dyDescent="0.25">
      <c r="A61" s="20"/>
      <c r="B61" s="20" t="s">
        <v>59</v>
      </c>
      <c r="C61" s="68"/>
      <c r="D61" s="68"/>
      <c r="E61" s="68"/>
      <c r="F61" s="68"/>
      <c r="G61" s="96"/>
      <c r="H61" s="96"/>
      <c r="I61" s="96"/>
      <c r="J61" s="96"/>
      <c r="K61" s="96"/>
      <c r="L61" s="589">
        <f t="shared" si="40"/>
        <v>0</v>
      </c>
      <c r="M61" s="589">
        <f t="shared" si="41"/>
        <v>0</v>
      </c>
      <c r="N61" s="589">
        <f t="shared" si="42"/>
        <v>0</v>
      </c>
      <c r="O61" s="119"/>
      <c r="P61" s="81">
        <f t="shared" si="43"/>
        <v>0</v>
      </c>
      <c r="Q61" s="81">
        <f t="shared" si="44"/>
        <v>0</v>
      </c>
      <c r="R61" s="81">
        <f t="shared" si="45"/>
        <v>0</v>
      </c>
      <c r="S61" s="81">
        <f t="shared" si="46"/>
        <v>0</v>
      </c>
      <c r="T61" s="85">
        <f t="shared" si="47"/>
        <v>0</v>
      </c>
      <c r="U61" s="119"/>
      <c r="V61" s="195">
        <f t="shared" si="22"/>
        <v>0</v>
      </c>
      <c r="W61" s="122"/>
      <c r="X61" s="122"/>
    </row>
    <row r="62" spans="1:25" x14ac:dyDescent="0.25">
      <c r="A62" s="20" t="s">
        <v>60</v>
      </c>
      <c r="B62" s="20" t="s">
        <v>61</v>
      </c>
      <c r="C62" s="68">
        <v>0</v>
      </c>
      <c r="D62" s="68">
        <v>31200</v>
      </c>
      <c r="E62" s="68">
        <v>35900</v>
      </c>
      <c r="F62" s="68">
        <v>35900</v>
      </c>
      <c r="G62" s="96"/>
      <c r="H62" s="96">
        <v>31200</v>
      </c>
      <c r="I62" s="96">
        <v>35900</v>
      </c>
      <c r="J62" s="96">
        <v>35900</v>
      </c>
      <c r="K62" s="96"/>
      <c r="L62" s="593" t="e">
        <f t="shared" si="40"/>
        <v>#DIV/0!</v>
      </c>
      <c r="M62" s="593">
        <f t="shared" si="41"/>
        <v>1.1506410256410255</v>
      </c>
      <c r="N62" s="593">
        <f t="shared" si="42"/>
        <v>1</v>
      </c>
      <c r="O62" s="120"/>
      <c r="P62" s="81">
        <f t="shared" si="43"/>
        <v>31200</v>
      </c>
      <c r="Q62" s="81">
        <f t="shared" si="44"/>
        <v>4700</v>
      </c>
      <c r="R62" s="81">
        <f t="shared" si="45"/>
        <v>0</v>
      </c>
      <c r="S62" s="81">
        <f t="shared" si="46"/>
        <v>35900</v>
      </c>
      <c r="T62" s="85">
        <f t="shared" si="47"/>
        <v>0</v>
      </c>
      <c r="U62" s="120"/>
      <c r="V62" s="195">
        <f t="shared" si="22"/>
        <v>0</v>
      </c>
      <c r="W62" s="122"/>
      <c r="X62" s="122"/>
    </row>
    <row r="63" spans="1:25" ht="40.35" customHeight="1" x14ac:dyDescent="0.25">
      <c r="A63" s="20"/>
      <c r="B63" s="20" t="s">
        <v>100</v>
      </c>
      <c r="C63" s="68"/>
      <c r="D63" s="68"/>
      <c r="E63" s="68"/>
      <c r="F63" s="68"/>
      <c r="G63" s="96"/>
      <c r="H63" s="96"/>
      <c r="I63" s="96"/>
      <c r="J63" s="96"/>
      <c r="K63" s="96"/>
      <c r="L63" s="589">
        <f t="shared" si="40"/>
        <v>0</v>
      </c>
      <c r="M63" s="589">
        <f t="shared" si="41"/>
        <v>0</v>
      </c>
      <c r="N63" s="589">
        <f t="shared" si="42"/>
        <v>0</v>
      </c>
      <c r="O63" s="119"/>
      <c r="P63" s="81">
        <f t="shared" si="43"/>
        <v>0</v>
      </c>
      <c r="Q63" s="81">
        <f t="shared" si="44"/>
        <v>0</v>
      </c>
      <c r="R63" s="81">
        <f t="shared" si="45"/>
        <v>0</v>
      </c>
      <c r="S63" s="81">
        <f t="shared" si="46"/>
        <v>0</v>
      </c>
      <c r="T63" s="85">
        <f t="shared" si="47"/>
        <v>0</v>
      </c>
      <c r="U63" s="119"/>
      <c r="V63" s="195">
        <f t="shared" si="22"/>
        <v>0</v>
      </c>
      <c r="W63" s="122"/>
      <c r="X63" s="122"/>
      <c r="Y63" s="2"/>
    </row>
    <row r="64" spans="1:25" x14ac:dyDescent="0.25">
      <c r="A64" s="20" t="s">
        <v>62</v>
      </c>
      <c r="B64" s="20" t="s">
        <v>63</v>
      </c>
      <c r="C64" s="68">
        <v>200000</v>
      </c>
      <c r="D64" s="68">
        <v>200000</v>
      </c>
      <c r="E64" s="143">
        <v>260000</v>
      </c>
      <c r="F64" s="68">
        <v>280000</v>
      </c>
      <c r="G64" s="96"/>
      <c r="H64" s="96">
        <v>141321</v>
      </c>
      <c r="I64" s="96">
        <v>190763</v>
      </c>
      <c r="J64" s="96">
        <v>267443</v>
      </c>
      <c r="K64" s="96"/>
      <c r="L64" s="593">
        <f t="shared" ref="L64:L89" si="58">IF(H64&gt;0,H64/C64,0)</f>
        <v>0.70660500000000004</v>
      </c>
      <c r="M64" s="593">
        <f t="shared" ref="M64:M89" si="59">IF(I64&gt;0,I64/D64,0)</f>
        <v>0.95381499999999997</v>
      </c>
      <c r="N64" s="593">
        <f t="shared" ref="N64:N89" si="60">IF(J64&gt;0,J64/E64,0)</f>
        <v>1.0286269230769232</v>
      </c>
      <c r="O64" s="120"/>
      <c r="P64" s="81">
        <f t="shared" ref="P64:P89" si="61">+(D64-C64)*P$10</f>
        <v>0</v>
      </c>
      <c r="Q64" s="81">
        <f t="shared" ref="Q64:Q89" si="62">+(E64-D64)*Q$10</f>
        <v>60000</v>
      </c>
      <c r="R64" s="81">
        <f t="shared" ref="R64:R89" si="63">+(F64-E64)*R$10</f>
        <v>0</v>
      </c>
      <c r="S64" s="81">
        <f t="shared" si="46"/>
        <v>60000</v>
      </c>
      <c r="T64" s="85">
        <f t="shared" ref="T64:T89" si="64">IF(C64=0,0,+S64/C64)</f>
        <v>0.3</v>
      </c>
      <c r="U64" s="120"/>
      <c r="V64" s="195">
        <f t="shared" si="22"/>
        <v>0</v>
      </c>
      <c r="W64" s="122"/>
      <c r="X64" s="122"/>
      <c r="Y64" s="2"/>
    </row>
    <row r="65" spans="1:24" ht="39.6" x14ac:dyDescent="0.25">
      <c r="A65" s="20"/>
      <c r="B65" s="20" t="s">
        <v>64</v>
      </c>
      <c r="C65" s="68"/>
      <c r="D65" s="68"/>
      <c r="E65" s="68"/>
      <c r="F65" s="68"/>
      <c r="G65" s="96"/>
      <c r="H65" s="96"/>
      <c r="I65" s="96"/>
      <c r="J65" s="96"/>
      <c r="K65" s="96"/>
      <c r="L65" s="589">
        <f t="shared" si="58"/>
        <v>0</v>
      </c>
      <c r="M65" s="589">
        <f t="shared" si="59"/>
        <v>0</v>
      </c>
      <c r="N65" s="589">
        <f t="shared" si="60"/>
        <v>0</v>
      </c>
      <c r="O65" s="119"/>
      <c r="P65" s="81">
        <f t="shared" si="61"/>
        <v>0</v>
      </c>
      <c r="Q65" s="81">
        <f t="shared" si="62"/>
        <v>0</v>
      </c>
      <c r="R65" s="81">
        <f t="shared" si="63"/>
        <v>0</v>
      </c>
      <c r="S65" s="81">
        <f t="shared" si="46"/>
        <v>0</v>
      </c>
      <c r="T65" s="85">
        <f t="shared" si="64"/>
        <v>0</v>
      </c>
      <c r="U65" s="119"/>
      <c r="V65" s="195">
        <f t="shared" si="22"/>
        <v>0</v>
      </c>
      <c r="W65" s="122"/>
      <c r="X65" s="122"/>
    </row>
    <row r="66" spans="1:24" s="42" customFormat="1" x14ac:dyDescent="0.25">
      <c r="A66" s="39" t="s">
        <v>65</v>
      </c>
      <c r="B66" s="39" t="s">
        <v>66</v>
      </c>
      <c r="C66" s="95">
        <f>SUM(C67:C70)</f>
        <v>800000</v>
      </c>
      <c r="D66" s="95">
        <f t="shared" ref="D66:F66" si="65">SUM(D67:D70)</f>
        <v>750000</v>
      </c>
      <c r="E66" s="95">
        <f t="shared" si="65"/>
        <v>450000</v>
      </c>
      <c r="F66" s="95">
        <f t="shared" si="65"/>
        <v>600000</v>
      </c>
      <c r="G66" s="95"/>
      <c r="H66" s="95">
        <f t="shared" ref="H66" si="66">SUM(H67:H70)</f>
        <v>213365</v>
      </c>
      <c r="I66" s="95">
        <f t="shared" ref="I66" si="67">SUM(I67:I70)</f>
        <v>334180</v>
      </c>
      <c r="J66" s="95">
        <f t="shared" ref="J66" si="68">SUM(J67:J70)</f>
        <v>599922</v>
      </c>
      <c r="K66" s="95"/>
      <c r="L66" s="594">
        <f t="shared" si="58"/>
        <v>0.26670624999999998</v>
      </c>
      <c r="M66" s="594">
        <f t="shared" si="59"/>
        <v>0.44557333333333332</v>
      </c>
      <c r="N66" s="594">
        <f t="shared" si="60"/>
        <v>1.3331599999999999</v>
      </c>
      <c r="O66" s="121"/>
      <c r="P66" s="81">
        <f t="shared" si="61"/>
        <v>-50000</v>
      </c>
      <c r="Q66" s="81">
        <f t="shared" si="62"/>
        <v>-300000</v>
      </c>
      <c r="R66" s="81">
        <f t="shared" si="63"/>
        <v>0</v>
      </c>
      <c r="S66" s="81">
        <f t="shared" si="46"/>
        <v>-350000</v>
      </c>
      <c r="T66" s="85">
        <f t="shared" si="64"/>
        <v>-0.4375</v>
      </c>
      <c r="U66" s="121"/>
      <c r="V66" s="195">
        <f t="shared" si="22"/>
        <v>0</v>
      </c>
      <c r="W66" s="129"/>
      <c r="X66" s="129"/>
    </row>
    <row r="67" spans="1:24" x14ac:dyDescent="0.25">
      <c r="A67" s="20" t="s">
        <v>67</v>
      </c>
      <c r="B67" s="20" t="s">
        <v>68</v>
      </c>
      <c r="C67" s="68">
        <v>800000</v>
      </c>
      <c r="D67" s="68">
        <v>750000</v>
      </c>
      <c r="E67" s="68">
        <v>450000</v>
      </c>
      <c r="F67" s="68">
        <v>600000</v>
      </c>
      <c r="G67" s="96"/>
      <c r="H67" s="96">
        <v>213365</v>
      </c>
      <c r="I67" s="96">
        <v>334180</v>
      </c>
      <c r="J67" s="96">
        <v>599922</v>
      </c>
      <c r="K67" s="96"/>
      <c r="L67" s="593">
        <f t="shared" si="58"/>
        <v>0.26670624999999998</v>
      </c>
      <c r="M67" s="593">
        <f t="shared" si="59"/>
        <v>0.44557333333333332</v>
      </c>
      <c r="N67" s="593">
        <f t="shared" si="60"/>
        <v>1.3331599999999999</v>
      </c>
      <c r="O67" s="120"/>
      <c r="P67" s="81">
        <f t="shared" si="61"/>
        <v>-50000</v>
      </c>
      <c r="Q67" s="81">
        <f t="shared" si="62"/>
        <v>-300000</v>
      </c>
      <c r="R67" s="81">
        <f t="shared" si="63"/>
        <v>0</v>
      </c>
      <c r="S67" s="81">
        <f t="shared" si="46"/>
        <v>-350000</v>
      </c>
      <c r="T67" s="85">
        <f t="shared" si="64"/>
        <v>-0.4375</v>
      </c>
      <c r="U67" s="120"/>
      <c r="V67" s="195">
        <f t="shared" si="22"/>
        <v>0</v>
      </c>
      <c r="W67" s="122"/>
      <c r="X67" s="122"/>
    </row>
    <row r="68" spans="1:24" ht="39.6" x14ac:dyDescent="0.25">
      <c r="A68" s="20"/>
      <c r="B68" s="20" t="s">
        <v>69</v>
      </c>
      <c r="C68" s="68"/>
      <c r="D68" s="68"/>
      <c r="E68" s="68"/>
      <c r="F68" s="68"/>
      <c r="G68" s="96"/>
      <c r="H68" s="96"/>
      <c r="I68" s="96"/>
      <c r="J68" s="96"/>
      <c r="K68" s="96"/>
      <c r="L68" s="589">
        <f t="shared" si="58"/>
        <v>0</v>
      </c>
      <c r="M68" s="589">
        <f t="shared" si="59"/>
        <v>0</v>
      </c>
      <c r="N68" s="589">
        <f t="shared" si="60"/>
        <v>0</v>
      </c>
      <c r="O68" s="119"/>
      <c r="P68" s="81">
        <f t="shared" si="61"/>
        <v>0</v>
      </c>
      <c r="Q68" s="81">
        <f t="shared" si="62"/>
        <v>0</v>
      </c>
      <c r="R68" s="81">
        <f t="shared" si="63"/>
        <v>0</v>
      </c>
      <c r="S68" s="81">
        <f t="shared" si="46"/>
        <v>0</v>
      </c>
      <c r="T68" s="85">
        <f t="shared" si="64"/>
        <v>0</v>
      </c>
      <c r="U68" s="119"/>
      <c r="V68" s="195">
        <f t="shared" si="22"/>
        <v>0</v>
      </c>
      <c r="W68" s="122"/>
      <c r="X68" s="122"/>
    </row>
    <row r="69" spans="1:24" x14ac:dyDescent="0.25">
      <c r="A69" s="20" t="s">
        <v>70</v>
      </c>
      <c r="B69" s="20" t="s">
        <v>98</v>
      </c>
      <c r="C69" s="68"/>
      <c r="D69" s="68"/>
      <c r="E69" s="68"/>
      <c r="F69" s="68"/>
      <c r="G69" s="96"/>
      <c r="H69" s="96"/>
      <c r="I69" s="96"/>
      <c r="J69" s="96"/>
      <c r="K69" s="96"/>
      <c r="L69" s="589">
        <f t="shared" si="58"/>
        <v>0</v>
      </c>
      <c r="M69" s="589">
        <f t="shared" si="59"/>
        <v>0</v>
      </c>
      <c r="N69" s="589">
        <f t="shared" si="60"/>
        <v>0</v>
      </c>
      <c r="O69" s="119"/>
      <c r="P69" s="81">
        <f t="shared" si="61"/>
        <v>0</v>
      </c>
      <c r="Q69" s="81">
        <f t="shared" si="62"/>
        <v>0</v>
      </c>
      <c r="R69" s="81">
        <f t="shared" si="63"/>
        <v>0</v>
      </c>
      <c r="S69" s="81">
        <f t="shared" si="46"/>
        <v>0</v>
      </c>
      <c r="T69" s="85">
        <f t="shared" si="64"/>
        <v>0</v>
      </c>
      <c r="U69" s="119"/>
      <c r="V69" s="195">
        <f t="shared" si="22"/>
        <v>0</v>
      </c>
      <c r="W69" s="122"/>
      <c r="X69" s="122"/>
    </row>
    <row r="70" spans="1:24" ht="39.6" x14ac:dyDescent="0.25">
      <c r="A70" s="20"/>
      <c r="B70" s="20" t="s">
        <v>71</v>
      </c>
      <c r="C70" s="68"/>
      <c r="D70" s="68"/>
      <c r="E70" s="68"/>
      <c r="F70" s="68"/>
      <c r="G70" s="96"/>
      <c r="H70" s="96"/>
      <c r="I70" s="96"/>
      <c r="J70" s="96"/>
      <c r="K70" s="96"/>
      <c r="L70" s="589">
        <f t="shared" si="58"/>
        <v>0</v>
      </c>
      <c r="M70" s="589">
        <f t="shared" si="59"/>
        <v>0</v>
      </c>
      <c r="N70" s="589">
        <f t="shared" si="60"/>
        <v>0</v>
      </c>
      <c r="O70" s="119"/>
      <c r="P70" s="81">
        <f t="shared" si="61"/>
        <v>0</v>
      </c>
      <c r="Q70" s="81">
        <f t="shared" si="62"/>
        <v>0</v>
      </c>
      <c r="R70" s="81">
        <f t="shared" si="63"/>
        <v>0</v>
      </c>
      <c r="S70" s="81">
        <f t="shared" si="46"/>
        <v>0</v>
      </c>
      <c r="T70" s="85">
        <f t="shared" si="64"/>
        <v>0</v>
      </c>
      <c r="U70" s="119"/>
      <c r="V70" s="195">
        <f t="shared" si="22"/>
        <v>0</v>
      </c>
      <c r="W70" s="122"/>
      <c r="X70" s="122"/>
    </row>
    <row r="71" spans="1:24" s="42" customFormat="1" x14ac:dyDescent="0.25">
      <c r="A71" s="39" t="s">
        <v>72</v>
      </c>
      <c r="B71" s="39" t="s">
        <v>73</v>
      </c>
      <c r="C71" s="95">
        <f>SUM(C72:C81)</f>
        <v>2860000</v>
      </c>
      <c r="D71" s="95">
        <f t="shared" ref="D71:F71" si="69">SUM(D72:D81)</f>
        <v>3260000</v>
      </c>
      <c r="E71" s="95">
        <f t="shared" si="69"/>
        <v>3560000</v>
      </c>
      <c r="F71" s="95">
        <f t="shared" si="69"/>
        <v>3560000</v>
      </c>
      <c r="G71" s="95"/>
      <c r="H71" s="95">
        <f t="shared" ref="H71" si="70">SUM(H72:H81)</f>
        <v>1939184</v>
      </c>
      <c r="I71" s="95">
        <f t="shared" ref="I71" si="71">SUM(I72:I81)</f>
        <v>2620767</v>
      </c>
      <c r="J71" s="95">
        <f t="shared" ref="J71" si="72">SUM(J72:J81)</f>
        <v>3343242</v>
      </c>
      <c r="K71" s="95"/>
      <c r="L71" s="594">
        <f t="shared" si="58"/>
        <v>0.67803636363636366</v>
      </c>
      <c r="M71" s="594">
        <f t="shared" si="59"/>
        <v>0.80391625766871166</v>
      </c>
      <c r="N71" s="594">
        <f t="shared" si="60"/>
        <v>0.93911292134831459</v>
      </c>
      <c r="O71" s="121"/>
      <c r="P71" s="81">
        <f t="shared" si="61"/>
        <v>400000</v>
      </c>
      <c r="Q71" s="81">
        <f t="shared" si="62"/>
        <v>300000</v>
      </c>
      <c r="R71" s="81">
        <f t="shared" si="63"/>
        <v>0</v>
      </c>
      <c r="S71" s="81">
        <f t="shared" si="46"/>
        <v>700000</v>
      </c>
      <c r="T71" s="85">
        <f t="shared" si="64"/>
        <v>0.24475524475524477</v>
      </c>
      <c r="U71" s="121"/>
      <c r="V71" s="195">
        <f t="shared" si="22"/>
        <v>0</v>
      </c>
      <c r="W71" s="129"/>
      <c r="X71" s="129"/>
    </row>
    <row r="72" spans="1:24" x14ac:dyDescent="0.25">
      <c r="A72" s="20" t="s">
        <v>74</v>
      </c>
      <c r="B72" s="20" t="s">
        <v>75</v>
      </c>
      <c r="C72" s="68">
        <v>1900000</v>
      </c>
      <c r="D72" s="68">
        <v>1900000</v>
      </c>
      <c r="E72" s="143">
        <v>1900000</v>
      </c>
      <c r="F72" s="68">
        <v>1900000</v>
      </c>
      <c r="G72" s="96"/>
      <c r="H72" s="96">
        <v>782462</v>
      </c>
      <c r="I72" s="96">
        <v>1223588</v>
      </c>
      <c r="J72" s="96">
        <v>1704614</v>
      </c>
      <c r="K72" s="96"/>
      <c r="L72" s="593">
        <f t="shared" si="58"/>
        <v>0.41182210526315788</v>
      </c>
      <c r="M72" s="593">
        <f t="shared" si="59"/>
        <v>0.64399368421052627</v>
      </c>
      <c r="N72" s="593">
        <f t="shared" si="60"/>
        <v>0.89716526315789469</v>
      </c>
      <c r="O72" s="120"/>
      <c r="P72" s="81">
        <f t="shared" si="61"/>
        <v>0</v>
      </c>
      <c r="Q72" s="81">
        <f t="shared" si="62"/>
        <v>0</v>
      </c>
      <c r="R72" s="81">
        <f t="shared" si="63"/>
        <v>0</v>
      </c>
      <c r="S72" s="81">
        <f t="shared" si="46"/>
        <v>0</v>
      </c>
      <c r="T72" s="85">
        <f t="shared" si="64"/>
        <v>0</v>
      </c>
      <c r="U72" s="120"/>
      <c r="V72" s="195">
        <f t="shared" si="22"/>
        <v>0</v>
      </c>
      <c r="W72" s="122"/>
      <c r="X72" s="122"/>
    </row>
    <row r="73" spans="1:24" x14ac:dyDescent="0.25">
      <c r="A73" s="20"/>
      <c r="B73" s="20" t="s">
        <v>76</v>
      </c>
      <c r="C73" s="68"/>
      <c r="D73" s="68"/>
      <c r="E73" s="68"/>
      <c r="F73" s="68"/>
      <c r="G73" s="96"/>
      <c r="H73" s="96"/>
      <c r="I73" s="96"/>
      <c r="J73" s="96"/>
      <c r="K73" s="96"/>
      <c r="L73" s="589">
        <f t="shared" si="58"/>
        <v>0</v>
      </c>
      <c r="M73" s="589">
        <f t="shared" si="59"/>
        <v>0</v>
      </c>
      <c r="N73" s="589">
        <f t="shared" si="60"/>
        <v>0</v>
      </c>
      <c r="O73" s="119"/>
      <c r="P73" s="81">
        <f t="shared" si="61"/>
        <v>0</v>
      </c>
      <c r="Q73" s="81">
        <f t="shared" si="62"/>
        <v>0</v>
      </c>
      <c r="R73" s="81">
        <f t="shared" si="63"/>
        <v>0</v>
      </c>
      <c r="S73" s="81">
        <f t="shared" si="46"/>
        <v>0</v>
      </c>
      <c r="T73" s="85">
        <f t="shared" si="64"/>
        <v>0</v>
      </c>
      <c r="U73" s="119"/>
      <c r="V73" s="195">
        <f t="shared" si="22"/>
        <v>0</v>
      </c>
      <c r="W73" s="122"/>
      <c r="X73" s="122"/>
    </row>
    <row r="74" spans="1:24" x14ac:dyDescent="0.25">
      <c r="A74" s="20" t="s">
        <v>77</v>
      </c>
      <c r="B74" s="20" t="s">
        <v>78</v>
      </c>
      <c r="C74" s="68">
        <v>950000</v>
      </c>
      <c r="D74" s="68">
        <v>1350000</v>
      </c>
      <c r="E74" s="68">
        <v>1650000</v>
      </c>
      <c r="F74" s="68">
        <v>1650000</v>
      </c>
      <c r="G74" s="96"/>
      <c r="H74" s="96">
        <v>1155000</v>
      </c>
      <c r="I74" s="96">
        <v>1395000</v>
      </c>
      <c r="J74" s="96">
        <v>1635000</v>
      </c>
      <c r="K74" s="96"/>
      <c r="L74" s="593">
        <f t="shared" si="58"/>
        <v>1.2157894736842105</v>
      </c>
      <c r="M74" s="593">
        <f t="shared" si="59"/>
        <v>1.0333333333333334</v>
      </c>
      <c r="N74" s="593">
        <f t="shared" si="60"/>
        <v>0.99090909090909096</v>
      </c>
      <c r="O74" s="120"/>
      <c r="P74" s="81">
        <f t="shared" si="61"/>
        <v>400000</v>
      </c>
      <c r="Q74" s="81">
        <f t="shared" si="62"/>
        <v>300000</v>
      </c>
      <c r="R74" s="81">
        <f t="shared" si="63"/>
        <v>0</v>
      </c>
      <c r="S74" s="81">
        <f t="shared" si="46"/>
        <v>700000</v>
      </c>
      <c r="T74" s="85">
        <f t="shared" si="64"/>
        <v>0.73684210526315785</v>
      </c>
      <c r="U74" s="120"/>
      <c r="V74" s="195">
        <f t="shared" si="22"/>
        <v>0</v>
      </c>
      <c r="W74" s="122"/>
      <c r="X74" s="122"/>
    </row>
    <row r="75" spans="1:24" ht="26.4" x14ac:dyDescent="0.25">
      <c r="A75" s="20"/>
      <c r="B75" s="20" t="s">
        <v>99</v>
      </c>
      <c r="C75" s="68"/>
      <c r="D75" s="68"/>
      <c r="E75" s="68"/>
      <c r="F75" s="68"/>
      <c r="G75" s="96"/>
      <c r="H75" s="96"/>
      <c r="I75" s="96"/>
      <c r="J75" s="96"/>
      <c r="K75" s="96"/>
      <c r="L75" s="589">
        <f t="shared" si="58"/>
        <v>0</v>
      </c>
      <c r="M75" s="589">
        <f t="shared" si="59"/>
        <v>0</v>
      </c>
      <c r="N75" s="589">
        <f t="shared" si="60"/>
        <v>0</v>
      </c>
      <c r="O75" s="119"/>
      <c r="P75" s="81">
        <f t="shared" si="61"/>
        <v>0</v>
      </c>
      <c r="Q75" s="81">
        <f t="shared" si="62"/>
        <v>0</v>
      </c>
      <c r="R75" s="81">
        <f t="shared" si="63"/>
        <v>0</v>
      </c>
      <c r="S75" s="81">
        <f t="shared" si="46"/>
        <v>0</v>
      </c>
      <c r="T75" s="85">
        <f t="shared" si="64"/>
        <v>0</v>
      </c>
      <c r="U75" s="119"/>
      <c r="V75" s="195">
        <f t="shared" si="22"/>
        <v>0</v>
      </c>
      <c r="W75" s="122"/>
      <c r="X75" s="122"/>
    </row>
    <row r="76" spans="1:24" x14ac:dyDescent="0.25">
      <c r="A76" s="20" t="s">
        <v>79</v>
      </c>
      <c r="B76" s="20" t="s">
        <v>80</v>
      </c>
      <c r="C76" s="68"/>
      <c r="D76" s="68"/>
      <c r="E76" s="68"/>
      <c r="F76" s="68"/>
      <c r="G76" s="96"/>
      <c r="H76" s="96"/>
      <c r="I76" s="96"/>
      <c r="J76" s="96"/>
      <c r="K76" s="96"/>
      <c r="L76" s="589">
        <f t="shared" si="58"/>
        <v>0</v>
      </c>
      <c r="M76" s="589">
        <f t="shared" si="59"/>
        <v>0</v>
      </c>
      <c r="N76" s="589">
        <f t="shared" si="60"/>
        <v>0</v>
      </c>
      <c r="O76" s="119"/>
      <c r="P76" s="81">
        <f t="shared" si="61"/>
        <v>0</v>
      </c>
      <c r="Q76" s="81">
        <f t="shared" si="62"/>
        <v>0</v>
      </c>
      <c r="R76" s="81">
        <f t="shared" si="63"/>
        <v>0</v>
      </c>
      <c r="S76" s="81">
        <f t="shared" si="46"/>
        <v>0</v>
      </c>
      <c r="T76" s="85">
        <f t="shared" si="64"/>
        <v>0</v>
      </c>
      <c r="U76" s="119"/>
      <c r="V76" s="195">
        <f t="shared" si="22"/>
        <v>0</v>
      </c>
      <c r="W76" s="122"/>
      <c r="X76" s="122"/>
    </row>
    <row r="77" spans="1:24" ht="26.4" x14ac:dyDescent="0.25">
      <c r="A77" s="20"/>
      <c r="B77" s="20" t="s">
        <v>81</v>
      </c>
      <c r="C77" s="68"/>
      <c r="D77" s="68"/>
      <c r="E77" s="68"/>
      <c r="F77" s="68"/>
      <c r="G77" s="96"/>
      <c r="H77" s="96"/>
      <c r="I77" s="96"/>
      <c r="J77" s="96"/>
      <c r="K77" s="96"/>
      <c r="L77" s="589">
        <f t="shared" si="58"/>
        <v>0</v>
      </c>
      <c r="M77" s="589">
        <f t="shared" si="59"/>
        <v>0</v>
      </c>
      <c r="N77" s="589">
        <f t="shared" si="60"/>
        <v>0</v>
      </c>
      <c r="O77" s="119"/>
      <c r="P77" s="81">
        <f t="shared" si="61"/>
        <v>0</v>
      </c>
      <c r="Q77" s="81">
        <f t="shared" si="62"/>
        <v>0</v>
      </c>
      <c r="R77" s="81">
        <f t="shared" si="63"/>
        <v>0</v>
      </c>
      <c r="S77" s="81">
        <f t="shared" si="46"/>
        <v>0</v>
      </c>
      <c r="T77" s="85">
        <f t="shared" si="64"/>
        <v>0</v>
      </c>
      <c r="U77" s="119"/>
      <c r="V77" s="195">
        <f t="shared" ref="V77" si="73">+S77-E77+C77</f>
        <v>0</v>
      </c>
      <c r="W77" s="122"/>
      <c r="X77" s="122"/>
    </row>
    <row r="78" spans="1:24" x14ac:dyDescent="0.25">
      <c r="A78" s="20" t="s">
        <v>82</v>
      </c>
      <c r="B78" s="20" t="s">
        <v>83</v>
      </c>
      <c r="C78" s="68"/>
      <c r="D78" s="68"/>
      <c r="E78" s="68"/>
      <c r="F78" s="68"/>
      <c r="G78" s="96"/>
      <c r="H78" s="96"/>
      <c r="I78" s="96"/>
      <c r="J78" s="96"/>
      <c r="K78" s="96"/>
      <c r="L78" s="589">
        <f t="shared" si="58"/>
        <v>0</v>
      </c>
      <c r="M78" s="589">
        <f t="shared" si="59"/>
        <v>0</v>
      </c>
      <c r="N78" s="589">
        <f t="shared" si="60"/>
        <v>0</v>
      </c>
      <c r="O78" s="119"/>
      <c r="P78" s="81">
        <f t="shared" si="61"/>
        <v>0</v>
      </c>
      <c r="Q78" s="81">
        <f t="shared" si="62"/>
        <v>0</v>
      </c>
      <c r="R78" s="81">
        <f t="shared" si="63"/>
        <v>0</v>
      </c>
      <c r="S78" s="81">
        <f t="shared" si="46"/>
        <v>0</v>
      </c>
      <c r="T78" s="85">
        <f t="shared" si="64"/>
        <v>0</v>
      </c>
      <c r="U78" s="119"/>
      <c r="V78" s="195">
        <f t="shared" ref="V78:V95" si="74">+S78-E78+C78</f>
        <v>0</v>
      </c>
      <c r="W78" s="122"/>
      <c r="X78" s="122"/>
    </row>
    <row r="79" spans="1:24" x14ac:dyDescent="0.25">
      <c r="A79" s="20"/>
      <c r="B79" s="20" t="s">
        <v>84</v>
      </c>
      <c r="C79" s="68"/>
      <c r="D79" s="68"/>
      <c r="E79" s="68"/>
      <c r="F79" s="68"/>
      <c r="G79" s="96"/>
      <c r="H79" s="96"/>
      <c r="I79" s="96"/>
      <c r="J79" s="96"/>
      <c r="K79" s="96"/>
      <c r="L79" s="589">
        <f t="shared" si="58"/>
        <v>0</v>
      </c>
      <c r="M79" s="589">
        <f t="shared" si="59"/>
        <v>0</v>
      </c>
      <c r="N79" s="589">
        <f t="shared" si="60"/>
        <v>0</v>
      </c>
      <c r="O79" s="119"/>
      <c r="P79" s="81">
        <f t="shared" si="61"/>
        <v>0</v>
      </c>
      <c r="Q79" s="81">
        <f t="shared" si="62"/>
        <v>0</v>
      </c>
      <c r="R79" s="81">
        <f t="shared" si="63"/>
        <v>0</v>
      </c>
      <c r="S79" s="81">
        <f t="shared" si="46"/>
        <v>0</v>
      </c>
      <c r="T79" s="85">
        <f t="shared" si="64"/>
        <v>0</v>
      </c>
      <c r="U79" s="119"/>
      <c r="V79" s="195">
        <f t="shared" si="74"/>
        <v>0</v>
      </c>
      <c r="W79" s="122"/>
      <c r="X79" s="122"/>
    </row>
    <row r="80" spans="1:24" x14ac:dyDescent="0.25">
      <c r="A80" s="20" t="s">
        <v>85</v>
      </c>
      <c r="B80" s="20" t="s">
        <v>86</v>
      </c>
      <c r="C80" s="68">
        <v>10000</v>
      </c>
      <c r="D80" s="68">
        <v>10000</v>
      </c>
      <c r="E80" s="143">
        <v>10000</v>
      </c>
      <c r="F80" s="68">
        <v>10000</v>
      </c>
      <c r="G80" s="96"/>
      <c r="H80" s="96">
        <v>1722</v>
      </c>
      <c r="I80" s="96">
        <v>2179</v>
      </c>
      <c r="J80" s="96">
        <v>3628</v>
      </c>
      <c r="K80" s="96"/>
      <c r="L80" s="593">
        <f t="shared" si="58"/>
        <v>0.17219999999999999</v>
      </c>
      <c r="M80" s="593">
        <f t="shared" si="59"/>
        <v>0.21790000000000001</v>
      </c>
      <c r="N80" s="593">
        <f t="shared" si="60"/>
        <v>0.36280000000000001</v>
      </c>
      <c r="O80" s="120"/>
      <c r="P80" s="81">
        <f t="shared" si="61"/>
        <v>0</v>
      </c>
      <c r="Q80" s="81">
        <f t="shared" si="62"/>
        <v>0</v>
      </c>
      <c r="R80" s="81">
        <f t="shared" si="63"/>
        <v>0</v>
      </c>
      <c r="S80" s="81">
        <f t="shared" si="46"/>
        <v>0</v>
      </c>
      <c r="T80" s="85">
        <f t="shared" si="64"/>
        <v>0</v>
      </c>
      <c r="U80" s="120"/>
      <c r="V80" s="195">
        <f t="shared" si="74"/>
        <v>0</v>
      </c>
      <c r="W80" s="122"/>
      <c r="X80" s="122"/>
    </row>
    <row r="81" spans="1:26" ht="38.700000000000003" customHeight="1" x14ac:dyDescent="0.25">
      <c r="A81" s="20"/>
      <c r="B81" s="20" t="s">
        <v>90</v>
      </c>
      <c r="C81" s="68"/>
      <c r="D81" s="68"/>
      <c r="E81" s="68"/>
      <c r="F81" s="68"/>
      <c r="G81" s="96"/>
      <c r="H81" s="96"/>
      <c r="I81" s="96"/>
      <c r="J81" s="96"/>
      <c r="K81" s="96"/>
      <c r="L81" s="589">
        <f t="shared" si="58"/>
        <v>0</v>
      </c>
      <c r="M81" s="589">
        <f t="shared" si="59"/>
        <v>0</v>
      </c>
      <c r="N81" s="589">
        <f t="shared" si="60"/>
        <v>0</v>
      </c>
      <c r="O81" s="119"/>
      <c r="P81" s="81">
        <f t="shared" si="61"/>
        <v>0</v>
      </c>
      <c r="Q81" s="81">
        <f t="shared" si="62"/>
        <v>0</v>
      </c>
      <c r="R81" s="81">
        <f t="shared" si="63"/>
        <v>0</v>
      </c>
      <c r="S81" s="81">
        <f t="shared" si="46"/>
        <v>0</v>
      </c>
      <c r="T81" s="85">
        <f t="shared" si="64"/>
        <v>0</v>
      </c>
      <c r="U81" s="119"/>
      <c r="V81" s="195">
        <f t="shared" si="74"/>
        <v>0</v>
      </c>
      <c r="W81" s="122"/>
      <c r="X81" s="122"/>
      <c r="Y81" s="2"/>
    </row>
    <row r="82" spans="1:26" x14ac:dyDescent="0.25">
      <c r="A82" s="20"/>
      <c r="B82" s="14"/>
      <c r="C82" s="68"/>
      <c r="D82" s="93"/>
      <c r="E82" s="93"/>
      <c r="F82" s="93"/>
      <c r="G82" s="94"/>
      <c r="H82" s="94"/>
      <c r="I82" s="94"/>
      <c r="J82" s="94"/>
      <c r="K82" s="94"/>
      <c r="L82" s="589"/>
      <c r="M82" s="589"/>
      <c r="N82" s="589"/>
      <c r="O82" s="119"/>
      <c r="P82" s="81"/>
      <c r="Q82" s="81"/>
      <c r="R82" s="81"/>
      <c r="S82" s="81">
        <f t="shared" si="46"/>
        <v>0</v>
      </c>
      <c r="T82" s="85"/>
      <c r="U82" s="119"/>
      <c r="V82" s="195">
        <f t="shared" si="74"/>
        <v>0</v>
      </c>
      <c r="W82" s="122"/>
      <c r="X82" s="122"/>
    </row>
    <row r="83" spans="1:26" x14ac:dyDescent="0.25">
      <c r="A83" s="3" t="s">
        <v>154</v>
      </c>
      <c r="B83" s="3" t="s">
        <v>155</v>
      </c>
      <c r="C83" s="89">
        <f>SUM(C84:C85)</f>
        <v>120000</v>
      </c>
      <c r="D83" s="89">
        <f t="shared" ref="D83:F83" si="75">SUM(D84:D85)</f>
        <v>120000</v>
      </c>
      <c r="E83" s="89">
        <f t="shared" si="75"/>
        <v>120000</v>
      </c>
      <c r="F83" s="89">
        <f t="shared" si="75"/>
        <v>148946</v>
      </c>
      <c r="G83" s="90"/>
      <c r="H83" s="89">
        <f t="shared" ref="H83:J83" si="76">SUM(H84:H85)</f>
        <v>0</v>
      </c>
      <c r="I83" s="89">
        <f t="shared" si="76"/>
        <v>0</v>
      </c>
      <c r="J83" s="89">
        <f t="shared" si="76"/>
        <v>0</v>
      </c>
      <c r="K83" s="90"/>
      <c r="L83" s="590">
        <f t="shared" ref="L83:L84" si="77">IF(H83&gt;0,H83/C83,0)</f>
        <v>0</v>
      </c>
      <c r="M83" s="590">
        <f t="shared" ref="M83:M84" si="78">IF(I83&gt;0,I83/D83,0)</f>
        <v>0</v>
      </c>
      <c r="N83" s="590">
        <f t="shared" ref="N83:N84" si="79">IF(J83&gt;0,J83/E83,0)</f>
        <v>0</v>
      </c>
      <c r="O83" s="118"/>
      <c r="P83" s="90">
        <f t="shared" ref="P83:P84" si="80">+(D83-C83)*P$10</f>
        <v>0</v>
      </c>
      <c r="Q83" s="90">
        <f t="shared" ref="Q83:Q84" si="81">+(E83-D83)*Q$10</f>
        <v>0</v>
      </c>
      <c r="R83" s="90">
        <f t="shared" ref="R83:R84" si="82">+(F83-E83)*R$10</f>
        <v>0</v>
      </c>
      <c r="S83" s="90">
        <f t="shared" si="46"/>
        <v>0</v>
      </c>
      <c r="T83" s="202">
        <f>IF(C83=0,0,+S83/C83)</f>
        <v>0</v>
      </c>
      <c r="U83" s="118"/>
      <c r="V83" s="195">
        <f t="shared" ref="V83:V88" si="83">+S83-E83+C83</f>
        <v>0</v>
      </c>
      <c r="W83" s="122"/>
      <c r="X83" s="122"/>
      <c r="Y83" s="2"/>
      <c r="Z83" s="2"/>
    </row>
    <row r="84" spans="1:26" x14ac:dyDescent="0.25">
      <c r="A84" s="20"/>
      <c r="B84" s="20"/>
      <c r="C84" s="272">
        <f>80000+40000</f>
        <v>120000</v>
      </c>
      <c r="D84" s="272">
        <f>95000+25000</f>
        <v>120000</v>
      </c>
      <c r="E84" s="272">
        <v>120000</v>
      </c>
      <c r="F84" s="272">
        <f>117280+31666</f>
        <v>148946</v>
      </c>
      <c r="G84" s="301"/>
      <c r="H84" s="301">
        <v>0</v>
      </c>
      <c r="I84" s="301">
        <v>0</v>
      </c>
      <c r="J84" s="301"/>
      <c r="K84" s="94"/>
      <c r="L84" s="593">
        <f t="shared" si="77"/>
        <v>0</v>
      </c>
      <c r="M84" s="593">
        <f t="shared" si="78"/>
        <v>0</v>
      </c>
      <c r="N84" s="593">
        <f t="shared" si="79"/>
        <v>0</v>
      </c>
      <c r="O84" s="120"/>
      <c r="P84" s="81">
        <f t="shared" si="80"/>
        <v>0</v>
      </c>
      <c r="Q84" s="81">
        <f t="shared" si="81"/>
        <v>0</v>
      </c>
      <c r="R84" s="81">
        <f t="shared" si="82"/>
        <v>0</v>
      </c>
      <c r="S84" s="81">
        <f t="shared" si="46"/>
        <v>0</v>
      </c>
      <c r="T84" s="85">
        <f>IF(C84=0,0,+S84/C84)</f>
        <v>0</v>
      </c>
      <c r="U84" s="120"/>
      <c r="V84" s="195">
        <f t="shared" si="83"/>
        <v>0</v>
      </c>
      <c r="W84" s="122"/>
      <c r="X84" s="122"/>
      <c r="Y84" s="57"/>
    </row>
    <row r="85" spans="1:26" x14ac:dyDescent="0.25">
      <c r="A85" s="20"/>
      <c r="B85" s="14"/>
      <c r="C85" s="68"/>
      <c r="D85" s="93"/>
      <c r="E85" s="93"/>
      <c r="F85" s="93"/>
      <c r="G85" s="94"/>
      <c r="H85" s="94"/>
      <c r="I85" s="94"/>
      <c r="J85" s="94"/>
      <c r="K85" s="94"/>
      <c r="L85" s="589"/>
      <c r="M85" s="589"/>
      <c r="N85" s="589"/>
      <c r="O85" s="119"/>
      <c r="P85" s="81"/>
      <c r="Q85" s="81"/>
      <c r="R85" s="81"/>
      <c r="S85" s="81"/>
      <c r="T85" s="85"/>
      <c r="U85" s="119"/>
      <c r="V85" s="195">
        <f t="shared" si="83"/>
        <v>0</v>
      </c>
      <c r="W85" s="122"/>
      <c r="X85" s="122"/>
    </row>
    <row r="86" spans="1:26" x14ac:dyDescent="0.25">
      <c r="A86" s="3" t="s">
        <v>169</v>
      </c>
      <c r="B86" s="3" t="s">
        <v>170</v>
      </c>
      <c r="C86" s="89">
        <f>SUM(C87:C88)</f>
        <v>0</v>
      </c>
      <c r="D86" s="89">
        <f t="shared" ref="D86:F86" si="84">SUM(D87:D88)</f>
        <v>0</v>
      </c>
      <c r="E86" s="89">
        <f t="shared" si="84"/>
        <v>0</v>
      </c>
      <c r="F86" s="89">
        <f t="shared" si="84"/>
        <v>0</v>
      </c>
      <c r="G86" s="90"/>
      <c r="H86" s="89">
        <f t="shared" ref="H86:J86" si="85">SUM(H87:H88)</f>
        <v>0</v>
      </c>
      <c r="I86" s="89">
        <f t="shared" si="85"/>
        <v>0</v>
      </c>
      <c r="J86" s="89">
        <f t="shared" si="85"/>
        <v>0</v>
      </c>
      <c r="K86" s="90"/>
      <c r="L86" s="590">
        <f t="shared" ref="L86:L87" si="86">IF(H86&gt;0,H86/C86,0)</f>
        <v>0</v>
      </c>
      <c r="M86" s="590">
        <f t="shared" ref="M86:M87" si="87">IF(I86&gt;0,I86/D86,0)</f>
        <v>0</v>
      </c>
      <c r="N86" s="590">
        <f t="shared" ref="N86:N87" si="88">IF(J86&gt;0,J86/E86,0)</f>
        <v>0</v>
      </c>
      <c r="O86" s="118"/>
      <c r="P86" s="90">
        <f t="shared" ref="P86:P87" si="89">+(D86-C86)*P$10</f>
        <v>0</v>
      </c>
      <c r="Q86" s="90">
        <f t="shared" ref="Q86:Q87" si="90">+(E86-D86)*Q$10</f>
        <v>0</v>
      </c>
      <c r="R86" s="90">
        <f t="shared" ref="R86:R87" si="91">+(F86-E86)*R$10</f>
        <v>0</v>
      </c>
      <c r="S86" s="90">
        <f t="shared" ref="S86:S87" si="92">+P$10*P86+Q$10*Q86+R$10*R86</f>
        <v>0</v>
      </c>
      <c r="T86" s="202">
        <f>IF(C86=0,0,+S86/C86)</f>
        <v>0</v>
      </c>
      <c r="U86" s="118"/>
      <c r="V86" s="195">
        <f t="shared" si="83"/>
        <v>0</v>
      </c>
      <c r="W86" s="122"/>
      <c r="X86" s="122"/>
      <c r="Y86" s="2"/>
      <c r="Z86" s="2"/>
    </row>
    <row r="87" spans="1:26" x14ac:dyDescent="0.25">
      <c r="A87" s="20"/>
      <c r="B87" s="20"/>
      <c r="C87" s="272"/>
      <c r="D87" s="272"/>
      <c r="E87" s="272"/>
      <c r="F87" s="272"/>
      <c r="G87" s="301"/>
      <c r="H87" s="301"/>
      <c r="I87" s="301"/>
      <c r="J87" s="301"/>
      <c r="K87" s="94"/>
      <c r="L87" s="593">
        <f t="shared" si="86"/>
        <v>0</v>
      </c>
      <c r="M87" s="593">
        <f t="shared" si="87"/>
        <v>0</v>
      </c>
      <c r="N87" s="593">
        <f t="shared" si="88"/>
        <v>0</v>
      </c>
      <c r="O87" s="120"/>
      <c r="P87" s="81">
        <f t="shared" si="89"/>
        <v>0</v>
      </c>
      <c r="Q87" s="81">
        <f t="shared" si="90"/>
        <v>0</v>
      </c>
      <c r="R87" s="81">
        <f t="shared" si="91"/>
        <v>0</v>
      </c>
      <c r="S87" s="81">
        <f t="shared" si="92"/>
        <v>0</v>
      </c>
      <c r="T87" s="85">
        <f>IF(C87=0,0,+S87/C87)</f>
        <v>0</v>
      </c>
      <c r="U87" s="120"/>
      <c r="V87" s="195">
        <f t="shared" si="83"/>
        <v>0</v>
      </c>
      <c r="W87" s="122"/>
      <c r="X87" s="122"/>
      <c r="Y87" s="57"/>
    </row>
    <row r="88" spans="1:26" x14ac:dyDescent="0.25">
      <c r="A88" s="20"/>
      <c r="B88" s="14"/>
      <c r="C88" s="68"/>
      <c r="D88" s="93"/>
      <c r="E88" s="93"/>
      <c r="F88" s="93"/>
      <c r="G88" s="94"/>
      <c r="H88" s="94"/>
      <c r="I88" s="94"/>
      <c r="J88" s="94"/>
      <c r="K88" s="94"/>
      <c r="L88" s="589"/>
      <c r="M88" s="589"/>
      <c r="N88" s="589"/>
      <c r="O88" s="119"/>
      <c r="P88" s="81"/>
      <c r="Q88" s="81"/>
      <c r="R88" s="81"/>
      <c r="S88" s="81"/>
      <c r="T88" s="85"/>
      <c r="U88" s="119"/>
      <c r="V88" s="195">
        <f t="shared" si="83"/>
        <v>0</v>
      </c>
      <c r="W88" s="122"/>
      <c r="X88" s="122"/>
    </row>
    <row r="89" spans="1:26" x14ac:dyDescent="0.25">
      <c r="A89" s="3"/>
      <c r="B89" s="3" t="s">
        <v>371</v>
      </c>
      <c r="C89" s="89">
        <f>C13+C32+C29+C83+C86</f>
        <v>44846000</v>
      </c>
      <c r="D89" s="89">
        <f t="shared" ref="D89:J89" si="93">D13+D32+D29+D83+D86</f>
        <v>44846000</v>
      </c>
      <c r="E89" s="89">
        <f t="shared" si="93"/>
        <v>44846000</v>
      </c>
      <c r="F89" s="89">
        <f t="shared" si="93"/>
        <v>44846000</v>
      </c>
      <c r="G89" s="89"/>
      <c r="H89" s="89">
        <f t="shared" si="93"/>
        <v>21165820</v>
      </c>
      <c r="I89" s="89">
        <f t="shared" si="93"/>
        <v>31511847</v>
      </c>
      <c r="J89" s="89">
        <f t="shared" si="93"/>
        <v>42192661</v>
      </c>
      <c r="K89" s="90"/>
      <c r="L89" s="590">
        <f t="shared" si="58"/>
        <v>0.47196673058912725</v>
      </c>
      <c r="M89" s="590">
        <f t="shared" si="59"/>
        <v>0.70266795254872227</v>
      </c>
      <c r="N89" s="590">
        <f t="shared" si="60"/>
        <v>0.94083443339428263</v>
      </c>
      <c r="O89" s="118"/>
      <c r="P89" s="90">
        <f t="shared" si="61"/>
        <v>0</v>
      </c>
      <c r="Q89" s="90">
        <f t="shared" si="62"/>
        <v>0</v>
      </c>
      <c r="R89" s="90">
        <f t="shared" si="63"/>
        <v>0</v>
      </c>
      <c r="S89" s="90">
        <f>+P$10*P89+Q$10*Q89+R$10*R89</f>
        <v>0</v>
      </c>
      <c r="T89" s="202">
        <f t="shared" si="64"/>
        <v>0</v>
      </c>
      <c r="U89" s="118"/>
      <c r="V89" s="195">
        <f t="shared" si="74"/>
        <v>0</v>
      </c>
      <c r="W89" s="122"/>
      <c r="X89" s="122"/>
    </row>
    <row r="90" spans="1:26" ht="10.35" customHeight="1" x14ac:dyDescent="0.25"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597"/>
      <c r="M90" s="597"/>
      <c r="N90" s="597"/>
      <c r="O90" s="98"/>
      <c r="P90" s="98"/>
      <c r="Q90" s="98"/>
      <c r="R90" s="98"/>
      <c r="S90" s="98"/>
      <c r="T90" s="98"/>
      <c r="U90" s="22"/>
      <c r="V90" s="195">
        <f t="shared" si="74"/>
        <v>0</v>
      </c>
      <c r="W90" s="122"/>
      <c r="X90" s="122"/>
    </row>
    <row r="91" spans="1:26" ht="10.35" customHeight="1" x14ac:dyDescent="0.25">
      <c r="A91" s="466"/>
      <c r="B91" s="466"/>
      <c r="C91" s="467"/>
      <c r="D91" s="468"/>
      <c r="E91" s="468"/>
      <c r="F91" s="468"/>
      <c r="G91" s="468"/>
      <c r="H91" s="468"/>
      <c r="I91" s="468"/>
      <c r="J91" s="468"/>
      <c r="K91" s="468"/>
      <c r="L91" s="598"/>
      <c r="M91" s="598"/>
      <c r="N91" s="598"/>
      <c r="O91" s="468"/>
      <c r="P91" s="468"/>
      <c r="Q91" s="468"/>
      <c r="R91" s="468"/>
      <c r="S91" s="468"/>
      <c r="T91" s="468"/>
      <c r="U91" s="469"/>
      <c r="V91" s="470"/>
      <c r="W91" s="122"/>
      <c r="X91" s="122"/>
    </row>
    <row r="92" spans="1:26" ht="10.35" customHeight="1" x14ac:dyDescent="0.25"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597"/>
      <c r="M92" s="597"/>
      <c r="N92" s="597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6" s="42" customFormat="1" x14ac:dyDescent="0.25">
      <c r="A93" s="4" t="s">
        <v>237</v>
      </c>
      <c r="B93" s="3" t="s">
        <v>238</v>
      </c>
      <c r="C93" s="66">
        <f>SUM(C94:C94)</f>
        <v>0</v>
      </c>
      <c r="D93" s="66">
        <f>SUM(D94:D94)</f>
        <v>0</v>
      </c>
      <c r="E93" s="66">
        <f>SUM(E94:E94)</f>
        <v>0</v>
      </c>
      <c r="F93" s="66">
        <f>SUM(F94:F94)</f>
        <v>0</v>
      </c>
      <c r="G93" s="66"/>
      <c r="H93" s="66">
        <f>SUM(H94:H94)</f>
        <v>0</v>
      </c>
      <c r="I93" s="66">
        <f>SUM(I94:I94)</f>
        <v>0</v>
      </c>
      <c r="J93" s="66">
        <f>SUM(J94:J94)</f>
        <v>574197</v>
      </c>
      <c r="K93" s="66"/>
      <c r="L93" s="590">
        <f t="shared" ref="L93:L94" si="94">IF(H93&gt;0,H93/C93,0)</f>
        <v>0</v>
      </c>
      <c r="M93" s="590">
        <f t="shared" ref="M93:M94" si="95">IF(I93&gt;0,I93/D93,0)</f>
        <v>0</v>
      </c>
      <c r="N93" s="590" t="e">
        <f t="shared" ref="N93:N94" si="96">IF(J93&gt;0,J93/E93,0)</f>
        <v>#DIV/0!</v>
      </c>
      <c r="O93" s="31"/>
      <c r="P93" s="66">
        <f t="shared" ref="P93:P94" si="97">+(D93-C93)*P$10</f>
        <v>0</v>
      </c>
      <c r="Q93" s="66">
        <f t="shared" ref="Q93:Q94" si="98">+(E93-D93)*Q$10</f>
        <v>0</v>
      </c>
      <c r="R93" s="66">
        <f t="shared" ref="R93:R94" si="99">+(F93-E93)*R$10</f>
        <v>0</v>
      </c>
      <c r="S93" s="66">
        <f t="shared" ref="S93:S102" si="100">+P$10*P93+Q$10*Q93+R$10*R93</f>
        <v>0</v>
      </c>
      <c r="T93" s="201">
        <f t="shared" ref="T93:T94" si="101">IF(C93=0,0,+S93/C93)</f>
        <v>0</v>
      </c>
      <c r="U93" s="118"/>
      <c r="V93" s="195">
        <f t="shared" si="74"/>
        <v>0</v>
      </c>
      <c r="W93" s="129"/>
      <c r="X93" s="129"/>
    </row>
    <row r="94" spans="1:26" x14ac:dyDescent="0.25">
      <c r="A94" s="14"/>
      <c r="B94" s="20"/>
      <c r="C94" s="142"/>
      <c r="D94" s="142"/>
      <c r="E94" s="465"/>
      <c r="F94" s="71"/>
      <c r="G94" s="117"/>
      <c r="H94" s="96"/>
      <c r="I94" s="96"/>
      <c r="J94" s="96">
        <v>574197</v>
      </c>
      <c r="K94" s="117"/>
      <c r="L94" s="593">
        <f t="shared" si="94"/>
        <v>0</v>
      </c>
      <c r="M94" s="593">
        <f t="shared" si="95"/>
        <v>0</v>
      </c>
      <c r="N94" s="593" t="e">
        <f t="shared" si="96"/>
        <v>#DIV/0!</v>
      </c>
      <c r="O94" s="120"/>
      <c r="P94" s="81">
        <f t="shared" si="97"/>
        <v>0</v>
      </c>
      <c r="Q94" s="81">
        <f t="shared" si="98"/>
        <v>0</v>
      </c>
      <c r="R94" s="81">
        <f t="shared" si="99"/>
        <v>0</v>
      </c>
      <c r="S94" s="81">
        <f t="shared" si="100"/>
        <v>0</v>
      </c>
      <c r="T94" s="85">
        <f t="shared" si="101"/>
        <v>0</v>
      </c>
      <c r="U94" s="120"/>
      <c r="V94" s="195">
        <f>+S94-E94+C94</f>
        <v>0</v>
      </c>
      <c r="W94" s="122"/>
      <c r="X94" s="122"/>
    </row>
    <row r="95" spans="1:26" s="42" customFormat="1" x14ac:dyDescent="0.25">
      <c r="A95" s="4" t="s">
        <v>278</v>
      </c>
      <c r="B95" s="3" t="s">
        <v>279</v>
      </c>
      <c r="C95" s="66">
        <f>SUM(C96:C98)</f>
        <v>6305000</v>
      </c>
      <c r="D95" s="66">
        <f>SUM(D96:D98)</f>
        <v>6305000</v>
      </c>
      <c r="E95" s="66">
        <f>SUM(E96:E98)</f>
        <v>6305000</v>
      </c>
      <c r="F95" s="66">
        <f>SUM(F96:F98)</f>
        <v>6305000</v>
      </c>
      <c r="G95" s="66"/>
      <c r="H95" s="66">
        <f>SUM(H96:H98)</f>
        <v>3822258</v>
      </c>
      <c r="I95" s="66">
        <f>+I96+I97+I98</f>
        <v>5258763</v>
      </c>
      <c r="J95" s="66">
        <f>+J96+J97+J98</f>
        <v>7507799</v>
      </c>
      <c r="K95" s="66"/>
      <c r="L95" s="590">
        <f t="shared" ref="L95:N102" si="102">IF(H95&gt;0,H95/C95,0)</f>
        <v>0.60622648691514669</v>
      </c>
      <c r="M95" s="590">
        <f t="shared" si="102"/>
        <v>0.83406233148295006</v>
      </c>
      <c r="N95" s="590">
        <f t="shared" si="102"/>
        <v>1.1907690721649484</v>
      </c>
      <c r="O95" s="31"/>
      <c r="P95" s="66">
        <f t="shared" ref="P95:R102" si="103">+(D95-C95)*P$10</f>
        <v>0</v>
      </c>
      <c r="Q95" s="66">
        <f t="shared" si="103"/>
        <v>0</v>
      </c>
      <c r="R95" s="66">
        <f t="shared" si="103"/>
        <v>0</v>
      </c>
      <c r="S95" s="66">
        <f t="shared" si="100"/>
        <v>0</v>
      </c>
      <c r="T95" s="201">
        <f t="shared" ref="T95:T102" si="104">IF(C95=0,0,+S95/C95)</f>
        <v>0</v>
      </c>
      <c r="U95" s="118"/>
      <c r="V95" s="195">
        <f t="shared" si="74"/>
        <v>0</v>
      </c>
      <c r="W95" s="129"/>
      <c r="X95" s="129"/>
    </row>
    <row r="96" spans="1:26" x14ac:dyDescent="0.25">
      <c r="A96" s="14" t="s">
        <v>289</v>
      </c>
      <c r="B96" s="20" t="s">
        <v>290</v>
      </c>
      <c r="C96" s="71">
        <v>5400000</v>
      </c>
      <c r="D96" s="71">
        <v>5400000</v>
      </c>
      <c r="E96" s="465">
        <v>5400000</v>
      </c>
      <c r="F96" s="465">
        <v>5400000</v>
      </c>
      <c r="G96" s="117"/>
      <c r="H96" s="96">
        <v>3358946</v>
      </c>
      <c r="I96" s="96">
        <v>4612800</v>
      </c>
      <c r="J96" s="96">
        <v>6560127</v>
      </c>
      <c r="K96" s="117"/>
      <c r="L96" s="593">
        <f t="shared" si="102"/>
        <v>0.62202703703703699</v>
      </c>
      <c r="M96" s="593">
        <f t="shared" si="102"/>
        <v>0.85422222222222222</v>
      </c>
      <c r="N96" s="593">
        <f t="shared" si="102"/>
        <v>1.2148383333333332</v>
      </c>
      <c r="O96" s="120"/>
      <c r="P96" s="81">
        <f t="shared" si="103"/>
        <v>0</v>
      </c>
      <c r="Q96" s="81">
        <f t="shared" si="103"/>
        <v>0</v>
      </c>
      <c r="R96" s="81">
        <f t="shared" si="103"/>
        <v>0</v>
      </c>
      <c r="S96" s="81">
        <f t="shared" si="100"/>
        <v>0</v>
      </c>
      <c r="T96" s="85">
        <f t="shared" si="104"/>
        <v>0</v>
      </c>
      <c r="U96" s="120"/>
      <c r="V96" s="195">
        <f>+S96-E96+C96</f>
        <v>0</v>
      </c>
      <c r="W96" s="122"/>
      <c r="X96" s="122"/>
    </row>
    <row r="97" spans="1:24" x14ac:dyDescent="0.25">
      <c r="A97" s="14" t="s">
        <v>292</v>
      </c>
      <c r="B97" s="20" t="s">
        <v>293</v>
      </c>
      <c r="C97" s="71">
        <v>900000</v>
      </c>
      <c r="D97" s="71">
        <v>900000</v>
      </c>
      <c r="E97" s="142">
        <v>900000</v>
      </c>
      <c r="F97" s="142">
        <v>900000</v>
      </c>
      <c r="G97" s="117"/>
      <c r="H97" s="96">
        <v>461814</v>
      </c>
      <c r="I97" s="96">
        <v>643766</v>
      </c>
      <c r="J97" s="96">
        <v>945271</v>
      </c>
      <c r="K97" s="117"/>
      <c r="L97" s="593">
        <f t="shared" si="102"/>
        <v>0.51312666666666662</v>
      </c>
      <c r="M97" s="593">
        <f t="shared" si="102"/>
        <v>0.71529555555555557</v>
      </c>
      <c r="N97" s="593">
        <f t="shared" si="102"/>
        <v>1.0503011111111111</v>
      </c>
      <c r="O97" s="120"/>
      <c r="P97" s="81">
        <f t="shared" si="103"/>
        <v>0</v>
      </c>
      <c r="Q97" s="81">
        <f t="shared" si="103"/>
        <v>0</v>
      </c>
      <c r="R97" s="81">
        <f t="shared" si="103"/>
        <v>0</v>
      </c>
      <c r="S97" s="81">
        <f t="shared" si="100"/>
        <v>0</v>
      </c>
      <c r="T97" s="85">
        <f t="shared" si="104"/>
        <v>0</v>
      </c>
      <c r="U97" s="120"/>
      <c r="V97" s="195">
        <f t="shared" ref="V97:V99" si="105">+S97-E97+C97</f>
        <v>0</v>
      </c>
      <c r="W97" s="122"/>
      <c r="X97" s="122"/>
    </row>
    <row r="98" spans="1:24" x14ac:dyDescent="0.25">
      <c r="A98" s="529" t="s">
        <v>454</v>
      </c>
      <c r="B98" s="482" t="s">
        <v>453</v>
      </c>
      <c r="C98" s="71">
        <v>5000</v>
      </c>
      <c r="D98" s="71">
        <v>5000</v>
      </c>
      <c r="E98" s="142">
        <v>5000</v>
      </c>
      <c r="F98" s="142">
        <v>5000</v>
      </c>
      <c r="G98" s="117"/>
      <c r="H98" s="96">
        <f>91+1407</f>
        <v>1498</v>
      </c>
      <c r="I98" s="96">
        <f>136+2061</f>
        <v>2197</v>
      </c>
      <c r="J98" s="96">
        <f>165+2236</f>
        <v>2401</v>
      </c>
      <c r="K98" s="117"/>
      <c r="L98" s="593">
        <f t="shared" si="102"/>
        <v>0.29959999999999998</v>
      </c>
      <c r="M98" s="593">
        <f t="shared" si="102"/>
        <v>0.43940000000000001</v>
      </c>
      <c r="N98" s="593">
        <f t="shared" si="102"/>
        <v>0.48020000000000002</v>
      </c>
      <c r="O98" s="120"/>
      <c r="P98" s="81">
        <f t="shared" si="103"/>
        <v>0</v>
      </c>
      <c r="Q98" s="81">
        <f t="shared" si="103"/>
        <v>0</v>
      </c>
      <c r="R98" s="81">
        <f t="shared" si="103"/>
        <v>0</v>
      </c>
      <c r="S98" s="81">
        <f t="shared" si="100"/>
        <v>0</v>
      </c>
      <c r="T98" s="85">
        <f t="shared" si="104"/>
        <v>0</v>
      </c>
      <c r="U98" s="120"/>
      <c r="V98" s="195">
        <f t="shared" si="105"/>
        <v>0</v>
      </c>
      <c r="W98" s="122"/>
      <c r="X98" s="122"/>
    </row>
    <row r="99" spans="1:24" s="42" customFormat="1" x14ac:dyDescent="0.25">
      <c r="A99" s="4" t="s">
        <v>327</v>
      </c>
      <c r="B99" s="3" t="s">
        <v>328</v>
      </c>
      <c r="C99" s="66">
        <f>SUM(C100:C101)</f>
        <v>38541000</v>
      </c>
      <c r="D99" s="66">
        <f t="shared" ref="D99:F99" si="106">SUM(D100:D101)</f>
        <v>38541000</v>
      </c>
      <c r="E99" s="70">
        <f t="shared" si="106"/>
        <v>38541000</v>
      </c>
      <c r="F99" s="66">
        <f t="shared" si="106"/>
        <v>38541000</v>
      </c>
      <c r="G99" s="66"/>
      <c r="H99" s="66">
        <f t="shared" ref="H99" si="107">SUM(H100:H101)</f>
        <v>19975660</v>
      </c>
      <c r="I99" s="66">
        <f t="shared" ref="I99" si="108">SUM(I100:I101)</f>
        <v>27553076</v>
      </c>
      <c r="J99" s="66">
        <f t="shared" ref="J99" si="109">SUM(J100:J101)</f>
        <v>35988745</v>
      </c>
      <c r="K99" s="66"/>
      <c r="L99" s="590">
        <f t="shared" si="102"/>
        <v>0.51829635972081678</v>
      </c>
      <c r="M99" s="590">
        <f t="shared" si="102"/>
        <v>0.71490298643003558</v>
      </c>
      <c r="N99" s="590">
        <f t="shared" si="102"/>
        <v>0.93377818427129555</v>
      </c>
      <c r="O99" s="31"/>
      <c r="P99" s="66">
        <f t="shared" si="103"/>
        <v>0</v>
      </c>
      <c r="Q99" s="66">
        <f t="shared" si="103"/>
        <v>0</v>
      </c>
      <c r="R99" s="66">
        <f t="shared" si="103"/>
        <v>0</v>
      </c>
      <c r="S99" s="66">
        <f t="shared" si="100"/>
        <v>0</v>
      </c>
      <c r="T99" s="201">
        <f t="shared" si="104"/>
        <v>0</v>
      </c>
      <c r="U99" s="118"/>
      <c r="V99" s="195">
        <f t="shared" si="105"/>
        <v>0</v>
      </c>
      <c r="W99" s="129"/>
      <c r="X99" s="129"/>
    </row>
    <row r="100" spans="1:24" x14ac:dyDescent="0.25">
      <c r="A100" s="14" t="s">
        <v>353</v>
      </c>
      <c r="B100" s="20" t="s">
        <v>380</v>
      </c>
      <c r="C100" s="71">
        <f>+C105</f>
        <v>37908599</v>
      </c>
      <c r="D100" s="71">
        <v>37908599</v>
      </c>
      <c r="E100" s="71">
        <v>37908599</v>
      </c>
      <c r="F100" s="71">
        <v>37908599</v>
      </c>
      <c r="G100" s="117"/>
      <c r="H100" s="96">
        <v>19343259</v>
      </c>
      <c r="I100" s="96">
        <v>26920675</v>
      </c>
      <c r="J100" s="96">
        <v>35356344</v>
      </c>
      <c r="K100" s="117"/>
      <c r="L100" s="593">
        <f t="shared" si="102"/>
        <v>0.5102604556818362</v>
      </c>
      <c r="M100" s="593">
        <f t="shared" si="102"/>
        <v>0.71014692471225327</v>
      </c>
      <c r="N100" s="593">
        <f t="shared" si="102"/>
        <v>0.93267345490662945</v>
      </c>
      <c r="O100" s="120"/>
      <c r="P100" s="81">
        <f t="shared" si="103"/>
        <v>0</v>
      </c>
      <c r="Q100" s="81">
        <f t="shared" si="103"/>
        <v>0</v>
      </c>
      <c r="R100" s="81">
        <f t="shared" si="103"/>
        <v>0</v>
      </c>
      <c r="S100" s="81">
        <f t="shared" si="100"/>
        <v>0</v>
      </c>
      <c r="T100" s="85">
        <f t="shared" si="104"/>
        <v>0</v>
      </c>
      <c r="U100" s="120"/>
      <c r="V100" s="195">
        <f>+S100-E100+C100</f>
        <v>0</v>
      </c>
      <c r="W100" s="122"/>
      <c r="X100" s="122"/>
    </row>
    <row r="101" spans="1:24" ht="15.75" customHeight="1" x14ac:dyDescent="0.25">
      <c r="A101" s="14" t="s">
        <v>341</v>
      </c>
      <c r="B101" s="20" t="s">
        <v>342</v>
      </c>
      <c r="C101" s="144">
        <v>632401</v>
      </c>
      <c r="D101" s="144">
        <v>632401</v>
      </c>
      <c r="E101" s="144">
        <v>632401</v>
      </c>
      <c r="F101" s="68">
        <v>632401</v>
      </c>
      <c r="G101" s="96"/>
      <c r="H101" s="96">
        <v>632401</v>
      </c>
      <c r="I101" s="96">
        <v>632401</v>
      </c>
      <c r="J101" s="96">
        <v>632401</v>
      </c>
      <c r="K101" s="96"/>
      <c r="L101" s="589">
        <f t="shared" si="102"/>
        <v>1</v>
      </c>
      <c r="M101" s="589">
        <f t="shared" si="102"/>
        <v>1</v>
      </c>
      <c r="N101" s="589">
        <f t="shared" si="102"/>
        <v>1</v>
      </c>
      <c r="O101" s="119"/>
      <c r="P101" s="81">
        <f t="shared" si="103"/>
        <v>0</v>
      </c>
      <c r="Q101" s="81">
        <f t="shared" si="103"/>
        <v>0</v>
      </c>
      <c r="R101" s="81">
        <f t="shared" si="103"/>
        <v>0</v>
      </c>
      <c r="S101" s="81">
        <f t="shared" si="100"/>
        <v>0</v>
      </c>
      <c r="T101" s="85">
        <f t="shared" si="104"/>
        <v>0</v>
      </c>
      <c r="U101" s="119"/>
      <c r="V101" s="195">
        <f t="shared" ref="V101:V102" si="110">+S101-E101+C101</f>
        <v>0</v>
      </c>
      <c r="W101" s="122"/>
      <c r="X101" s="122"/>
    </row>
    <row r="102" spans="1:24" x14ac:dyDescent="0.25">
      <c r="A102" s="5"/>
      <c r="B102" s="5" t="s">
        <v>370</v>
      </c>
      <c r="C102" s="67">
        <f>+C95+C99+C93</f>
        <v>44846000</v>
      </c>
      <c r="D102" s="67">
        <f>+D95+D99+D93</f>
        <v>44846000</v>
      </c>
      <c r="E102" s="67">
        <f>+E95+E99+E93</f>
        <v>44846000</v>
      </c>
      <c r="F102" s="67">
        <f>+F95+F99+F93</f>
        <v>44846000</v>
      </c>
      <c r="G102" s="67"/>
      <c r="H102" s="67">
        <f>+H95+H99+H93</f>
        <v>23797918</v>
      </c>
      <c r="I102" s="67">
        <f>+I95+I99+I93</f>
        <v>32811839</v>
      </c>
      <c r="J102" s="67">
        <f>+J95+J99+J93</f>
        <v>44070741</v>
      </c>
      <c r="K102" s="67"/>
      <c r="L102" s="590">
        <f t="shared" si="102"/>
        <v>0.53065865406056278</v>
      </c>
      <c r="M102" s="590">
        <f t="shared" si="102"/>
        <v>0.73165586674396821</v>
      </c>
      <c r="N102" s="590">
        <f t="shared" si="102"/>
        <v>0.98271286179369399</v>
      </c>
      <c r="O102" s="31"/>
      <c r="P102" s="67">
        <f t="shared" si="103"/>
        <v>0</v>
      </c>
      <c r="Q102" s="67">
        <f t="shared" si="103"/>
        <v>0</v>
      </c>
      <c r="R102" s="67">
        <f t="shared" si="103"/>
        <v>0</v>
      </c>
      <c r="S102" s="67">
        <f t="shared" si="100"/>
        <v>0</v>
      </c>
      <c r="T102" s="85">
        <f t="shared" si="104"/>
        <v>0</v>
      </c>
      <c r="U102" s="118"/>
      <c r="V102" s="196">
        <f t="shared" si="110"/>
        <v>0</v>
      </c>
      <c r="W102" s="122"/>
      <c r="X102" s="122"/>
    </row>
    <row r="103" spans="1:24" x14ac:dyDescent="0.25">
      <c r="B103" s="25"/>
      <c r="C103" s="97"/>
      <c r="D103" s="98"/>
      <c r="E103" s="98"/>
      <c r="F103" s="98"/>
      <c r="G103" s="98"/>
      <c r="H103" s="98"/>
      <c r="I103" s="98"/>
      <c r="J103" s="98"/>
      <c r="K103" s="98"/>
      <c r="L103" s="600"/>
      <c r="M103" s="600"/>
      <c r="N103" s="600"/>
      <c r="P103" s="98"/>
      <c r="Q103" s="98"/>
      <c r="R103" s="98"/>
      <c r="S103" s="98"/>
      <c r="T103" s="98"/>
      <c r="W103" s="122"/>
      <c r="X103" s="122"/>
    </row>
    <row r="104" spans="1:24" x14ac:dyDescent="0.25">
      <c r="A104" s="56"/>
      <c r="B104" s="25"/>
      <c r="C104" s="97"/>
      <c r="D104" s="98"/>
      <c r="E104" s="98"/>
      <c r="F104" s="98"/>
      <c r="G104" s="98"/>
      <c r="H104" s="98"/>
      <c r="I104" s="98"/>
      <c r="J104" s="98"/>
      <c r="K104" s="98"/>
      <c r="L104" s="614"/>
      <c r="M104" s="614"/>
      <c r="N104" s="614"/>
      <c r="O104" s="19"/>
      <c r="P104" s="98"/>
      <c r="Q104" s="98"/>
      <c r="R104" s="98"/>
      <c r="S104" s="98"/>
      <c r="T104" s="98"/>
      <c r="U104" s="19"/>
      <c r="V104" s="19"/>
      <c r="W104" s="122"/>
      <c r="X104" s="122"/>
    </row>
    <row r="105" spans="1:24" x14ac:dyDescent="0.25">
      <c r="B105" s="25"/>
      <c r="C105" s="97">
        <f>+C89-C95-C101</f>
        <v>37908599</v>
      </c>
      <c r="D105" s="98"/>
      <c r="E105" s="98"/>
      <c r="F105" s="98"/>
      <c r="G105" s="98"/>
      <c r="H105" s="98"/>
      <c r="I105" s="98"/>
      <c r="J105" s="98"/>
      <c r="K105" s="98"/>
      <c r="L105" s="600"/>
      <c r="M105" s="600"/>
      <c r="N105" s="600"/>
      <c r="P105" s="98"/>
      <c r="Q105" s="98"/>
      <c r="R105" s="98"/>
      <c r="S105" s="98"/>
      <c r="T105" s="98"/>
      <c r="W105" s="122"/>
      <c r="X105" s="122"/>
    </row>
    <row r="106" spans="1:24" x14ac:dyDescent="0.25">
      <c r="B106" s="25"/>
      <c r="C106" s="97"/>
      <c r="D106" s="98"/>
      <c r="E106" s="98"/>
      <c r="F106" s="98"/>
      <c r="G106" s="98"/>
      <c r="H106" s="98"/>
      <c r="I106" s="98"/>
      <c r="J106" s="98"/>
      <c r="K106" s="98"/>
      <c r="L106" s="600"/>
      <c r="M106" s="600"/>
      <c r="N106" s="600"/>
    </row>
    <row r="107" spans="1:24" ht="26.4" x14ac:dyDescent="0.25">
      <c r="A107" s="560"/>
      <c r="B107" s="570" t="s">
        <v>468</v>
      </c>
      <c r="C107" s="571">
        <f>5440000+2601920+50000+5280000+1744000</f>
        <v>15115920</v>
      </c>
      <c r="D107" s="98"/>
      <c r="E107" s="98"/>
      <c r="F107" s="98"/>
      <c r="G107" s="98"/>
      <c r="H107" s="98"/>
      <c r="K107" s="98"/>
      <c r="L107" s="600"/>
      <c r="M107" s="600"/>
      <c r="N107" s="600"/>
    </row>
    <row r="108" spans="1:24" ht="39.6" x14ac:dyDescent="0.25">
      <c r="A108" s="26"/>
      <c r="B108" s="560" t="s">
        <v>467</v>
      </c>
      <c r="C108" s="97">
        <v>38368240</v>
      </c>
      <c r="D108" s="98">
        <f>+C102-C107</f>
        <v>29730080</v>
      </c>
      <c r="E108" s="98"/>
      <c r="F108" s="98"/>
      <c r="G108" s="98"/>
      <c r="H108" s="98"/>
      <c r="K108" s="98"/>
      <c r="L108" s="600"/>
      <c r="M108" s="600"/>
      <c r="N108" s="600"/>
    </row>
    <row r="109" spans="1:24" x14ac:dyDescent="0.25">
      <c r="B109" s="25"/>
      <c r="C109" s="97"/>
      <c r="D109" s="98"/>
      <c r="E109" s="98"/>
      <c r="F109" s="98"/>
      <c r="G109" s="98"/>
      <c r="H109" s="98"/>
      <c r="K109" s="98"/>
      <c r="L109" s="600"/>
      <c r="M109" s="600"/>
      <c r="N109" s="600"/>
    </row>
    <row r="110" spans="1:24" x14ac:dyDescent="0.25">
      <c r="B110" s="25"/>
      <c r="C110" s="97"/>
      <c r="D110" s="98"/>
      <c r="E110" s="98"/>
      <c r="F110" s="98"/>
      <c r="G110" s="98"/>
      <c r="H110" s="98"/>
      <c r="K110" s="98"/>
      <c r="L110" s="600"/>
      <c r="M110" s="600"/>
      <c r="N110" s="600"/>
    </row>
    <row r="111" spans="1:24" x14ac:dyDescent="0.25">
      <c r="B111" s="25"/>
      <c r="C111" s="97"/>
      <c r="D111" s="98"/>
      <c r="E111" s="98"/>
      <c r="F111" s="98"/>
      <c r="G111" s="98"/>
      <c r="H111" s="98"/>
      <c r="K111" s="98"/>
      <c r="L111" s="600"/>
      <c r="M111" s="600"/>
      <c r="N111" s="600"/>
    </row>
    <row r="112" spans="1:24" x14ac:dyDescent="0.25">
      <c r="B112" s="25"/>
      <c r="C112" s="97"/>
      <c r="D112" s="98"/>
      <c r="E112" s="98"/>
      <c r="F112" s="98"/>
      <c r="G112" s="98"/>
      <c r="H112" s="98"/>
      <c r="K112" s="98"/>
      <c r="L112" s="600"/>
      <c r="M112" s="600"/>
      <c r="N112" s="600"/>
    </row>
    <row r="113" spans="1:14" x14ac:dyDescent="0.25">
      <c r="C113" s="97"/>
      <c r="D113" s="98"/>
      <c r="E113" s="98"/>
      <c r="F113" s="98"/>
      <c r="G113" s="98"/>
      <c r="H113" s="98"/>
      <c r="K113" s="98"/>
      <c r="L113" s="600"/>
      <c r="M113" s="600"/>
      <c r="N113" s="600"/>
    </row>
    <row r="114" spans="1:14" x14ac:dyDescent="0.25">
      <c r="A114" s="26"/>
      <c r="B114" s="26"/>
      <c r="C114" s="97"/>
      <c r="D114" s="98"/>
      <c r="E114" s="98"/>
      <c r="F114" s="98"/>
      <c r="G114" s="98"/>
      <c r="H114" s="98"/>
      <c r="K114" s="98"/>
      <c r="L114" s="600"/>
      <c r="M114" s="600"/>
      <c r="N114" s="600"/>
    </row>
    <row r="115" spans="1:14" x14ac:dyDescent="0.25">
      <c r="B115" s="25"/>
      <c r="C115" s="97"/>
      <c r="D115" s="98"/>
      <c r="E115" s="98"/>
      <c r="F115" s="98"/>
      <c r="G115" s="98"/>
      <c r="H115" s="98"/>
      <c r="K115" s="98"/>
      <c r="L115" s="600"/>
      <c r="M115" s="600"/>
      <c r="N115" s="600"/>
    </row>
    <row r="116" spans="1:14" x14ac:dyDescent="0.25">
      <c r="B116" s="25"/>
      <c r="C116" s="97"/>
      <c r="D116" s="98"/>
      <c r="E116" s="98"/>
      <c r="F116" s="98"/>
      <c r="G116" s="98"/>
      <c r="H116" s="98"/>
      <c r="K116" s="98"/>
      <c r="L116" s="600"/>
      <c r="M116" s="600"/>
      <c r="N116" s="600"/>
    </row>
    <row r="117" spans="1:14" x14ac:dyDescent="0.25">
      <c r="B117" s="25"/>
      <c r="C117" s="97"/>
      <c r="D117" s="98"/>
      <c r="E117" s="98"/>
      <c r="F117" s="98"/>
      <c r="G117" s="98"/>
      <c r="H117" s="98"/>
      <c r="K117" s="98"/>
      <c r="L117" s="600"/>
      <c r="M117" s="600"/>
      <c r="N117" s="600"/>
    </row>
    <row r="118" spans="1:14" x14ac:dyDescent="0.25">
      <c r="B118" s="25"/>
      <c r="C118" s="97"/>
      <c r="D118" s="98"/>
      <c r="E118" s="98"/>
      <c r="F118" s="98"/>
      <c r="G118" s="98"/>
      <c r="H118" s="98"/>
      <c r="K118" s="98"/>
      <c r="L118" s="600"/>
      <c r="M118" s="600"/>
      <c r="N118" s="600"/>
    </row>
    <row r="119" spans="1:14" x14ac:dyDescent="0.25">
      <c r="B119" s="25"/>
      <c r="C119" s="97"/>
      <c r="D119" s="98"/>
      <c r="E119" s="98"/>
      <c r="F119" s="98"/>
      <c r="G119" s="98"/>
      <c r="H119" s="98"/>
      <c r="K119" s="98"/>
      <c r="L119" s="600"/>
      <c r="M119" s="600"/>
      <c r="N119" s="600"/>
    </row>
    <row r="120" spans="1:14" x14ac:dyDescent="0.25">
      <c r="B120" s="25"/>
      <c r="C120" s="97"/>
      <c r="D120" s="98"/>
      <c r="E120" s="98"/>
      <c r="F120" s="98"/>
      <c r="G120" s="98"/>
      <c r="H120" s="98"/>
      <c r="K120" s="98"/>
      <c r="L120" s="600"/>
      <c r="M120" s="600"/>
      <c r="N120" s="600"/>
    </row>
    <row r="121" spans="1:14" x14ac:dyDescent="0.25">
      <c r="B121" s="25"/>
      <c r="C121" s="97"/>
      <c r="D121" s="98"/>
      <c r="E121" s="98"/>
      <c r="F121" s="98"/>
      <c r="G121" s="98"/>
      <c r="H121" s="98"/>
      <c r="K121" s="98"/>
      <c r="L121" s="600"/>
      <c r="M121" s="600"/>
      <c r="N121" s="600"/>
    </row>
    <row r="122" spans="1:14" x14ac:dyDescent="0.25">
      <c r="B122" s="25"/>
      <c r="C122" s="97"/>
      <c r="D122" s="98"/>
      <c r="E122" s="98"/>
      <c r="F122" s="98"/>
      <c r="G122" s="98"/>
      <c r="H122" s="98"/>
      <c r="K122" s="98"/>
      <c r="L122" s="600"/>
      <c r="M122" s="600"/>
      <c r="N122" s="600"/>
    </row>
    <row r="123" spans="1:14" x14ac:dyDescent="0.25">
      <c r="C123" s="97"/>
      <c r="D123" s="98"/>
      <c r="E123" s="98"/>
      <c r="F123" s="98"/>
      <c r="G123" s="98"/>
      <c r="H123" s="98"/>
      <c r="K123" s="98"/>
      <c r="L123" s="600"/>
      <c r="M123" s="600"/>
      <c r="N123" s="600"/>
    </row>
    <row r="124" spans="1:14" x14ac:dyDescent="0.25">
      <c r="A124" s="26"/>
      <c r="B124" s="26"/>
      <c r="C124" s="97"/>
      <c r="D124" s="98"/>
      <c r="E124" s="98"/>
      <c r="F124" s="98"/>
      <c r="G124" s="98"/>
      <c r="H124" s="98"/>
      <c r="K124" s="98"/>
      <c r="L124" s="600"/>
      <c r="M124" s="600"/>
      <c r="N124" s="600"/>
    </row>
    <row r="125" spans="1:14" x14ac:dyDescent="0.25">
      <c r="B125" s="25"/>
      <c r="C125" s="97"/>
      <c r="D125" s="98"/>
      <c r="E125" s="98"/>
      <c r="F125" s="98"/>
      <c r="G125" s="98"/>
      <c r="H125" s="98"/>
      <c r="K125" s="98"/>
      <c r="L125" s="600"/>
      <c r="M125" s="600"/>
      <c r="N125" s="600"/>
    </row>
    <row r="126" spans="1:14" x14ac:dyDescent="0.25">
      <c r="B126" s="25"/>
      <c r="C126" s="97"/>
      <c r="D126" s="98"/>
      <c r="E126" s="98"/>
      <c r="F126" s="98"/>
      <c r="G126" s="98"/>
      <c r="H126" s="98"/>
      <c r="K126" s="98"/>
      <c r="L126" s="600"/>
      <c r="M126" s="600"/>
      <c r="N126" s="600"/>
    </row>
    <row r="127" spans="1:14" x14ac:dyDescent="0.25">
      <c r="B127" s="25"/>
      <c r="C127" s="97"/>
      <c r="D127" s="98"/>
      <c r="E127" s="98"/>
      <c r="F127" s="98"/>
      <c r="G127" s="98"/>
      <c r="H127" s="98"/>
      <c r="K127" s="98"/>
      <c r="L127" s="600"/>
      <c r="M127" s="600"/>
      <c r="N127" s="600"/>
    </row>
    <row r="128" spans="1:14" x14ac:dyDescent="0.25">
      <c r="B128" s="25"/>
      <c r="C128" s="97"/>
      <c r="D128" s="98"/>
      <c r="E128" s="98"/>
      <c r="F128" s="98"/>
      <c r="G128" s="98"/>
      <c r="H128" s="98"/>
      <c r="K128" s="98"/>
      <c r="L128" s="600"/>
      <c r="M128" s="600"/>
      <c r="N128" s="600"/>
    </row>
    <row r="129" spans="2:14" x14ac:dyDescent="0.25">
      <c r="B129" s="25"/>
      <c r="C129" s="97"/>
      <c r="D129" s="98"/>
      <c r="E129" s="98"/>
      <c r="F129" s="98"/>
      <c r="G129" s="98"/>
      <c r="H129" s="98"/>
      <c r="K129" s="98"/>
      <c r="L129" s="600"/>
      <c r="M129" s="600"/>
      <c r="N129" s="600"/>
    </row>
    <row r="130" spans="2:14" x14ac:dyDescent="0.25">
      <c r="B130" s="25"/>
      <c r="C130" s="97"/>
      <c r="D130" s="98"/>
      <c r="E130" s="98"/>
      <c r="F130" s="98"/>
      <c r="G130" s="98"/>
      <c r="H130" s="98"/>
      <c r="K130" s="98"/>
      <c r="L130" s="600"/>
      <c r="M130" s="600"/>
      <c r="N130" s="600"/>
    </row>
    <row r="131" spans="2:14" x14ac:dyDescent="0.25">
      <c r="B131" s="25"/>
      <c r="C131" s="97"/>
      <c r="D131" s="98"/>
      <c r="E131" s="98"/>
      <c r="F131" s="98"/>
      <c r="G131" s="98"/>
      <c r="H131" s="98"/>
      <c r="K131" s="98"/>
      <c r="L131" s="600"/>
      <c r="M131" s="600"/>
      <c r="N131" s="600"/>
    </row>
    <row r="132" spans="2:14" x14ac:dyDescent="0.25">
      <c r="B132" s="25"/>
      <c r="L132" s="600"/>
      <c r="M132" s="600"/>
      <c r="N132" s="600"/>
    </row>
    <row r="133" spans="2:14" x14ac:dyDescent="0.25">
      <c r="B133" s="25"/>
      <c r="L133" s="600"/>
      <c r="M133" s="600"/>
      <c r="N133" s="600"/>
    </row>
    <row r="134" spans="2:14" x14ac:dyDescent="0.25">
      <c r="B134" s="25"/>
      <c r="L134" s="600"/>
      <c r="M134" s="600"/>
      <c r="N134" s="600"/>
    </row>
    <row r="135" spans="2:14" x14ac:dyDescent="0.25">
      <c r="B135" s="25"/>
      <c r="L135" s="600"/>
      <c r="M135" s="600"/>
      <c r="N135" s="600"/>
    </row>
    <row r="136" spans="2:14" x14ac:dyDescent="0.25">
      <c r="B136" s="25"/>
      <c r="L136" s="600"/>
      <c r="M136" s="600"/>
      <c r="N136" s="600"/>
    </row>
    <row r="137" spans="2:14" x14ac:dyDescent="0.25">
      <c r="B137" s="25"/>
      <c r="L137" s="600"/>
      <c r="M137" s="600"/>
      <c r="N137" s="600"/>
    </row>
    <row r="138" spans="2:14" x14ac:dyDescent="0.25">
      <c r="B138" s="25"/>
      <c r="L138" s="600"/>
      <c r="M138" s="600"/>
      <c r="N138" s="600"/>
    </row>
    <row r="139" spans="2:14" x14ac:dyDescent="0.25">
      <c r="B139" s="25"/>
      <c r="L139" s="600"/>
      <c r="M139" s="600"/>
      <c r="N139" s="600"/>
    </row>
    <row r="140" spans="2:14" x14ac:dyDescent="0.25">
      <c r="B140" s="25"/>
      <c r="L140" s="600"/>
      <c r="M140" s="600"/>
      <c r="N140" s="600"/>
    </row>
    <row r="141" spans="2:14" x14ac:dyDescent="0.25">
      <c r="B141" s="25"/>
      <c r="L141" s="600"/>
      <c r="M141" s="600"/>
      <c r="N141" s="600"/>
    </row>
    <row r="142" spans="2:14" x14ac:dyDescent="0.25">
      <c r="B142" s="25"/>
      <c r="L142" s="600"/>
      <c r="M142" s="600"/>
      <c r="N142" s="600"/>
    </row>
    <row r="143" spans="2:14" x14ac:dyDescent="0.25">
      <c r="B143" s="25"/>
      <c r="L143" s="600"/>
      <c r="M143" s="600"/>
      <c r="N143" s="600"/>
    </row>
    <row r="144" spans="2:14" x14ac:dyDescent="0.25">
      <c r="B144" s="25"/>
    </row>
    <row r="145" spans="2:2" x14ac:dyDescent="0.25">
      <c r="B145" s="25"/>
    </row>
  </sheetData>
  <mergeCells count="5">
    <mergeCell ref="C9:F9"/>
    <mergeCell ref="P9:T9"/>
    <mergeCell ref="H9:N9"/>
    <mergeCell ref="H10:J10"/>
    <mergeCell ref="L10:N10"/>
  </mergeCells>
  <phoneticPr fontId="3" type="noConversion"/>
  <printOptions horizontalCentered="1"/>
  <pageMargins left="0" right="0" top="0.39370078740157483" bottom="0" header="0.51181102362204722" footer="0.51181102362204722"/>
  <pageSetup paperSize="9" scale="35" orientation="landscape" r:id="rId1"/>
  <headerFooter alignWithMargins="0">
    <oddHeader>&amp;R&amp;"Arial,Félkövér dőlt"&amp;12&amp;A  /&amp;10
&amp;"Arial,Dőlt"&amp;F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6"/>
  <sheetViews>
    <sheetView view="pageBreakPreview" zoomScaleNormal="100" zoomScaleSheetLayoutView="100" workbookViewId="0">
      <selection activeCell="B4" sqref="B4"/>
    </sheetView>
  </sheetViews>
  <sheetFormatPr defaultRowHeight="13.2" x14ac:dyDescent="0.25"/>
  <cols>
    <col min="1" max="1" width="7.5546875" style="13" customWidth="1"/>
    <col min="2" max="2" width="57.44140625" style="13" customWidth="1"/>
    <col min="3" max="5" width="15.5546875" style="13" customWidth="1"/>
    <col min="6" max="6" width="14.88671875" style="13" customWidth="1"/>
    <col min="7" max="7" width="0.6640625" style="13" customWidth="1"/>
    <col min="8" max="9" width="15.5546875" style="13" customWidth="1"/>
    <col min="10" max="10" width="15.88671875" style="13" customWidth="1"/>
    <col min="11" max="11" width="0.6640625" style="13" customWidth="1"/>
    <col min="12" max="12" width="15.5546875" style="13" customWidth="1"/>
    <col min="13" max="13" width="13.44140625" style="13" bestFit="1" customWidth="1"/>
    <col min="14" max="14" width="15.5546875" style="13" hidden="1" customWidth="1"/>
    <col min="15" max="15" width="0.6640625" style="13" customWidth="1"/>
    <col min="16" max="17" width="15.5546875" style="13" customWidth="1"/>
    <col min="18" max="18" width="15.6640625" style="13" customWidth="1"/>
    <col min="19" max="19" width="15.5546875" style="13" customWidth="1"/>
    <col min="20" max="20" width="7.33203125" style="13" customWidth="1"/>
    <col min="21" max="21" width="2.6640625" style="13" customWidth="1"/>
    <col min="22" max="22" width="3.44140625" style="13" customWidth="1"/>
    <col min="23" max="23" width="14.5546875" bestFit="1" customWidth="1"/>
    <col min="24" max="24" width="15.44140625" bestFit="1" customWidth="1"/>
  </cols>
  <sheetData>
    <row r="1" spans="1:26" ht="24.6" x14ac:dyDescent="0.4">
      <c r="A1" s="228" t="s">
        <v>455</v>
      </c>
      <c r="B1" s="227"/>
      <c r="C1" s="227"/>
      <c r="D1" s="227"/>
      <c r="E1" s="718"/>
      <c r="F1" s="227"/>
      <c r="G1" s="226"/>
      <c r="H1" s="225"/>
      <c r="I1" s="225"/>
      <c r="J1" s="224" t="str">
        <f>+'1. Sülysáp összesen'!J1</f>
        <v>2021. ÉVI KÖLTSÉGVETÉS MÓDOSÍTÁSA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64"/>
      <c r="B4" s="65"/>
      <c r="C4" s="88"/>
      <c r="D4" s="88"/>
      <c r="E4" s="88"/>
      <c r="F4" s="88"/>
      <c r="G4" s="88"/>
      <c r="H4" s="88"/>
      <c r="I4" s="88"/>
      <c r="J4" s="88"/>
      <c r="K4" s="88"/>
      <c r="L4" s="65"/>
      <c r="M4" s="65"/>
      <c r="N4" s="65"/>
      <c r="O4" s="65"/>
      <c r="P4" s="88"/>
      <c r="Q4" s="88"/>
      <c r="R4" s="88"/>
      <c r="S4" s="88"/>
      <c r="T4" s="88"/>
      <c r="U4" s="65"/>
      <c r="V4" s="253"/>
      <c r="W4" s="122"/>
      <c r="X4" s="122"/>
    </row>
    <row r="5" spans="1:26" ht="20.100000000000001" customHeight="1" x14ac:dyDescent="0.3">
      <c r="A5" s="249"/>
      <c r="B5" s="249" t="s">
        <v>371</v>
      </c>
      <c r="C5" s="250">
        <f>+C90</f>
        <v>208639000</v>
      </c>
      <c r="D5" s="250">
        <f t="shared" ref="D5:F5" si="0">+D90</f>
        <v>208639000</v>
      </c>
      <c r="E5" s="250">
        <f t="shared" si="0"/>
        <v>208639000</v>
      </c>
      <c r="F5" s="250">
        <f t="shared" si="0"/>
        <v>208639000</v>
      </c>
      <c r="G5" s="250"/>
      <c r="H5" s="250">
        <f t="shared" ref="H5:J5" si="1">+H90</f>
        <v>102412195</v>
      </c>
      <c r="I5" s="250">
        <f t="shared" si="1"/>
        <v>152674094</v>
      </c>
      <c r="J5" s="250">
        <f t="shared" si="1"/>
        <v>206106415</v>
      </c>
      <c r="K5" s="89"/>
      <c r="L5" s="641">
        <f t="shared" ref="L5:N6" si="2">IF(H5&gt;0,H5/C5,0)</f>
        <v>0.49085834863088879</v>
      </c>
      <c r="M5" s="641">
        <f t="shared" si="2"/>
        <v>0.7317620099789589</v>
      </c>
      <c r="N5" s="31">
        <f t="shared" si="2"/>
        <v>0.9878614017513504</v>
      </c>
      <c r="O5" s="31"/>
      <c r="P5" s="250">
        <f t="shared" ref="P5:S5" si="3">+P90</f>
        <v>0</v>
      </c>
      <c r="Q5" s="250">
        <f t="shared" si="3"/>
        <v>0</v>
      </c>
      <c r="R5" s="250">
        <f t="shared" si="3"/>
        <v>0</v>
      </c>
      <c r="S5" s="250">
        <f t="shared" si="3"/>
        <v>0</v>
      </c>
      <c r="T5" s="133">
        <f>IF(C5=0,0,+S5/C5)</f>
        <v>0</v>
      </c>
      <c r="U5" s="118"/>
      <c r="V5" s="198">
        <f t="shared" ref="V5:V7" si="4">+S5-E5+C5</f>
        <v>0</v>
      </c>
      <c r="W5" s="122"/>
      <c r="X5" s="122"/>
    </row>
    <row r="6" spans="1:26" ht="20.100000000000001" customHeight="1" x14ac:dyDescent="0.3">
      <c r="A6" s="251"/>
      <c r="B6" s="251" t="s">
        <v>370</v>
      </c>
      <c r="C6" s="252">
        <f>+C102</f>
        <v>208639000</v>
      </c>
      <c r="D6" s="252">
        <f t="shared" ref="D6:F6" si="5">+D102</f>
        <v>208639000</v>
      </c>
      <c r="E6" s="252">
        <f t="shared" si="5"/>
        <v>208639000</v>
      </c>
      <c r="F6" s="252">
        <f t="shared" si="5"/>
        <v>208639000</v>
      </c>
      <c r="G6" s="252"/>
      <c r="H6" s="252">
        <f t="shared" ref="H6:J6" si="6">+H102</f>
        <v>109293026</v>
      </c>
      <c r="I6" s="252">
        <f t="shared" si="6"/>
        <v>154354486</v>
      </c>
      <c r="J6" s="252">
        <f t="shared" si="6"/>
        <v>206436821</v>
      </c>
      <c r="K6" s="67"/>
      <c r="L6" s="641">
        <f t="shared" si="2"/>
        <v>0.523837949760112</v>
      </c>
      <c r="M6" s="641">
        <f t="shared" si="2"/>
        <v>0.73981607465526578</v>
      </c>
      <c r="N6" s="31">
        <f t="shared" si="2"/>
        <v>0.98944502705630299</v>
      </c>
      <c r="O6" s="31"/>
      <c r="P6" s="252">
        <f t="shared" ref="P6:S6" si="7">+P102</f>
        <v>0</v>
      </c>
      <c r="Q6" s="252">
        <f t="shared" si="7"/>
        <v>0</v>
      </c>
      <c r="R6" s="252">
        <f t="shared" si="7"/>
        <v>0</v>
      </c>
      <c r="S6" s="252">
        <f t="shared" si="7"/>
        <v>0</v>
      </c>
      <c r="T6" s="31">
        <f>IF(C6=0,0,+S6/C6)</f>
        <v>0</v>
      </c>
      <c r="U6" s="118"/>
      <c r="V6" s="198">
        <f t="shared" si="4"/>
        <v>0</v>
      </c>
      <c r="W6" s="122"/>
      <c r="X6" s="122"/>
    </row>
    <row r="7" spans="1:26" ht="20.100000000000001" customHeight="1" x14ac:dyDescent="0.3">
      <c r="A7" s="251"/>
      <c r="B7" s="251" t="s">
        <v>402</v>
      </c>
      <c r="C7" s="252">
        <f>+C6-C5</f>
        <v>0</v>
      </c>
      <c r="D7" s="252">
        <f t="shared" ref="D7:H7" si="8">+D6-D5</f>
        <v>0</v>
      </c>
      <c r="E7" s="252">
        <f t="shared" si="8"/>
        <v>0</v>
      </c>
      <c r="F7" s="252">
        <f t="shared" si="8"/>
        <v>0</v>
      </c>
      <c r="G7" s="252"/>
      <c r="H7" s="252">
        <f t="shared" si="8"/>
        <v>6880831</v>
      </c>
      <c r="I7" s="252">
        <f>+I6-I5</f>
        <v>1680392</v>
      </c>
      <c r="J7" s="252">
        <f t="shared" ref="J7" si="9">+J6-J5</f>
        <v>330406</v>
      </c>
      <c r="K7" s="67"/>
      <c r="L7" s="641"/>
      <c r="M7" s="641"/>
      <c r="N7" s="31"/>
      <c r="O7" s="31"/>
      <c r="P7" s="252">
        <f t="shared" ref="P7:S7" si="10">+P6-P5</f>
        <v>0</v>
      </c>
      <c r="Q7" s="252">
        <f t="shared" si="10"/>
        <v>0</v>
      </c>
      <c r="R7" s="252">
        <f t="shared" si="10"/>
        <v>0</v>
      </c>
      <c r="S7" s="252">
        <f t="shared" si="10"/>
        <v>0</v>
      </c>
      <c r="T7" s="31">
        <f>IF(C7=0,0,+S7/C7)</f>
        <v>0</v>
      </c>
      <c r="U7" s="118"/>
      <c r="V7" s="198">
        <f t="shared" si="4"/>
        <v>0</v>
      </c>
      <c r="W7" s="122"/>
      <c r="X7" s="122"/>
    </row>
    <row r="8" spans="1:26" x14ac:dyDescent="0.25">
      <c r="A8" s="235"/>
      <c r="B8" s="236"/>
      <c r="C8" s="611"/>
      <c r="D8" s="612"/>
      <c r="E8" s="612"/>
      <c r="F8" s="612"/>
      <c r="G8" s="613"/>
      <c r="H8" s="613"/>
      <c r="I8" s="613"/>
      <c r="J8" s="613"/>
      <c r="K8" s="613"/>
      <c r="L8" s="137"/>
      <c r="M8" s="137"/>
      <c r="N8" s="137"/>
      <c r="O8" s="120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785" t="s">
        <v>401</v>
      </c>
      <c r="D9" s="793"/>
      <c r="E9" s="793"/>
      <c r="F9" s="794"/>
      <c r="G9" s="154"/>
      <c r="H9" s="785" t="s">
        <v>400</v>
      </c>
      <c r="I9" s="793"/>
      <c r="J9" s="793"/>
      <c r="K9" s="793"/>
      <c r="L9" s="793"/>
      <c r="M9" s="793"/>
      <c r="N9" s="794"/>
      <c r="O9" s="154"/>
      <c r="P9" s="785" t="s">
        <v>397</v>
      </c>
      <c r="Q9" s="793"/>
      <c r="R9" s="793"/>
      <c r="S9" s="793"/>
      <c r="T9" s="794"/>
      <c r="U9" s="199"/>
      <c r="V9" s="195"/>
      <c r="W9" s="122"/>
      <c r="X9" s="122"/>
    </row>
    <row r="10" spans="1:26" x14ac:dyDescent="0.25">
      <c r="A10" s="64"/>
      <c r="B10" s="65"/>
      <c r="C10" s="233"/>
      <c r="D10" s="88"/>
      <c r="E10" s="88"/>
      <c r="F10" s="234"/>
      <c r="G10" s="134"/>
      <c r="H10" s="782" t="s">
        <v>413</v>
      </c>
      <c r="I10" s="795"/>
      <c r="J10" s="796"/>
      <c r="K10" s="134"/>
      <c r="L10" s="782" t="s">
        <v>412</v>
      </c>
      <c r="M10" s="795"/>
      <c r="N10" s="796"/>
      <c r="O10" s="135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6" ht="71.400000000000006" x14ac:dyDescent="0.25">
      <c r="A11" s="27" t="s">
        <v>366</v>
      </c>
      <c r="B11" s="27" t="s">
        <v>364</v>
      </c>
      <c r="C11" s="520" t="s">
        <v>485</v>
      </c>
      <c r="D11" s="358" t="s">
        <v>486</v>
      </c>
      <c r="E11" s="358" t="s">
        <v>487</v>
      </c>
      <c r="F11" s="521" t="s">
        <v>488</v>
      </c>
      <c r="G11" s="358"/>
      <c r="H11" s="494" t="s">
        <v>498</v>
      </c>
      <c r="I11" s="359" t="s">
        <v>499</v>
      </c>
      <c r="J11" s="359" t="s">
        <v>500</v>
      </c>
      <c r="K11" s="358"/>
      <c r="L11" s="360" t="s">
        <v>501</v>
      </c>
      <c r="M11" s="360" t="s">
        <v>502</v>
      </c>
      <c r="N11" s="495" t="s">
        <v>503</v>
      </c>
      <c r="O11" s="358"/>
      <c r="P11" s="494" t="s">
        <v>495</v>
      </c>
      <c r="Q11" s="359" t="s">
        <v>496</v>
      </c>
      <c r="R11" s="359" t="s">
        <v>497</v>
      </c>
      <c r="S11" s="359" t="s">
        <v>398</v>
      </c>
      <c r="T11" s="495" t="s">
        <v>399</v>
      </c>
      <c r="U11" s="28"/>
      <c r="V11" s="132" t="s">
        <v>403</v>
      </c>
      <c r="W11" s="122"/>
      <c r="X11" s="122"/>
    </row>
    <row r="12" spans="1:26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615"/>
      <c r="M12" s="616"/>
      <c r="N12" s="16"/>
      <c r="O12" s="68"/>
      <c r="P12" s="68"/>
      <c r="Q12" s="68"/>
      <c r="R12" s="68"/>
      <c r="S12" s="68"/>
      <c r="T12" s="68"/>
      <c r="U12" s="68"/>
      <c r="V12" s="255"/>
    </row>
    <row r="13" spans="1:26" x14ac:dyDescent="0.25">
      <c r="A13" s="289" t="s">
        <v>0</v>
      </c>
      <c r="B13" s="289" t="s">
        <v>3</v>
      </c>
      <c r="C13" s="290">
        <f>SUM(C15:C29)</f>
        <v>168109000</v>
      </c>
      <c r="D13" s="290">
        <f t="shared" ref="D13:J13" si="11">SUM(D15:D29)</f>
        <v>168109000</v>
      </c>
      <c r="E13" s="290">
        <f t="shared" si="11"/>
        <v>168109000</v>
      </c>
      <c r="F13" s="290">
        <f t="shared" si="11"/>
        <v>167045578</v>
      </c>
      <c r="G13" s="290"/>
      <c r="H13" s="290">
        <f t="shared" si="11"/>
        <v>82528474</v>
      </c>
      <c r="I13" s="290">
        <f t="shared" si="11"/>
        <v>123008879</v>
      </c>
      <c r="J13" s="290">
        <f t="shared" si="11"/>
        <v>166554870</v>
      </c>
      <c r="K13" s="290">
        <f t="shared" ref="K13" si="12">SUM(K15:K28)</f>
        <v>0</v>
      </c>
      <c r="L13" s="617">
        <f>IF(H13&gt;0,H13/C13,0)</f>
        <v>0.49092240153709793</v>
      </c>
      <c r="M13" s="617">
        <f>IF(I13&gt;0,I13/D13,0)</f>
        <v>0.73172096080519189</v>
      </c>
      <c r="N13" s="53">
        <f>IF(J13&gt;0,J13/E13,0)</f>
        <v>0.99075522428900298</v>
      </c>
      <c r="O13" s="290">
        <f>SUM(O15:O28)</f>
        <v>0</v>
      </c>
      <c r="P13" s="290">
        <f>+(D13-C13)*P$10</f>
        <v>0</v>
      </c>
      <c r="Q13" s="290">
        <f>+(E13-D13)*Q$10</f>
        <v>0</v>
      </c>
      <c r="R13" s="290">
        <f>+(F13-E13)*R$10</f>
        <v>0</v>
      </c>
      <c r="S13" s="290">
        <f t="shared" ref="S13:S14" si="13">+P13*P$10+Q13*Q$10+R13*R$10</f>
        <v>0</v>
      </c>
      <c r="T13" s="261">
        <f>IF(C13=0,0,+S13/C13)</f>
        <v>0</v>
      </c>
      <c r="U13" s="120"/>
      <c r="V13" s="195">
        <f t="shared" ref="V13" si="14">+S13-E13+C13</f>
        <v>0</v>
      </c>
    </row>
    <row r="14" spans="1:26" x14ac:dyDescent="0.25">
      <c r="A14" s="15" t="s">
        <v>1</v>
      </c>
      <c r="B14" s="15"/>
      <c r="C14" s="69"/>
      <c r="D14" s="91"/>
      <c r="E14" s="91"/>
      <c r="F14" s="91"/>
      <c r="G14" s="92"/>
      <c r="H14" s="92"/>
      <c r="I14" s="92"/>
      <c r="J14" s="92"/>
      <c r="K14" s="92"/>
      <c r="L14" s="589"/>
      <c r="M14" s="589"/>
      <c r="N14" s="136"/>
      <c r="O14" s="119"/>
      <c r="P14" s="92"/>
      <c r="Q14" s="92"/>
      <c r="R14" s="92"/>
      <c r="S14" s="92">
        <f t="shared" si="13"/>
        <v>0</v>
      </c>
      <c r="T14" s="152"/>
      <c r="U14" s="119"/>
      <c r="V14" s="195">
        <f t="shared" ref="V14" si="15">+S14-E14+C14</f>
        <v>0</v>
      </c>
      <c r="W14" s="122"/>
      <c r="X14" s="122"/>
    </row>
    <row r="15" spans="1:26" x14ac:dyDescent="0.25">
      <c r="A15" s="14" t="s">
        <v>2</v>
      </c>
      <c r="B15" s="54" t="s">
        <v>391</v>
      </c>
      <c r="C15" s="145">
        <v>161000000</v>
      </c>
      <c r="D15" s="145">
        <v>159989940</v>
      </c>
      <c r="E15" s="145">
        <v>159689940</v>
      </c>
      <c r="F15" s="145">
        <v>154201226</v>
      </c>
      <c r="G15" s="145"/>
      <c r="H15" s="145">
        <v>77827090</v>
      </c>
      <c r="I15" s="145">
        <v>115915927</v>
      </c>
      <c r="J15" s="145">
        <v>153710518</v>
      </c>
      <c r="K15" s="145"/>
      <c r="L15" s="591">
        <f t="shared" ref="L15:L28" si="16">IF(H15&gt;0,H15/C15,0)</f>
        <v>0.4833980745341615</v>
      </c>
      <c r="M15" s="591">
        <f t="shared" ref="M15:M28" si="17">IF(I15&gt;0,I15/D15,0)</f>
        <v>0.72452009795115868</v>
      </c>
      <c r="N15" s="206">
        <f t="shared" ref="N15:N29" si="18">IF(J15&gt;0,J15/E15,0)</f>
        <v>0.9625560508069575</v>
      </c>
      <c r="O15" s="145"/>
      <c r="P15" s="81">
        <f>+(D15-C15)*P$10</f>
        <v>-1010060</v>
      </c>
      <c r="Q15" s="81">
        <f>+(E15-D15)*Q$10</f>
        <v>-300000</v>
      </c>
      <c r="R15" s="81">
        <f>+(F15-E15)*R$10</f>
        <v>0</v>
      </c>
      <c r="S15" s="81">
        <f>+P15*P$10+Q15*Q$10+R15*R$10</f>
        <v>-1310060</v>
      </c>
      <c r="T15" s="281">
        <f>IF(C15=0,0,+S15/C15)</f>
        <v>-8.1370186335403723E-3</v>
      </c>
      <c r="U15" s="120"/>
      <c r="V15" s="195">
        <f t="shared" ref="V15" si="19">+S15-E15+C15</f>
        <v>0</v>
      </c>
      <c r="X15" s="2"/>
    </row>
    <row r="16" spans="1:26" ht="26.4" x14ac:dyDescent="0.25">
      <c r="A16" s="14"/>
      <c r="B16" s="719" t="s">
        <v>484</v>
      </c>
      <c r="C16" s="145"/>
      <c r="D16" s="145"/>
      <c r="E16" s="145"/>
      <c r="F16" s="145"/>
      <c r="G16" s="145"/>
      <c r="H16" s="145"/>
      <c r="I16" s="145"/>
      <c r="J16" s="145"/>
      <c r="K16" s="145"/>
      <c r="L16" s="591">
        <f t="shared" si="16"/>
        <v>0</v>
      </c>
      <c r="M16" s="591">
        <f t="shared" si="17"/>
        <v>0</v>
      </c>
      <c r="N16" s="206">
        <f t="shared" si="18"/>
        <v>0</v>
      </c>
      <c r="O16" s="145"/>
      <c r="P16" s="81">
        <f t="shared" ref="P16:P30" si="20">+(D16-C16)*P$10</f>
        <v>0</v>
      </c>
      <c r="Q16" s="81">
        <f t="shared" ref="Q16:Q30" si="21">+(E16-D16)*Q$10</f>
        <v>0</v>
      </c>
      <c r="R16" s="81">
        <f t="shared" ref="R16:R30" si="22">+(F16-E16)*R$10</f>
        <v>0</v>
      </c>
      <c r="S16" s="81">
        <f t="shared" ref="S16:S31" si="23">+P16*P$10+Q16*Q$10+R16*R$10</f>
        <v>0</v>
      </c>
      <c r="T16" s="281">
        <f t="shared" ref="T16:T30" si="24">IF(C16=0,0,+S16/C16)</f>
        <v>0</v>
      </c>
      <c r="U16" s="120"/>
      <c r="V16" s="195">
        <f t="shared" ref="V16:V30" si="25">+S16-E16+C16</f>
        <v>0</v>
      </c>
      <c r="X16" s="2"/>
    </row>
    <row r="17" spans="1:24" ht="28.8" customHeight="1" x14ac:dyDescent="0.25">
      <c r="A17" s="482" t="s">
        <v>507</v>
      </c>
      <c r="B17" s="482" t="s">
        <v>508</v>
      </c>
      <c r="C17" s="68">
        <v>0</v>
      </c>
      <c r="D17" s="68">
        <v>710060</v>
      </c>
      <c r="E17" s="68">
        <v>710060</v>
      </c>
      <c r="F17" s="68">
        <v>3842565</v>
      </c>
      <c r="G17" s="68"/>
      <c r="H17" s="68">
        <v>710060</v>
      </c>
      <c r="I17" s="68">
        <v>710060</v>
      </c>
      <c r="J17" s="68">
        <v>3842565</v>
      </c>
      <c r="K17" s="68"/>
      <c r="L17" s="591" t="e">
        <f t="shared" si="16"/>
        <v>#DIV/0!</v>
      </c>
      <c r="M17" s="591">
        <f t="shared" si="17"/>
        <v>1</v>
      </c>
      <c r="N17" s="206">
        <f t="shared" si="18"/>
        <v>5.4116060614595947</v>
      </c>
      <c r="O17" s="68"/>
      <c r="P17" s="81">
        <f t="shared" si="20"/>
        <v>710060</v>
      </c>
      <c r="Q17" s="81">
        <f t="shared" si="21"/>
        <v>0</v>
      </c>
      <c r="R17" s="81">
        <f t="shared" si="22"/>
        <v>0</v>
      </c>
      <c r="S17" s="81">
        <f t="shared" si="23"/>
        <v>710060</v>
      </c>
      <c r="T17" s="281">
        <f t="shared" si="24"/>
        <v>0</v>
      </c>
      <c r="U17" s="120"/>
      <c r="V17" s="195">
        <f t="shared" si="25"/>
        <v>0</v>
      </c>
    </row>
    <row r="18" spans="1:24" x14ac:dyDescent="0.25">
      <c r="A18" s="14" t="s">
        <v>11</v>
      </c>
      <c r="B18" s="20" t="s">
        <v>4</v>
      </c>
      <c r="C18" s="68"/>
      <c r="D18" s="68"/>
      <c r="E18" s="68"/>
      <c r="F18" s="68"/>
      <c r="G18" s="68"/>
      <c r="H18" s="68"/>
      <c r="I18" s="68"/>
      <c r="J18" s="68"/>
      <c r="K18" s="68"/>
      <c r="L18" s="591">
        <f t="shared" si="16"/>
        <v>0</v>
      </c>
      <c r="M18" s="591">
        <f t="shared" si="17"/>
        <v>0</v>
      </c>
      <c r="N18" s="206">
        <f t="shared" si="18"/>
        <v>0</v>
      </c>
      <c r="O18" s="68"/>
      <c r="P18" s="81">
        <f t="shared" si="20"/>
        <v>0</v>
      </c>
      <c r="Q18" s="81">
        <f t="shared" si="21"/>
        <v>0</v>
      </c>
      <c r="R18" s="81">
        <f t="shared" si="22"/>
        <v>0</v>
      </c>
      <c r="S18" s="81">
        <f t="shared" si="23"/>
        <v>0</v>
      </c>
      <c r="T18" s="281">
        <f t="shared" si="24"/>
        <v>0</v>
      </c>
      <c r="U18" s="120"/>
      <c r="V18" s="195">
        <f t="shared" si="25"/>
        <v>0</v>
      </c>
    </row>
    <row r="19" spans="1:24" x14ac:dyDescent="0.25">
      <c r="A19" s="14" t="s">
        <v>376</v>
      </c>
      <c r="B19" s="20" t="s">
        <v>5</v>
      </c>
      <c r="C19" s="145">
        <v>1859000</v>
      </c>
      <c r="D19" s="68">
        <v>1859000</v>
      </c>
      <c r="E19" s="68">
        <v>1859000</v>
      </c>
      <c r="F19" s="68">
        <v>1858975</v>
      </c>
      <c r="G19" s="68"/>
      <c r="H19" s="68">
        <v>1858975</v>
      </c>
      <c r="I19" s="68">
        <v>1858975</v>
      </c>
      <c r="J19" s="68">
        <v>1858975</v>
      </c>
      <c r="K19" s="68"/>
      <c r="L19" s="591">
        <f t="shared" si="16"/>
        <v>0.99998655190962882</v>
      </c>
      <c r="M19" s="591">
        <f t="shared" si="17"/>
        <v>0.99998655190962882</v>
      </c>
      <c r="N19" s="206">
        <f t="shared" si="18"/>
        <v>0.99998655190962882</v>
      </c>
      <c r="O19" s="68"/>
      <c r="P19" s="81">
        <f t="shared" si="20"/>
        <v>0</v>
      </c>
      <c r="Q19" s="81">
        <f t="shared" si="21"/>
        <v>0</v>
      </c>
      <c r="R19" s="81">
        <f t="shared" si="22"/>
        <v>0</v>
      </c>
      <c r="S19" s="81">
        <f t="shared" si="23"/>
        <v>0</v>
      </c>
      <c r="T19" s="281">
        <f t="shared" si="24"/>
        <v>0</v>
      </c>
      <c r="U19" s="120"/>
      <c r="V19" s="195">
        <f t="shared" si="25"/>
        <v>0</v>
      </c>
      <c r="W19" s="2"/>
    </row>
    <row r="20" spans="1:24" x14ac:dyDescent="0.25">
      <c r="A20" s="14" t="s">
        <v>12</v>
      </c>
      <c r="B20" s="20" t="s">
        <v>6</v>
      </c>
      <c r="C20" s="145">
        <v>0</v>
      </c>
      <c r="D20" s="68">
        <v>0</v>
      </c>
      <c r="E20" s="68">
        <v>0</v>
      </c>
      <c r="F20" s="68">
        <v>0</v>
      </c>
      <c r="G20" s="68"/>
      <c r="H20" s="68">
        <v>0</v>
      </c>
      <c r="I20" s="68">
        <v>0</v>
      </c>
      <c r="J20" s="68">
        <v>0</v>
      </c>
      <c r="K20" s="68"/>
      <c r="L20" s="591">
        <f t="shared" si="16"/>
        <v>0</v>
      </c>
      <c r="M20" s="591">
        <f t="shared" si="17"/>
        <v>0</v>
      </c>
      <c r="N20" s="206">
        <f t="shared" si="18"/>
        <v>0</v>
      </c>
      <c r="O20" s="68"/>
      <c r="P20" s="81">
        <f t="shared" si="20"/>
        <v>0</v>
      </c>
      <c r="Q20" s="81">
        <f t="shared" si="21"/>
        <v>0</v>
      </c>
      <c r="R20" s="81">
        <f t="shared" si="22"/>
        <v>0</v>
      </c>
      <c r="S20" s="81">
        <f t="shared" si="23"/>
        <v>0</v>
      </c>
      <c r="T20" s="281">
        <f t="shared" si="24"/>
        <v>0</v>
      </c>
      <c r="U20" s="120"/>
      <c r="V20" s="195">
        <f t="shared" si="25"/>
        <v>0</v>
      </c>
      <c r="W20" s="2"/>
    </row>
    <row r="21" spans="1:24" x14ac:dyDescent="0.25">
      <c r="A21" s="14" t="s">
        <v>13</v>
      </c>
      <c r="B21" s="20" t="s">
        <v>7</v>
      </c>
      <c r="C21" s="68">
        <v>0</v>
      </c>
      <c r="D21" s="68">
        <v>0</v>
      </c>
      <c r="E21" s="68">
        <v>0</v>
      </c>
      <c r="F21" s="68">
        <v>0</v>
      </c>
      <c r="G21" s="68"/>
      <c r="H21" s="68">
        <v>0</v>
      </c>
      <c r="I21" s="68">
        <v>0</v>
      </c>
      <c r="J21" s="68">
        <v>0</v>
      </c>
      <c r="K21" s="68"/>
      <c r="L21" s="591">
        <f t="shared" si="16"/>
        <v>0</v>
      </c>
      <c r="M21" s="591">
        <f t="shared" si="17"/>
        <v>0</v>
      </c>
      <c r="N21" s="206">
        <f t="shared" si="18"/>
        <v>0</v>
      </c>
      <c r="O21" s="68"/>
      <c r="P21" s="81">
        <f t="shared" si="20"/>
        <v>0</v>
      </c>
      <c r="Q21" s="81">
        <f t="shared" si="21"/>
        <v>0</v>
      </c>
      <c r="R21" s="81">
        <f t="shared" si="22"/>
        <v>0</v>
      </c>
      <c r="S21" s="81">
        <f t="shared" si="23"/>
        <v>0</v>
      </c>
      <c r="T21" s="281">
        <f t="shared" si="24"/>
        <v>0</v>
      </c>
      <c r="U21" s="120"/>
      <c r="V21" s="195">
        <f t="shared" si="25"/>
        <v>0</v>
      </c>
    </row>
    <row r="22" spans="1:24" x14ac:dyDescent="0.25">
      <c r="A22" s="14" t="s">
        <v>14</v>
      </c>
      <c r="B22" s="20" t="s">
        <v>8</v>
      </c>
      <c r="C22" s="68">
        <v>370000</v>
      </c>
      <c r="D22" s="68">
        <v>370000</v>
      </c>
      <c r="E22" s="68">
        <v>370000</v>
      </c>
      <c r="F22" s="68">
        <v>306890</v>
      </c>
      <c r="G22" s="68"/>
      <c r="H22" s="68">
        <v>132200</v>
      </c>
      <c r="I22" s="68">
        <v>178310</v>
      </c>
      <c r="J22" s="68">
        <v>306890</v>
      </c>
      <c r="K22" s="68"/>
      <c r="L22" s="591">
        <f t="shared" si="16"/>
        <v>0.35729729729729731</v>
      </c>
      <c r="M22" s="591">
        <f t="shared" si="17"/>
        <v>0.48191891891891891</v>
      </c>
      <c r="N22" s="206">
        <f t="shared" si="18"/>
        <v>0.82943243243243248</v>
      </c>
      <c r="O22" s="68"/>
      <c r="P22" s="81">
        <f t="shared" si="20"/>
        <v>0</v>
      </c>
      <c r="Q22" s="81">
        <f t="shared" si="21"/>
        <v>0</v>
      </c>
      <c r="R22" s="81">
        <f t="shared" si="22"/>
        <v>0</v>
      </c>
      <c r="S22" s="81">
        <f t="shared" si="23"/>
        <v>0</v>
      </c>
      <c r="T22" s="281">
        <f t="shared" si="24"/>
        <v>0</v>
      </c>
      <c r="U22" s="120"/>
      <c r="V22" s="195">
        <f t="shared" si="25"/>
        <v>0</v>
      </c>
      <c r="X22" s="37"/>
    </row>
    <row r="23" spans="1:24" x14ac:dyDescent="0.25">
      <c r="A23" s="14" t="s">
        <v>15</v>
      </c>
      <c r="B23" s="20" t="s">
        <v>9</v>
      </c>
      <c r="C23" s="68"/>
      <c r="D23" s="68"/>
      <c r="E23" s="68"/>
      <c r="F23" s="68"/>
      <c r="G23" s="68"/>
      <c r="H23" s="68"/>
      <c r="I23" s="68"/>
      <c r="J23" s="68"/>
      <c r="K23" s="68"/>
      <c r="L23" s="591">
        <f t="shared" si="16"/>
        <v>0</v>
      </c>
      <c r="M23" s="591">
        <f t="shared" si="17"/>
        <v>0</v>
      </c>
      <c r="N23" s="206">
        <f t="shared" si="18"/>
        <v>0</v>
      </c>
      <c r="O23" s="68"/>
      <c r="P23" s="81">
        <f t="shared" si="20"/>
        <v>0</v>
      </c>
      <c r="Q23" s="81">
        <f t="shared" si="21"/>
        <v>0</v>
      </c>
      <c r="R23" s="81">
        <f t="shared" si="22"/>
        <v>0</v>
      </c>
      <c r="S23" s="81">
        <f t="shared" si="23"/>
        <v>0</v>
      </c>
      <c r="T23" s="281">
        <f t="shared" si="24"/>
        <v>0</v>
      </c>
      <c r="U23" s="120"/>
      <c r="V23" s="195">
        <f t="shared" si="25"/>
        <v>0</v>
      </c>
    </row>
    <row r="24" spans="1:24" x14ac:dyDescent="0.25">
      <c r="A24" s="14" t="s">
        <v>16</v>
      </c>
      <c r="B24" s="20" t="s">
        <v>10</v>
      </c>
      <c r="C24" s="68">
        <f>45000*2*43+10000</f>
        <v>3880000</v>
      </c>
      <c r="D24" s="68">
        <v>3880000</v>
      </c>
      <c r="E24" s="68">
        <v>3880000</v>
      </c>
      <c r="F24" s="68">
        <v>5340696</v>
      </c>
      <c r="G24" s="68"/>
      <c r="H24" s="68">
        <v>953977</v>
      </c>
      <c r="I24" s="68">
        <v>2892981</v>
      </c>
      <c r="J24" s="68">
        <v>5340696</v>
      </c>
      <c r="K24" s="68"/>
      <c r="L24" s="591">
        <f t="shared" si="16"/>
        <v>0.24587036082474226</v>
      </c>
      <c r="M24" s="591">
        <f t="shared" si="17"/>
        <v>0.74561365979381444</v>
      </c>
      <c r="N24" s="206">
        <f t="shared" si="18"/>
        <v>1.3764680412371133</v>
      </c>
      <c r="O24" s="68"/>
      <c r="P24" s="81">
        <f t="shared" si="20"/>
        <v>0</v>
      </c>
      <c r="Q24" s="81">
        <f t="shared" si="21"/>
        <v>0</v>
      </c>
      <c r="R24" s="81">
        <f t="shared" si="22"/>
        <v>0</v>
      </c>
      <c r="S24" s="81">
        <f t="shared" si="23"/>
        <v>0</v>
      </c>
      <c r="T24" s="281">
        <f t="shared" si="24"/>
        <v>0</v>
      </c>
      <c r="U24" s="120"/>
      <c r="V24" s="195">
        <f t="shared" si="25"/>
        <v>0</v>
      </c>
    </row>
    <row r="25" spans="1:24" x14ac:dyDescent="0.25">
      <c r="A25" s="14" t="s">
        <v>17</v>
      </c>
      <c r="B25" s="20"/>
      <c r="C25" s="68"/>
      <c r="D25" s="68"/>
      <c r="E25" s="68"/>
      <c r="F25" s="68"/>
      <c r="G25" s="68"/>
      <c r="H25" s="68"/>
      <c r="I25" s="68"/>
      <c r="J25" s="68"/>
      <c r="K25" s="68"/>
      <c r="L25" s="591">
        <f t="shared" si="16"/>
        <v>0</v>
      </c>
      <c r="M25" s="591">
        <f t="shared" si="17"/>
        <v>0</v>
      </c>
      <c r="N25" s="206">
        <f t="shared" si="18"/>
        <v>0</v>
      </c>
      <c r="O25" s="68"/>
      <c r="P25" s="81">
        <f t="shared" si="20"/>
        <v>0</v>
      </c>
      <c r="Q25" s="81">
        <f t="shared" si="21"/>
        <v>0</v>
      </c>
      <c r="R25" s="81">
        <f t="shared" si="22"/>
        <v>0</v>
      </c>
      <c r="S25" s="81">
        <f t="shared" si="23"/>
        <v>0</v>
      </c>
      <c r="T25" s="281">
        <f t="shared" si="24"/>
        <v>0</v>
      </c>
      <c r="U25" s="120"/>
      <c r="V25" s="195">
        <f t="shared" si="25"/>
        <v>0</v>
      </c>
      <c r="W25" s="2"/>
    </row>
    <row r="26" spans="1:24" x14ac:dyDescent="0.25">
      <c r="A26" s="14" t="s">
        <v>18</v>
      </c>
      <c r="B26" s="20" t="s">
        <v>19</v>
      </c>
      <c r="C26" s="68">
        <v>0</v>
      </c>
      <c r="D26" s="68">
        <v>0</v>
      </c>
      <c r="E26" s="68">
        <v>0</v>
      </c>
      <c r="F26" s="68">
        <v>0</v>
      </c>
      <c r="G26" s="68"/>
      <c r="H26" s="68">
        <v>0</v>
      </c>
      <c r="I26" s="68">
        <v>0</v>
      </c>
      <c r="J26" s="68">
        <v>0</v>
      </c>
      <c r="K26" s="68"/>
      <c r="L26" s="591">
        <f t="shared" si="16"/>
        <v>0</v>
      </c>
      <c r="M26" s="591">
        <f t="shared" si="17"/>
        <v>0</v>
      </c>
      <c r="N26" s="206">
        <f t="shared" si="18"/>
        <v>0</v>
      </c>
      <c r="O26" s="68"/>
      <c r="P26" s="81">
        <f t="shared" si="20"/>
        <v>0</v>
      </c>
      <c r="Q26" s="81">
        <f t="shared" si="21"/>
        <v>0</v>
      </c>
      <c r="R26" s="81">
        <f t="shared" si="22"/>
        <v>0</v>
      </c>
      <c r="S26" s="81">
        <f t="shared" si="23"/>
        <v>0</v>
      </c>
      <c r="T26" s="281">
        <f t="shared" si="24"/>
        <v>0</v>
      </c>
      <c r="U26" s="120"/>
      <c r="V26" s="195">
        <f t="shared" si="25"/>
        <v>0</v>
      </c>
    </row>
    <row r="27" spans="1:24" x14ac:dyDescent="0.25">
      <c r="A27" s="14" t="s">
        <v>20</v>
      </c>
      <c r="B27" s="20" t="s">
        <v>21</v>
      </c>
      <c r="C27" s="145">
        <v>1000000</v>
      </c>
      <c r="D27" s="68">
        <v>1300000</v>
      </c>
      <c r="E27" s="68">
        <v>1600000</v>
      </c>
      <c r="F27" s="68">
        <v>1495226</v>
      </c>
      <c r="G27" s="68"/>
      <c r="H27" s="68">
        <v>1046172</v>
      </c>
      <c r="I27" s="68">
        <v>1452626</v>
      </c>
      <c r="J27" s="68">
        <v>1495226</v>
      </c>
      <c r="K27" s="68"/>
      <c r="L27" s="591">
        <f t="shared" si="16"/>
        <v>1.0461720000000001</v>
      </c>
      <c r="M27" s="591">
        <f t="shared" si="17"/>
        <v>1.1174046153846153</v>
      </c>
      <c r="N27" s="206">
        <f t="shared" si="18"/>
        <v>0.93451625000000005</v>
      </c>
      <c r="O27" s="68"/>
      <c r="P27" s="81">
        <f t="shared" si="20"/>
        <v>300000</v>
      </c>
      <c r="Q27" s="81">
        <f t="shared" si="21"/>
        <v>300000</v>
      </c>
      <c r="R27" s="81">
        <f t="shared" si="22"/>
        <v>0</v>
      </c>
      <c r="S27" s="81">
        <f t="shared" si="23"/>
        <v>600000</v>
      </c>
      <c r="T27" s="281">
        <f t="shared" si="24"/>
        <v>0.6</v>
      </c>
      <c r="U27" s="120"/>
      <c r="V27" s="195">
        <f t="shared" si="25"/>
        <v>0</v>
      </c>
      <c r="W27" s="2"/>
    </row>
    <row r="28" spans="1:24" x14ac:dyDescent="0.25">
      <c r="A28" s="14" t="s">
        <v>22</v>
      </c>
      <c r="B28" s="20" t="s">
        <v>23</v>
      </c>
      <c r="C28" s="68">
        <v>0</v>
      </c>
      <c r="D28" s="68">
        <v>0</v>
      </c>
      <c r="E28" s="68">
        <v>0</v>
      </c>
      <c r="F28" s="68">
        <v>0</v>
      </c>
      <c r="G28" s="68"/>
      <c r="H28" s="68">
        <v>0</v>
      </c>
      <c r="I28" s="68">
        <v>0</v>
      </c>
      <c r="J28" s="68">
        <v>0</v>
      </c>
      <c r="K28" s="68"/>
      <c r="L28" s="591">
        <f t="shared" si="16"/>
        <v>0</v>
      </c>
      <c r="M28" s="591">
        <f t="shared" si="17"/>
        <v>0</v>
      </c>
      <c r="N28" s="206">
        <f t="shared" si="18"/>
        <v>0</v>
      </c>
      <c r="O28" s="68"/>
      <c r="P28" s="81">
        <f t="shared" si="20"/>
        <v>0</v>
      </c>
      <c r="Q28" s="81">
        <f t="shared" si="21"/>
        <v>0</v>
      </c>
      <c r="R28" s="81">
        <f t="shared" si="22"/>
        <v>0</v>
      </c>
      <c r="S28" s="81">
        <f t="shared" si="23"/>
        <v>0</v>
      </c>
      <c r="T28" s="281">
        <f t="shared" si="24"/>
        <v>0</v>
      </c>
      <c r="U28" s="120"/>
      <c r="V28" s="195">
        <f t="shared" si="25"/>
        <v>0</v>
      </c>
    </row>
    <row r="29" spans="1:24" x14ac:dyDescent="0.25">
      <c r="A29" s="14"/>
      <c r="B29" s="14"/>
      <c r="C29" s="68"/>
      <c r="D29" s="68"/>
      <c r="E29" s="68"/>
      <c r="F29" s="68"/>
      <c r="G29" s="68"/>
      <c r="H29" s="68"/>
      <c r="I29" s="68"/>
      <c r="J29" s="68"/>
      <c r="K29" s="68"/>
      <c r="L29" s="618"/>
      <c r="M29" s="619"/>
      <c r="N29" s="205">
        <f t="shared" si="18"/>
        <v>0</v>
      </c>
      <c r="O29" s="68"/>
      <c r="P29" s="81">
        <f t="shared" si="20"/>
        <v>0</v>
      </c>
      <c r="Q29" s="81">
        <f t="shared" si="21"/>
        <v>0</v>
      </c>
      <c r="R29" s="81">
        <f t="shared" si="22"/>
        <v>0</v>
      </c>
      <c r="S29" s="81">
        <f t="shared" si="23"/>
        <v>0</v>
      </c>
      <c r="T29" s="281">
        <f t="shared" si="24"/>
        <v>0</v>
      </c>
      <c r="U29" s="120"/>
      <c r="V29" s="195">
        <f t="shared" si="25"/>
        <v>0</v>
      </c>
    </row>
    <row r="30" spans="1:24" x14ac:dyDescent="0.25">
      <c r="A30" s="7" t="s">
        <v>24</v>
      </c>
      <c r="B30" s="5" t="s">
        <v>25</v>
      </c>
      <c r="C30" s="67">
        <f>+C31</f>
        <v>26000000</v>
      </c>
      <c r="D30" s="67">
        <f>SUM(D31)</f>
        <v>26000000</v>
      </c>
      <c r="E30" s="67">
        <f>SUM(E31)</f>
        <v>26000000</v>
      </c>
      <c r="F30" s="67">
        <f>SUM(F31)</f>
        <v>27063422</v>
      </c>
      <c r="G30" s="67"/>
      <c r="H30" s="67">
        <f>SUM(H31)</f>
        <v>13641320</v>
      </c>
      <c r="I30" s="67">
        <f>SUM(I31)</f>
        <v>20284766</v>
      </c>
      <c r="J30" s="67">
        <f>SUM(J31)</f>
        <v>27063422</v>
      </c>
      <c r="K30" s="67"/>
      <c r="L30" s="620"/>
      <c r="M30" s="621">
        <f>+I30/E30</f>
        <v>0.7801833076923077</v>
      </c>
      <c r="N30" s="207"/>
      <c r="O30" s="67"/>
      <c r="P30" s="67">
        <f t="shared" si="20"/>
        <v>0</v>
      </c>
      <c r="Q30" s="67">
        <f t="shared" si="21"/>
        <v>0</v>
      </c>
      <c r="R30" s="67">
        <f t="shared" si="22"/>
        <v>0</v>
      </c>
      <c r="S30" s="67">
        <f t="shared" si="23"/>
        <v>0</v>
      </c>
      <c r="T30" s="261">
        <f t="shared" si="24"/>
        <v>0</v>
      </c>
      <c r="U30" s="67"/>
      <c r="V30" s="256">
        <f t="shared" si="25"/>
        <v>0</v>
      </c>
    </row>
    <row r="31" spans="1:24" x14ac:dyDescent="0.25">
      <c r="A31" s="14"/>
      <c r="B31" s="20" t="s">
        <v>26</v>
      </c>
      <c r="C31" s="68">
        <v>26000000</v>
      </c>
      <c r="D31" s="68">
        <v>26000000</v>
      </c>
      <c r="E31" s="68">
        <v>26000000</v>
      </c>
      <c r="F31" s="68">
        <v>27063422</v>
      </c>
      <c r="G31" s="68"/>
      <c r="H31" s="68">
        <v>13641320</v>
      </c>
      <c r="I31" s="68">
        <v>20284766</v>
      </c>
      <c r="J31" s="68">
        <v>27063422</v>
      </c>
      <c r="K31" s="68"/>
      <c r="L31" s="591">
        <f>IF(H31&gt;0,H31/C31,0)</f>
        <v>0.52466615384615389</v>
      </c>
      <c r="M31" s="591">
        <f>IF(I31&gt;0,I31/D31,0)</f>
        <v>0.7801833076923077</v>
      </c>
      <c r="N31" s="206">
        <f>IF(J31&gt;0,J31/E31,0)</f>
        <v>1.0409008461538463</v>
      </c>
      <c r="O31" s="68"/>
      <c r="P31" s="81">
        <f t="shared" ref="P31" si="26">+(D31-C31)*P$10</f>
        <v>0</v>
      </c>
      <c r="Q31" s="81">
        <f t="shared" ref="Q31" si="27">+(E31-D31)*Q$10</f>
        <v>0</v>
      </c>
      <c r="R31" s="81">
        <f t="shared" ref="R31" si="28">+(F31-E31)*R$10</f>
        <v>0</v>
      </c>
      <c r="S31" s="81">
        <f t="shared" si="23"/>
        <v>0</v>
      </c>
      <c r="T31" s="281">
        <f t="shared" ref="T31" si="29">IF(C31=0,0,+S31/C31)</f>
        <v>0</v>
      </c>
      <c r="U31" s="120"/>
      <c r="V31" s="195">
        <f t="shared" ref="V31" si="30">+S31-E31+C31</f>
        <v>0</v>
      </c>
    </row>
    <row r="32" spans="1:24" x14ac:dyDescent="0.25">
      <c r="A32" s="14"/>
      <c r="B32" s="14"/>
      <c r="C32" s="68"/>
      <c r="D32" s="68"/>
      <c r="E32" s="68"/>
      <c r="F32" s="68"/>
      <c r="G32" s="68"/>
      <c r="H32" s="68"/>
      <c r="I32" s="68"/>
      <c r="J32" s="68"/>
      <c r="K32" s="68"/>
      <c r="L32" s="618"/>
      <c r="M32" s="619"/>
      <c r="N32" s="205"/>
      <c r="O32" s="68"/>
      <c r="P32" s="68"/>
      <c r="Q32" s="68"/>
      <c r="R32" s="68"/>
      <c r="S32" s="68"/>
      <c r="T32" s="262"/>
      <c r="U32" s="68"/>
      <c r="V32" s="255"/>
    </row>
    <row r="33" spans="1:24" x14ac:dyDescent="0.25">
      <c r="A33" s="7" t="s">
        <v>27</v>
      </c>
      <c r="B33" s="5" t="s">
        <v>28</v>
      </c>
      <c r="C33" s="67">
        <f>+C34+C42+C49+C67+C72</f>
        <v>13425000</v>
      </c>
      <c r="D33" s="67">
        <f>+D34+D42+D49+D67+D72</f>
        <v>13425000</v>
      </c>
      <c r="E33" s="67">
        <f>+E34+E42+E49+E67+E72</f>
        <v>12769557</v>
      </c>
      <c r="F33" s="67">
        <f>+F34+F42+F49+F67+F72</f>
        <v>12702667</v>
      </c>
      <c r="G33" s="67"/>
      <c r="H33" s="67">
        <f>+H34+H42+H49+H67+H72</f>
        <v>5334888</v>
      </c>
      <c r="I33" s="67">
        <f>+I34+I42+I49+I67+I72</f>
        <v>7770882</v>
      </c>
      <c r="J33" s="67">
        <f>+J34+J42+J49+J67+J72</f>
        <v>10660790</v>
      </c>
      <c r="K33" s="67"/>
      <c r="L33" s="620"/>
      <c r="M33" s="621">
        <f>+I33/E33</f>
        <v>0.60854750090390763</v>
      </c>
      <c r="N33" s="207"/>
      <c r="O33" s="67"/>
      <c r="P33" s="67">
        <f t="shared" ref="P33" si="31">+(D33-C33)*P$10</f>
        <v>0</v>
      </c>
      <c r="Q33" s="67">
        <f t="shared" ref="Q33" si="32">+(E33-D33)*Q$10</f>
        <v>-655443</v>
      </c>
      <c r="R33" s="67">
        <f t="shared" ref="R33" si="33">+(F33-E33)*R$10</f>
        <v>0</v>
      </c>
      <c r="S33" s="67">
        <f t="shared" ref="S33:S82" si="34">+P33*P$10+Q33*Q$10+R33*R$10</f>
        <v>-655443</v>
      </c>
      <c r="T33" s="261">
        <f t="shared" ref="T33" si="35">IF(C33=0,0,+S33/C33)</f>
        <v>-4.8822569832402234E-2</v>
      </c>
      <c r="U33" s="67"/>
      <c r="V33" s="256">
        <f t="shared" ref="V33" si="36">+S33-E33+C33</f>
        <v>0</v>
      </c>
    </row>
    <row r="34" spans="1:24" x14ac:dyDescent="0.25">
      <c r="A34" s="38" t="s">
        <v>29</v>
      </c>
      <c r="B34" s="39" t="s">
        <v>30</v>
      </c>
      <c r="C34" s="95">
        <f>SUM(C35:C41)</f>
        <v>4280000</v>
      </c>
      <c r="D34" s="95">
        <f t="shared" ref="D34:F34" si="37">SUM(D35:D41)</f>
        <v>4280000</v>
      </c>
      <c r="E34" s="95">
        <f t="shared" si="37"/>
        <v>4080000</v>
      </c>
      <c r="F34" s="95">
        <f t="shared" si="37"/>
        <v>3962110</v>
      </c>
      <c r="G34" s="95"/>
      <c r="H34" s="95">
        <f t="shared" ref="H34" si="38">SUM(H35:H41)</f>
        <v>1918833</v>
      </c>
      <c r="I34" s="95">
        <f t="shared" ref="I34" si="39">SUM(I35:I41)</f>
        <v>2516942</v>
      </c>
      <c r="J34" s="95">
        <f t="shared" ref="J34" si="40">SUM(J35:J41)</f>
        <v>3465350</v>
      </c>
      <c r="K34" s="95"/>
      <c r="L34" s="622">
        <f t="shared" ref="L34:L65" si="41">IF(H34&gt;0,H34/C34,0)</f>
        <v>0.44832546728971961</v>
      </c>
      <c r="M34" s="623">
        <f t="shared" ref="M34:M65" si="42">IF(I34&gt;0,I34/D34,0)</f>
        <v>0.58807056074766351</v>
      </c>
      <c r="N34" s="208">
        <f t="shared" ref="N34:N65" si="43">IF(J34&gt;0,J34/E34,0)</f>
        <v>0.84935049019607844</v>
      </c>
      <c r="O34" s="95"/>
      <c r="P34" s="95">
        <f t="shared" ref="P34:P84" si="44">+(D34-C34)*P$10</f>
        <v>0</v>
      </c>
      <c r="Q34" s="95">
        <f t="shared" ref="Q34:Q84" si="45">+(E34-D34)*Q$10</f>
        <v>-200000</v>
      </c>
      <c r="R34" s="95">
        <f t="shared" ref="R34:R84" si="46">+(F34-E34)*R$10</f>
        <v>0</v>
      </c>
      <c r="S34" s="95">
        <f t="shared" si="34"/>
        <v>-200000</v>
      </c>
      <c r="T34" s="263">
        <f t="shared" ref="T34:T84" si="47">IF(C34=0,0,+S34/C34)</f>
        <v>-4.6728971962616821E-2</v>
      </c>
      <c r="U34" s="95"/>
      <c r="V34" s="257">
        <f t="shared" ref="V34:V84" si="48">+S34-E34+C34</f>
        <v>0</v>
      </c>
    </row>
    <row r="35" spans="1:24" x14ac:dyDescent="0.25">
      <c r="A35" s="14" t="s">
        <v>31</v>
      </c>
      <c r="B35" s="20" t="s">
        <v>33</v>
      </c>
      <c r="C35" s="68">
        <v>280000</v>
      </c>
      <c r="D35" s="68">
        <v>280000</v>
      </c>
      <c r="E35" s="68">
        <v>80000</v>
      </c>
      <c r="F35" s="68">
        <v>80000</v>
      </c>
      <c r="G35" s="68"/>
      <c r="H35" s="68">
        <v>24576</v>
      </c>
      <c r="I35" s="68">
        <v>74401</v>
      </c>
      <c r="J35" s="68">
        <v>74401</v>
      </c>
      <c r="K35" s="68"/>
      <c r="L35" s="618">
        <f t="shared" si="41"/>
        <v>8.777142857142857E-2</v>
      </c>
      <c r="M35" s="624">
        <f t="shared" si="42"/>
        <v>0.26571785714285712</v>
      </c>
      <c r="N35" s="205">
        <f t="shared" si="43"/>
        <v>0.93001250000000002</v>
      </c>
      <c r="O35" s="68"/>
      <c r="P35" s="68">
        <f t="shared" si="44"/>
        <v>0</v>
      </c>
      <c r="Q35" s="68">
        <f t="shared" si="45"/>
        <v>-200000</v>
      </c>
      <c r="R35" s="68">
        <f t="shared" si="46"/>
        <v>0</v>
      </c>
      <c r="S35" s="68">
        <f t="shared" si="34"/>
        <v>-200000</v>
      </c>
      <c r="T35" s="262">
        <f t="shared" si="47"/>
        <v>-0.7142857142857143</v>
      </c>
      <c r="U35" s="68"/>
      <c r="V35" s="255">
        <f t="shared" si="48"/>
        <v>0</v>
      </c>
    </row>
    <row r="36" spans="1:24" x14ac:dyDescent="0.25">
      <c r="A36" s="14"/>
      <c r="B36" s="20" t="s">
        <v>87</v>
      </c>
      <c r="C36" s="68"/>
      <c r="D36" s="68"/>
      <c r="E36" s="68"/>
      <c r="F36" s="68"/>
      <c r="G36" s="68"/>
      <c r="H36" s="68"/>
      <c r="I36" s="68"/>
      <c r="J36" s="68"/>
      <c r="K36" s="68"/>
      <c r="L36" s="618">
        <f t="shared" si="41"/>
        <v>0</v>
      </c>
      <c r="M36" s="619">
        <f t="shared" si="42"/>
        <v>0</v>
      </c>
      <c r="N36" s="205">
        <f t="shared" si="43"/>
        <v>0</v>
      </c>
      <c r="O36" s="68"/>
      <c r="P36" s="68">
        <f t="shared" si="44"/>
        <v>0</v>
      </c>
      <c r="Q36" s="68">
        <f t="shared" si="45"/>
        <v>0</v>
      </c>
      <c r="R36" s="68">
        <f t="shared" si="46"/>
        <v>0</v>
      </c>
      <c r="S36" s="68">
        <f t="shared" si="34"/>
        <v>0</v>
      </c>
      <c r="T36" s="262">
        <f t="shared" si="47"/>
        <v>0</v>
      </c>
      <c r="U36" s="68"/>
      <c r="V36" s="255">
        <f t="shared" si="48"/>
        <v>0</v>
      </c>
    </row>
    <row r="37" spans="1:24" x14ac:dyDescent="0.25">
      <c r="A37" s="14" t="s">
        <v>32</v>
      </c>
      <c r="B37" s="20" t="s">
        <v>34</v>
      </c>
      <c r="C37" s="68">
        <v>4000000</v>
      </c>
      <c r="D37" s="68">
        <v>4000000</v>
      </c>
      <c r="E37" s="68">
        <v>4000000</v>
      </c>
      <c r="F37" s="68">
        <v>3882110</v>
      </c>
      <c r="G37" s="68"/>
      <c r="H37" s="68">
        <v>1894257</v>
      </c>
      <c r="I37" s="68">
        <v>2442541</v>
      </c>
      <c r="J37" s="68">
        <v>3390949</v>
      </c>
      <c r="K37" s="68"/>
      <c r="L37" s="618">
        <f t="shared" si="41"/>
        <v>0.47356425000000002</v>
      </c>
      <c r="M37" s="624">
        <f t="shared" si="42"/>
        <v>0.61063524999999996</v>
      </c>
      <c r="N37" s="205">
        <f t="shared" si="43"/>
        <v>0.84773725</v>
      </c>
      <c r="O37" s="68"/>
      <c r="P37" s="68">
        <f t="shared" si="44"/>
        <v>0</v>
      </c>
      <c r="Q37" s="68">
        <f t="shared" si="45"/>
        <v>0</v>
      </c>
      <c r="R37" s="68">
        <f t="shared" si="46"/>
        <v>0</v>
      </c>
      <c r="S37" s="68">
        <f t="shared" si="34"/>
        <v>0</v>
      </c>
      <c r="T37" s="262">
        <f t="shared" si="47"/>
        <v>0</v>
      </c>
      <c r="U37" s="68"/>
      <c r="V37" s="255">
        <f t="shared" si="48"/>
        <v>0</v>
      </c>
      <c r="X37" s="37"/>
    </row>
    <row r="38" spans="1:24" x14ac:dyDescent="0.25">
      <c r="A38" s="14"/>
      <c r="B38" s="20" t="s">
        <v>94</v>
      </c>
      <c r="C38" s="68"/>
      <c r="D38" s="68"/>
      <c r="E38" s="68">
        <v>0</v>
      </c>
      <c r="F38" s="68"/>
      <c r="G38" s="68"/>
      <c r="H38" s="68">
        <v>0</v>
      </c>
      <c r="I38" s="68"/>
      <c r="J38" s="68"/>
      <c r="K38" s="68"/>
      <c r="L38" s="618">
        <f t="shared" si="41"/>
        <v>0</v>
      </c>
      <c r="M38" s="619">
        <f t="shared" si="42"/>
        <v>0</v>
      </c>
      <c r="N38" s="205">
        <f t="shared" si="43"/>
        <v>0</v>
      </c>
      <c r="O38" s="68"/>
      <c r="P38" s="68">
        <f t="shared" si="44"/>
        <v>0</v>
      </c>
      <c r="Q38" s="68">
        <f t="shared" si="45"/>
        <v>0</v>
      </c>
      <c r="R38" s="68">
        <f t="shared" si="46"/>
        <v>0</v>
      </c>
      <c r="S38" s="68">
        <f t="shared" si="34"/>
        <v>0</v>
      </c>
      <c r="T38" s="262">
        <f t="shared" si="47"/>
        <v>0</v>
      </c>
      <c r="U38" s="68"/>
      <c r="V38" s="255">
        <f t="shared" si="48"/>
        <v>0</v>
      </c>
    </row>
    <row r="39" spans="1:24" x14ac:dyDescent="0.25">
      <c r="A39" s="14"/>
      <c r="B39" s="20" t="s">
        <v>93</v>
      </c>
      <c r="C39" s="68"/>
      <c r="D39" s="68"/>
      <c r="E39" s="68"/>
      <c r="F39" s="68"/>
      <c r="G39" s="68"/>
      <c r="H39" s="68"/>
      <c r="I39" s="68"/>
      <c r="J39" s="68"/>
      <c r="K39" s="68"/>
      <c r="L39" s="618">
        <f t="shared" si="41"/>
        <v>0</v>
      </c>
      <c r="M39" s="619">
        <f t="shared" si="42"/>
        <v>0</v>
      </c>
      <c r="N39" s="205">
        <f t="shared" si="43"/>
        <v>0</v>
      </c>
      <c r="O39" s="68"/>
      <c r="P39" s="68">
        <f t="shared" si="44"/>
        <v>0</v>
      </c>
      <c r="Q39" s="68">
        <f t="shared" si="45"/>
        <v>0</v>
      </c>
      <c r="R39" s="68">
        <f t="shared" si="46"/>
        <v>0</v>
      </c>
      <c r="S39" s="68">
        <f t="shared" si="34"/>
        <v>0</v>
      </c>
      <c r="T39" s="262">
        <f t="shared" si="47"/>
        <v>0</v>
      </c>
      <c r="U39" s="68"/>
      <c r="V39" s="255">
        <f t="shared" si="48"/>
        <v>0</v>
      </c>
    </row>
    <row r="40" spans="1:24" x14ac:dyDescent="0.25">
      <c r="A40" s="14"/>
      <c r="B40" s="20" t="s">
        <v>92</v>
      </c>
      <c r="C40" s="68"/>
      <c r="D40" s="68"/>
      <c r="E40" s="68"/>
      <c r="F40" s="68"/>
      <c r="G40" s="68"/>
      <c r="H40" s="68"/>
      <c r="I40" s="68"/>
      <c r="J40" s="68"/>
      <c r="K40" s="68"/>
      <c r="L40" s="618">
        <f t="shared" si="41"/>
        <v>0</v>
      </c>
      <c r="M40" s="619">
        <f t="shared" si="42"/>
        <v>0</v>
      </c>
      <c r="N40" s="205">
        <f t="shared" si="43"/>
        <v>0</v>
      </c>
      <c r="O40" s="68"/>
      <c r="P40" s="68">
        <f t="shared" si="44"/>
        <v>0</v>
      </c>
      <c r="Q40" s="68">
        <f t="shared" si="45"/>
        <v>0</v>
      </c>
      <c r="R40" s="68">
        <f t="shared" si="46"/>
        <v>0</v>
      </c>
      <c r="S40" s="68">
        <f t="shared" si="34"/>
        <v>0</v>
      </c>
      <c r="T40" s="262">
        <f t="shared" si="47"/>
        <v>0</v>
      </c>
      <c r="U40" s="68"/>
      <c r="V40" s="255">
        <f t="shared" si="48"/>
        <v>0</v>
      </c>
    </row>
    <row r="41" spans="1:24" x14ac:dyDescent="0.25">
      <c r="A41" s="14"/>
      <c r="B41" s="20" t="s">
        <v>91</v>
      </c>
      <c r="C41" s="68"/>
      <c r="D41" s="68"/>
      <c r="E41" s="68"/>
      <c r="F41" s="68"/>
      <c r="G41" s="68"/>
      <c r="H41" s="68">
        <v>0</v>
      </c>
      <c r="I41" s="68"/>
      <c r="J41" s="68"/>
      <c r="K41" s="68"/>
      <c r="L41" s="618">
        <f t="shared" si="41"/>
        <v>0</v>
      </c>
      <c r="M41" s="619">
        <f t="shared" si="42"/>
        <v>0</v>
      </c>
      <c r="N41" s="205">
        <f t="shared" si="43"/>
        <v>0</v>
      </c>
      <c r="O41" s="68"/>
      <c r="P41" s="68">
        <f t="shared" si="44"/>
        <v>0</v>
      </c>
      <c r="Q41" s="68">
        <f t="shared" si="45"/>
        <v>0</v>
      </c>
      <c r="R41" s="68">
        <f t="shared" si="46"/>
        <v>0</v>
      </c>
      <c r="S41" s="68">
        <f t="shared" si="34"/>
        <v>0</v>
      </c>
      <c r="T41" s="262">
        <f t="shared" si="47"/>
        <v>0</v>
      </c>
      <c r="U41" s="68"/>
      <c r="V41" s="255">
        <f t="shared" si="48"/>
        <v>0</v>
      </c>
    </row>
    <row r="42" spans="1:24" x14ac:dyDescent="0.25">
      <c r="A42" s="38" t="s">
        <v>35</v>
      </c>
      <c r="B42" s="39" t="s">
        <v>36</v>
      </c>
      <c r="C42" s="95">
        <f>+C43+C47</f>
        <v>600000</v>
      </c>
      <c r="D42" s="95">
        <f>+D43+D47</f>
        <v>600000</v>
      </c>
      <c r="E42" s="95">
        <f>+E43+E47</f>
        <v>300000</v>
      </c>
      <c r="F42" s="95">
        <f>+F43+F47</f>
        <v>300000</v>
      </c>
      <c r="G42" s="95"/>
      <c r="H42" s="95">
        <f>+H43+H47</f>
        <v>75128</v>
      </c>
      <c r="I42" s="95">
        <f>+I43+I47</f>
        <v>112798</v>
      </c>
      <c r="J42" s="95">
        <f>+J43+J47</f>
        <v>150438</v>
      </c>
      <c r="K42" s="95"/>
      <c r="L42" s="622">
        <f t="shared" si="41"/>
        <v>0.12521333333333334</v>
      </c>
      <c r="M42" s="623">
        <f t="shared" si="42"/>
        <v>0.18799666666666667</v>
      </c>
      <c r="N42" s="208">
        <f t="shared" si="43"/>
        <v>0.50146000000000002</v>
      </c>
      <c r="O42" s="95"/>
      <c r="P42" s="95">
        <f t="shared" si="44"/>
        <v>0</v>
      </c>
      <c r="Q42" s="95">
        <f t="shared" si="45"/>
        <v>-300000</v>
      </c>
      <c r="R42" s="95">
        <f t="shared" si="46"/>
        <v>0</v>
      </c>
      <c r="S42" s="95">
        <f t="shared" si="34"/>
        <v>-300000</v>
      </c>
      <c r="T42" s="263">
        <f t="shared" si="47"/>
        <v>-0.5</v>
      </c>
      <c r="U42" s="95"/>
      <c r="V42" s="257">
        <f t="shared" si="48"/>
        <v>0</v>
      </c>
    </row>
    <row r="43" spans="1:24" x14ac:dyDescent="0.25">
      <c r="A43" s="14" t="s">
        <v>37</v>
      </c>
      <c r="B43" s="20" t="s">
        <v>38</v>
      </c>
      <c r="C43" s="68">
        <v>200000</v>
      </c>
      <c r="D43" s="68">
        <v>200000</v>
      </c>
      <c r="E43" s="68">
        <v>0</v>
      </c>
      <c r="F43" s="68">
        <v>0</v>
      </c>
      <c r="G43" s="68"/>
      <c r="H43" s="68">
        <v>0</v>
      </c>
      <c r="I43" s="68">
        <v>0</v>
      </c>
      <c r="J43" s="68">
        <v>0</v>
      </c>
      <c r="K43" s="68"/>
      <c r="L43" s="618">
        <f t="shared" si="41"/>
        <v>0</v>
      </c>
      <c r="M43" s="624">
        <f t="shared" si="42"/>
        <v>0</v>
      </c>
      <c r="N43" s="205">
        <f t="shared" si="43"/>
        <v>0</v>
      </c>
      <c r="O43" s="68"/>
      <c r="P43" s="68">
        <f t="shared" si="44"/>
        <v>0</v>
      </c>
      <c r="Q43" s="68">
        <f t="shared" si="45"/>
        <v>-200000</v>
      </c>
      <c r="R43" s="68">
        <f t="shared" si="46"/>
        <v>0</v>
      </c>
      <c r="S43" s="68">
        <f t="shared" si="34"/>
        <v>-200000</v>
      </c>
      <c r="T43" s="262">
        <f t="shared" si="47"/>
        <v>-1</v>
      </c>
      <c r="U43" s="68"/>
      <c r="V43" s="255">
        <f t="shared" si="48"/>
        <v>0</v>
      </c>
    </row>
    <row r="44" spans="1:24" x14ac:dyDescent="0.25">
      <c r="A44" s="14"/>
      <c r="B44" s="20" t="s">
        <v>39</v>
      </c>
      <c r="C44" s="68">
        <v>0</v>
      </c>
      <c r="D44" s="68"/>
      <c r="E44" s="68"/>
      <c r="F44" s="68"/>
      <c r="G44" s="68"/>
      <c r="H44" s="68"/>
      <c r="I44" s="68"/>
      <c r="J44" s="68"/>
      <c r="K44" s="68"/>
      <c r="L44" s="618">
        <f t="shared" si="41"/>
        <v>0</v>
      </c>
      <c r="M44" s="619">
        <f t="shared" si="42"/>
        <v>0</v>
      </c>
      <c r="N44" s="205">
        <f t="shared" si="43"/>
        <v>0</v>
      </c>
      <c r="O44" s="68"/>
      <c r="P44" s="68">
        <f t="shared" si="44"/>
        <v>0</v>
      </c>
      <c r="Q44" s="68">
        <f t="shared" si="45"/>
        <v>0</v>
      </c>
      <c r="R44" s="68">
        <f t="shared" si="46"/>
        <v>0</v>
      </c>
      <c r="S44" s="68">
        <f t="shared" si="34"/>
        <v>0</v>
      </c>
      <c r="T44" s="262">
        <f t="shared" si="47"/>
        <v>0</v>
      </c>
      <c r="U44" s="68"/>
      <c r="V44" s="255">
        <f t="shared" si="48"/>
        <v>0</v>
      </c>
    </row>
    <row r="45" spans="1:24" x14ac:dyDescent="0.25">
      <c r="A45" s="14"/>
      <c r="B45" s="20" t="s">
        <v>40</v>
      </c>
      <c r="C45" s="68">
        <v>0</v>
      </c>
      <c r="D45" s="68"/>
      <c r="E45" s="68"/>
      <c r="F45" s="68"/>
      <c r="G45" s="68"/>
      <c r="H45" s="68"/>
      <c r="I45" s="68"/>
      <c r="J45" s="68"/>
      <c r="K45" s="68"/>
      <c r="L45" s="618">
        <f t="shared" si="41"/>
        <v>0</v>
      </c>
      <c r="M45" s="619">
        <f t="shared" si="42"/>
        <v>0</v>
      </c>
      <c r="N45" s="205">
        <f t="shared" si="43"/>
        <v>0</v>
      </c>
      <c r="O45" s="68"/>
      <c r="P45" s="68">
        <f t="shared" si="44"/>
        <v>0</v>
      </c>
      <c r="Q45" s="68">
        <f t="shared" si="45"/>
        <v>0</v>
      </c>
      <c r="R45" s="68">
        <f t="shared" si="46"/>
        <v>0</v>
      </c>
      <c r="S45" s="68">
        <f t="shared" si="34"/>
        <v>0</v>
      </c>
      <c r="T45" s="262">
        <f t="shared" si="47"/>
        <v>0</v>
      </c>
      <c r="U45" s="68"/>
      <c r="V45" s="255">
        <f t="shared" si="48"/>
        <v>0</v>
      </c>
    </row>
    <row r="46" spans="1:24" x14ac:dyDescent="0.25">
      <c r="A46" s="14"/>
      <c r="B46" s="20" t="s">
        <v>41</v>
      </c>
      <c r="C46" s="68">
        <v>0</v>
      </c>
      <c r="D46" s="68"/>
      <c r="E46" s="68"/>
      <c r="F46" s="68"/>
      <c r="G46" s="68"/>
      <c r="H46" s="68"/>
      <c r="I46" s="68"/>
      <c r="J46" s="68"/>
      <c r="K46" s="68"/>
      <c r="L46" s="618">
        <f t="shared" si="41"/>
        <v>0</v>
      </c>
      <c r="M46" s="619">
        <f t="shared" si="42"/>
        <v>0</v>
      </c>
      <c r="N46" s="205">
        <f t="shared" si="43"/>
        <v>0</v>
      </c>
      <c r="O46" s="68"/>
      <c r="P46" s="68">
        <f t="shared" si="44"/>
        <v>0</v>
      </c>
      <c r="Q46" s="68">
        <f t="shared" si="45"/>
        <v>0</v>
      </c>
      <c r="R46" s="68">
        <f t="shared" si="46"/>
        <v>0</v>
      </c>
      <c r="S46" s="68">
        <f t="shared" si="34"/>
        <v>0</v>
      </c>
      <c r="T46" s="262">
        <f t="shared" si="47"/>
        <v>0</v>
      </c>
      <c r="U46" s="68"/>
      <c r="V46" s="255">
        <f t="shared" si="48"/>
        <v>0</v>
      </c>
    </row>
    <row r="47" spans="1:24" x14ac:dyDescent="0.25">
      <c r="A47" s="14" t="s">
        <v>42</v>
      </c>
      <c r="B47" s="20" t="s">
        <v>43</v>
      </c>
      <c r="C47" s="68">
        <v>400000</v>
      </c>
      <c r="D47" s="68">
        <v>400000</v>
      </c>
      <c r="E47" s="68">
        <v>300000</v>
      </c>
      <c r="F47" s="68">
        <v>300000</v>
      </c>
      <c r="G47" s="68"/>
      <c r="H47" s="68">
        <v>75128</v>
      </c>
      <c r="I47" s="68">
        <v>112798</v>
      </c>
      <c r="J47" s="68">
        <v>150438</v>
      </c>
      <c r="K47" s="68"/>
      <c r="L47" s="618">
        <f t="shared" si="41"/>
        <v>0.18781999999999999</v>
      </c>
      <c r="M47" s="624">
        <f t="shared" si="42"/>
        <v>0.281995</v>
      </c>
      <c r="N47" s="205">
        <f t="shared" si="43"/>
        <v>0.50146000000000002</v>
      </c>
      <c r="O47" s="68"/>
      <c r="P47" s="68">
        <f t="shared" si="44"/>
        <v>0</v>
      </c>
      <c r="Q47" s="68">
        <f t="shared" si="45"/>
        <v>-100000</v>
      </c>
      <c r="R47" s="68">
        <f t="shared" si="46"/>
        <v>0</v>
      </c>
      <c r="S47" s="68">
        <f t="shared" si="34"/>
        <v>-100000</v>
      </c>
      <c r="T47" s="262">
        <f t="shared" si="47"/>
        <v>-0.25</v>
      </c>
      <c r="U47" s="68"/>
      <c r="V47" s="255">
        <f t="shared" si="48"/>
        <v>0</v>
      </c>
    </row>
    <row r="48" spans="1:24" x14ac:dyDescent="0.25">
      <c r="A48" s="14"/>
      <c r="B48" s="20" t="s">
        <v>44</v>
      </c>
      <c r="C48" s="68">
        <v>0</v>
      </c>
      <c r="D48" s="68"/>
      <c r="E48" s="68"/>
      <c r="F48" s="68"/>
      <c r="G48" s="68"/>
      <c r="H48" s="68"/>
      <c r="I48" s="68"/>
      <c r="J48" s="68"/>
      <c r="K48" s="68"/>
      <c r="L48" s="618">
        <f t="shared" si="41"/>
        <v>0</v>
      </c>
      <c r="M48" s="619">
        <f t="shared" si="42"/>
        <v>0</v>
      </c>
      <c r="N48" s="205">
        <f t="shared" si="43"/>
        <v>0</v>
      </c>
      <c r="O48" s="68"/>
      <c r="P48" s="68">
        <f t="shared" si="44"/>
        <v>0</v>
      </c>
      <c r="Q48" s="68">
        <f t="shared" si="45"/>
        <v>0</v>
      </c>
      <c r="R48" s="68">
        <f t="shared" si="46"/>
        <v>0</v>
      </c>
      <c r="S48" s="68">
        <f t="shared" si="34"/>
        <v>0</v>
      </c>
      <c r="T48" s="262">
        <f t="shared" si="47"/>
        <v>0</v>
      </c>
      <c r="U48" s="68"/>
      <c r="V48" s="255">
        <f t="shared" si="48"/>
        <v>0</v>
      </c>
    </row>
    <row r="49" spans="1:22" s="42" customFormat="1" x14ac:dyDescent="0.25">
      <c r="A49" s="38" t="s">
        <v>45</v>
      </c>
      <c r="B49" s="39" t="s">
        <v>46</v>
      </c>
      <c r="C49" s="95">
        <f>+C50+C54+C57+C59+C61+C63+C65</f>
        <v>5890000</v>
      </c>
      <c r="D49" s="95">
        <f>+D50+D54+D57+D59+D61+D63+D65</f>
        <v>5890000</v>
      </c>
      <c r="E49" s="95">
        <f>+E50+E54+E57+E59+E61+E63+E65</f>
        <v>5900000</v>
      </c>
      <c r="F49" s="95">
        <f>+F50+F54+F57+F59+F61+F63+F65</f>
        <v>5951000</v>
      </c>
      <c r="G49" s="95"/>
      <c r="H49" s="95">
        <f>+H50+H54+H57+H59+H61+H63+H65</f>
        <v>2535221</v>
      </c>
      <c r="I49" s="95">
        <f>+I50+I54+I57+I59+I61+I63+I65</f>
        <v>3927387</v>
      </c>
      <c r="J49" s="95">
        <f>+J50+J54+J57+J59+J61+J63+J65</f>
        <v>5279791</v>
      </c>
      <c r="K49" s="95"/>
      <c r="L49" s="622">
        <f t="shared" si="41"/>
        <v>0.43042801358234295</v>
      </c>
      <c r="M49" s="623">
        <f t="shared" si="42"/>
        <v>0.66678896434634971</v>
      </c>
      <c r="N49" s="208">
        <f t="shared" si="43"/>
        <v>0.89487983050847453</v>
      </c>
      <c r="O49" s="95"/>
      <c r="P49" s="95">
        <f t="shared" si="44"/>
        <v>0</v>
      </c>
      <c r="Q49" s="95">
        <f t="shared" si="45"/>
        <v>10000</v>
      </c>
      <c r="R49" s="95">
        <f t="shared" si="46"/>
        <v>0</v>
      </c>
      <c r="S49" s="95">
        <f t="shared" si="34"/>
        <v>10000</v>
      </c>
      <c r="T49" s="263">
        <f t="shared" si="47"/>
        <v>1.697792869269949E-3</v>
      </c>
      <c r="U49" s="95"/>
      <c r="V49" s="257">
        <f t="shared" si="48"/>
        <v>0</v>
      </c>
    </row>
    <row r="50" spans="1:22" x14ac:dyDescent="0.25">
      <c r="A50" s="14" t="s">
        <v>47</v>
      </c>
      <c r="B50" s="20" t="s">
        <v>48</v>
      </c>
      <c r="C50" s="214">
        <v>4600000</v>
      </c>
      <c r="D50" s="68">
        <v>4600000</v>
      </c>
      <c r="E50" s="68">
        <v>4600000</v>
      </c>
      <c r="F50" s="68">
        <v>4370000</v>
      </c>
      <c r="G50" s="68"/>
      <c r="H50" s="68">
        <v>1958683</v>
      </c>
      <c r="I50" s="68">
        <v>2895905</v>
      </c>
      <c r="J50" s="68">
        <v>3706859</v>
      </c>
      <c r="K50" s="68"/>
      <c r="L50" s="618">
        <f t="shared" si="41"/>
        <v>0.42580065217391305</v>
      </c>
      <c r="M50" s="624">
        <f t="shared" si="42"/>
        <v>0.62954456521739133</v>
      </c>
      <c r="N50" s="205">
        <f t="shared" si="43"/>
        <v>0.80583891304347821</v>
      </c>
      <c r="O50" s="68"/>
      <c r="P50" s="68">
        <f t="shared" si="44"/>
        <v>0</v>
      </c>
      <c r="Q50" s="68">
        <f t="shared" si="45"/>
        <v>0</v>
      </c>
      <c r="R50" s="68">
        <f t="shared" si="46"/>
        <v>0</v>
      </c>
      <c r="S50" s="68">
        <f t="shared" si="34"/>
        <v>0</v>
      </c>
      <c r="T50" s="262">
        <f t="shared" si="47"/>
        <v>0</v>
      </c>
      <c r="U50" s="68"/>
      <c r="V50" s="255">
        <f t="shared" si="48"/>
        <v>0</v>
      </c>
    </row>
    <row r="51" spans="1:22" x14ac:dyDescent="0.25">
      <c r="A51" s="14" t="s">
        <v>101</v>
      </c>
      <c r="B51" s="20" t="s">
        <v>95</v>
      </c>
      <c r="C51" s="143" t="s">
        <v>481</v>
      </c>
      <c r="D51" s="68"/>
      <c r="E51" s="68"/>
      <c r="F51" s="68"/>
      <c r="G51" s="68"/>
      <c r="H51" s="68"/>
      <c r="I51" s="68"/>
      <c r="J51" s="68"/>
      <c r="K51" s="68"/>
      <c r="L51" s="618">
        <f t="shared" si="41"/>
        <v>0</v>
      </c>
      <c r="M51" s="619">
        <f t="shared" si="42"/>
        <v>0</v>
      </c>
      <c r="N51" s="205">
        <f t="shared" si="43"/>
        <v>0</v>
      </c>
      <c r="O51" s="68"/>
      <c r="P51" s="68" t="e">
        <f t="shared" si="44"/>
        <v>#VALUE!</v>
      </c>
      <c r="Q51" s="68">
        <f t="shared" si="45"/>
        <v>0</v>
      </c>
      <c r="R51" s="68">
        <f t="shared" si="46"/>
        <v>0</v>
      </c>
      <c r="S51" s="68" t="e">
        <f t="shared" si="34"/>
        <v>#VALUE!</v>
      </c>
      <c r="T51" s="262" t="e">
        <f t="shared" si="47"/>
        <v>#VALUE!</v>
      </c>
      <c r="U51" s="68"/>
      <c r="V51" s="255" t="e">
        <f t="shared" si="48"/>
        <v>#VALUE!</v>
      </c>
    </row>
    <row r="52" spans="1:22" x14ac:dyDescent="0.25">
      <c r="A52" s="14"/>
      <c r="B52" s="20" t="s">
        <v>96</v>
      </c>
      <c r="C52" s="68"/>
      <c r="D52" s="68"/>
      <c r="E52" s="68"/>
      <c r="F52" s="68"/>
      <c r="G52" s="68"/>
      <c r="H52" s="68"/>
      <c r="I52" s="68"/>
      <c r="J52" s="68"/>
      <c r="K52" s="68"/>
      <c r="L52" s="618">
        <f t="shared" si="41"/>
        <v>0</v>
      </c>
      <c r="M52" s="619">
        <f t="shared" si="42"/>
        <v>0</v>
      </c>
      <c r="N52" s="205">
        <f t="shared" si="43"/>
        <v>0</v>
      </c>
      <c r="O52" s="68"/>
      <c r="P52" s="68">
        <f t="shared" si="44"/>
        <v>0</v>
      </c>
      <c r="Q52" s="68">
        <f t="shared" si="45"/>
        <v>0</v>
      </c>
      <c r="R52" s="68">
        <f t="shared" si="46"/>
        <v>0</v>
      </c>
      <c r="S52" s="68">
        <f t="shared" si="34"/>
        <v>0</v>
      </c>
      <c r="T52" s="262">
        <f t="shared" si="47"/>
        <v>0</v>
      </c>
      <c r="U52" s="68"/>
      <c r="V52" s="255">
        <f t="shared" si="48"/>
        <v>0</v>
      </c>
    </row>
    <row r="53" spans="1:22" x14ac:dyDescent="0.25">
      <c r="A53" s="14"/>
      <c r="B53" s="20" t="s">
        <v>97</v>
      </c>
      <c r="C53" s="68"/>
      <c r="D53" s="68"/>
      <c r="E53" s="68"/>
      <c r="F53" s="68"/>
      <c r="G53" s="68"/>
      <c r="H53" s="68"/>
      <c r="I53" s="68"/>
      <c r="J53" s="68"/>
      <c r="K53" s="68"/>
      <c r="L53" s="618">
        <f t="shared" si="41"/>
        <v>0</v>
      </c>
      <c r="M53" s="619">
        <f t="shared" si="42"/>
        <v>0</v>
      </c>
      <c r="N53" s="205">
        <f t="shared" si="43"/>
        <v>0</v>
      </c>
      <c r="O53" s="68"/>
      <c r="P53" s="68">
        <f t="shared" si="44"/>
        <v>0</v>
      </c>
      <c r="Q53" s="68">
        <f t="shared" si="45"/>
        <v>0</v>
      </c>
      <c r="R53" s="68">
        <f t="shared" si="46"/>
        <v>0</v>
      </c>
      <c r="S53" s="68">
        <f t="shared" si="34"/>
        <v>0</v>
      </c>
      <c r="T53" s="262">
        <f t="shared" si="47"/>
        <v>0</v>
      </c>
      <c r="U53" s="68"/>
      <c r="V53" s="255">
        <f t="shared" si="48"/>
        <v>0</v>
      </c>
    </row>
    <row r="54" spans="1:22" x14ac:dyDescent="0.25">
      <c r="A54" s="14" t="s">
        <v>49</v>
      </c>
      <c r="B54" s="20" t="s">
        <v>50</v>
      </c>
      <c r="C54" s="68"/>
      <c r="D54" s="68">
        <v>0</v>
      </c>
      <c r="E54" s="68">
        <v>0</v>
      </c>
      <c r="F54" s="68">
        <v>0</v>
      </c>
      <c r="G54" s="68"/>
      <c r="H54" s="68">
        <v>0</v>
      </c>
      <c r="I54" s="68">
        <v>0</v>
      </c>
      <c r="J54" s="68">
        <v>0</v>
      </c>
      <c r="K54" s="68"/>
      <c r="L54" s="618">
        <f t="shared" si="41"/>
        <v>0</v>
      </c>
      <c r="M54" s="619">
        <f t="shared" si="42"/>
        <v>0</v>
      </c>
      <c r="N54" s="205">
        <f t="shared" si="43"/>
        <v>0</v>
      </c>
      <c r="O54" s="68"/>
      <c r="P54" s="68">
        <f t="shared" si="44"/>
        <v>0</v>
      </c>
      <c r="Q54" s="68">
        <f t="shared" si="45"/>
        <v>0</v>
      </c>
      <c r="R54" s="68">
        <f t="shared" si="46"/>
        <v>0</v>
      </c>
      <c r="S54" s="68">
        <f t="shared" si="34"/>
        <v>0</v>
      </c>
      <c r="T54" s="262">
        <f t="shared" si="47"/>
        <v>0</v>
      </c>
      <c r="U54" s="68"/>
      <c r="V54" s="255">
        <f t="shared" si="48"/>
        <v>0</v>
      </c>
    </row>
    <row r="55" spans="1:22" x14ac:dyDescent="0.25">
      <c r="A55" s="14"/>
      <c r="B55" s="20" t="s">
        <v>88</v>
      </c>
      <c r="C55" s="68"/>
      <c r="D55" s="68"/>
      <c r="E55" s="68"/>
      <c r="F55" s="68"/>
      <c r="G55" s="68"/>
      <c r="H55" s="68"/>
      <c r="I55" s="68"/>
      <c r="J55" s="68"/>
      <c r="K55" s="68"/>
      <c r="L55" s="618">
        <f t="shared" si="41"/>
        <v>0</v>
      </c>
      <c r="M55" s="619">
        <f t="shared" si="42"/>
        <v>0</v>
      </c>
      <c r="N55" s="205">
        <f t="shared" si="43"/>
        <v>0</v>
      </c>
      <c r="O55" s="68"/>
      <c r="P55" s="68">
        <f t="shared" si="44"/>
        <v>0</v>
      </c>
      <c r="Q55" s="68">
        <f t="shared" si="45"/>
        <v>0</v>
      </c>
      <c r="R55" s="68">
        <f t="shared" si="46"/>
        <v>0</v>
      </c>
      <c r="S55" s="68">
        <f t="shared" si="34"/>
        <v>0</v>
      </c>
      <c r="T55" s="262">
        <f t="shared" si="47"/>
        <v>0</v>
      </c>
      <c r="U55" s="68"/>
      <c r="V55" s="255">
        <f t="shared" si="48"/>
        <v>0</v>
      </c>
    </row>
    <row r="56" spans="1:22" x14ac:dyDescent="0.25">
      <c r="A56" s="14"/>
      <c r="B56" s="20" t="s">
        <v>51</v>
      </c>
      <c r="C56" s="68"/>
      <c r="D56" s="68"/>
      <c r="E56" s="68"/>
      <c r="F56" s="68"/>
      <c r="G56" s="68"/>
      <c r="H56" s="68"/>
      <c r="I56" s="68"/>
      <c r="J56" s="68"/>
      <c r="K56" s="68"/>
      <c r="L56" s="618">
        <f t="shared" si="41"/>
        <v>0</v>
      </c>
      <c r="M56" s="619">
        <f t="shared" si="42"/>
        <v>0</v>
      </c>
      <c r="N56" s="205">
        <f t="shared" si="43"/>
        <v>0</v>
      </c>
      <c r="O56" s="68"/>
      <c r="P56" s="68">
        <f t="shared" si="44"/>
        <v>0</v>
      </c>
      <c r="Q56" s="68">
        <f t="shared" si="45"/>
        <v>0</v>
      </c>
      <c r="R56" s="68">
        <f t="shared" si="46"/>
        <v>0</v>
      </c>
      <c r="S56" s="68">
        <f t="shared" si="34"/>
        <v>0</v>
      </c>
      <c r="T56" s="262">
        <f t="shared" si="47"/>
        <v>0</v>
      </c>
      <c r="U56" s="68"/>
      <c r="V56" s="255">
        <f t="shared" si="48"/>
        <v>0</v>
      </c>
    </row>
    <row r="57" spans="1:22" x14ac:dyDescent="0.25">
      <c r="A57" s="14" t="s">
        <v>52</v>
      </c>
      <c r="B57" s="20" t="s">
        <v>53</v>
      </c>
      <c r="C57" s="68"/>
      <c r="D57" s="68">
        <v>0</v>
      </c>
      <c r="E57" s="68">
        <v>0</v>
      </c>
      <c r="F57" s="68">
        <v>0</v>
      </c>
      <c r="G57" s="68"/>
      <c r="H57" s="68">
        <v>0</v>
      </c>
      <c r="I57" s="68">
        <v>0</v>
      </c>
      <c r="J57" s="68">
        <v>0</v>
      </c>
      <c r="K57" s="68"/>
      <c r="L57" s="618">
        <f t="shared" si="41"/>
        <v>0</v>
      </c>
      <c r="M57" s="619">
        <f t="shared" si="42"/>
        <v>0</v>
      </c>
      <c r="N57" s="205">
        <f t="shared" si="43"/>
        <v>0</v>
      </c>
      <c r="O57" s="68"/>
      <c r="P57" s="68">
        <f t="shared" si="44"/>
        <v>0</v>
      </c>
      <c r="Q57" s="68">
        <f t="shared" si="45"/>
        <v>0</v>
      </c>
      <c r="R57" s="68">
        <f t="shared" si="46"/>
        <v>0</v>
      </c>
      <c r="S57" s="68">
        <f t="shared" si="34"/>
        <v>0</v>
      </c>
      <c r="T57" s="262">
        <f t="shared" si="47"/>
        <v>0</v>
      </c>
      <c r="U57" s="68"/>
      <c r="V57" s="255">
        <f t="shared" si="48"/>
        <v>0</v>
      </c>
    </row>
    <row r="58" spans="1:22" x14ac:dyDescent="0.25">
      <c r="A58" s="14"/>
      <c r="B58" s="20" t="s">
        <v>54</v>
      </c>
      <c r="C58" s="68"/>
      <c r="D58" s="68"/>
      <c r="E58" s="68"/>
      <c r="F58" s="68"/>
      <c r="G58" s="68"/>
      <c r="H58" s="68"/>
      <c r="I58" s="68"/>
      <c r="J58" s="68"/>
      <c r="K58" s="68"/>
      <c r="L58" s="618">
        <f t="shared" si="41"/>
        <v>0</v>
      </c>
      <c r="M58" s="619">
        <f t="shared" si="42"/>
        <v>0</v>
      </c>
      <c r="N58" s="205">
        <f t="shared" si="43"/>
        <v>0</v>
      </c>
      <c r="O58" s="68"/>
      <c r="P58" s="68">
        <f t="shared" si="44"/>
        <v>0</v>
      </c>
      <c r="Q58" s="68">
        <f t="shared" si="45"/>
        <v>0</v>
      </c>
      <c r="R58" s="68">
        <f t="shared" si="46"/>
        <v>0</v>
      </c>
      <c r="S58" s="68">
        <f t="shared" si="34"/>
        <v>0</v>
      </c>
      <c r="T58" s="262">
        <f t="shared" si="47"/>
        <v>0</v>
      </c>
      <c r="U58" s="68"/>
      <c r="V58" s="255">
        <f t="shared" si="48"/>
        <v>0</v>
      </c>
    </row>
    <row r="59" spans="1:22" x14ac:dyDescent="0.25">
      <c r="A59" s="14" t="s">
        <v>55</v>
      </c>
      <c r="B59" s="20" t="s">
        <v>89</v>
      </c>
      <c r="C59" s="68">
        <v>240000</v>
      </c>
      <c r="D59" s="68">
        <v>240000</v>
      </c>
      <c r="E59" s="68">
        <v>0</v>
      </c>
      <c r="F59" s="68">
        <v>155000</v>
      </c>
      <c r="G59" s="68"/>
      <c r="H59" s="68">
        <v>0</v>
      </c>
      <c r="I59" s="68">
        <v>0</v>
      </c>
      <c r="J59" s="68">
        <v>155000</v>
      </c>
      <c r="K59" s="68"/>
      <c r="L59" s="618">
        <f t="shared" si="41"/>
        <v>0</v>
      </c>
      <c r="M59" s="624">
        <f t="shared" si="42"/>
        <v>0</v>
      </c>
      <c r="N59" s="205" t="e">
        <f t="shared" si="43"/>
        <v>#DIV/0!</v>
      </c>
      <c r="O59" s="68"/>
      <c r="P59" s="68">
        <f t="shared" si="44"/>
        <v>0</v>
      </c>
      <c r="Q59" s="68">
        <f t="shared" si="45"/>
        <v>-240000</v>
      </c>
      <c r="R59" s="68">
        <f t="shared" si="46"/>
        <v>0</v>
      </c>
      <c r="S59" s="68">
        <f t="shared" si="34"/>
        <v>-240000</v>
      </c>
      <c r="T59" s="262">
        <f t="shared" si="47"/>
        <v>-1</v>
      </c>
      <c r="U59" s="68"/>
      <c r="V59" s="255">
        <f t="shared" si="48"/>
        <v>0</v>
      </c>
    </row>
    <row r="60" spans="1:22" x14ac:dyDescent="0.25">
      <c r="A60" s="14"/>
      <c r="B60" s="20" t="s">
        <v>56</v>
      </c>
      <c r="C60" s="68"/>
      <c r="D60" s="68"/>
      <c r="E60" s="68"/>
      <c r="F60" s="68"/>
      <c r="G60" s="68"/>
      <c r="H60" s="68"/>
      <c r="I60" s="68"/>
      <c r="J60" s="68"/>
      <c r="K60" s="68"/>
      <c r="L60" s="618">
        <f t="shared" si="41"/>
        <v>0</v>
      </c>
      <c r="M60" s="619">
        <f t="shared" si="42"/>
        <v>0</v>
      </c>
      <c r="N60" s="205">
        <f t="shared" si="43"/>
        <v>0</v>
      </c>
      <c r="O60" s="68"/>
      <c r="P60" s="68">
        <f t="shared" si="44"/>
        <v>0</v>
      </c>
      <c r="Q60" s="68">
        <f t="shared" si="45"/>
        <v>0</v>
      </c>
      <c r="R60" s="68">
        <f t="shared" si="46"/>
        <v>0</v>
      </c>
      <c r="S60" s="68">
        <f t="shared" si="34"/>
        <v>0</v>
      </c>
      <c r="T60" s="262">
        <f t="shared" si="47"/>
        <v>0</v>
      </c>
      <c r="U60" s="68"/>
      <c r="V60" s="255">
        <f t="shared" si="48"/>
        <v>0</v>
      </c>
    </row>
    <row r="61" spans="1:22" x14ac:dyDescent="0.25">
      <c r="A61" s="14" t="s">
        <v>57</v>
      </c>
      <c r="B61" s="20" t="s">
        <v>58</v>
      </c>
      <c r="C61" s="68"/>
      <c r="D61" s="68"/>
      <c r="E61" s="68"/>
      <c r="F61" s="68"/>
      <c r="G61" s="68"/>
      <c r="H61" s="68">
        <v>0</v>
      </c>
      <c r="I61" s="68">
        <v>0</v>
      </c>
      <c r="J61" s="68">
        <v>0</v>
      </c>
      <c r="K61" s="68"/>
      <c r="L61" s="618">
        <f t="shared" si="41"/>
        <v>0</v>
      </c>
      <c r="M61" s="619">
        <f t="shared" si="42"/>
        <v>0</v>
      </c>
      <c r="N61" s="205">
        <f t="shared" si="43"/>
        <v>0</v>
      </c>
      <c r="O61" s="68"/>
      <c r="P61" s="68">
        <f t="shared" si="44"/>
        <v>0</v>
      </c>
      <c r="Q61" s="68">
        <f t="shared" si="45"/>
        <v>0</v>
      </c>
      <c r="R61" s="68">
        <f t="shared" si="46"/>
        <v>0</v>
      </c>
      <c r="S61" s="68">
        <f t="shared" si="34"/>
        <v>0</v>
      </c>
      <c r="T61" s="262">
        <f t="shared" si="47"/>
        <v>0</v>
      </c>
      <c r="U61" s="68"/>
      <c r="V61" s="255">
        <f t="shared" si="48"/>
        <v>0</v>
      </c>
    </row>
    <row r="62" spans="1:22" ht="26.4" x14ac:dyDescent="0.25">
      <c r="A62" s="20"/>
      <c r="B62" s="20" t="s">
        <v>59</v>
      </c>
      <c r="C62" s="68"/>
      <c r="D62" s="68"/>
      <c r="E62" s="68"/>
      <c r="F62" s="68"/>
      <c r="G62" s="68"/>
      <c r="H62" s="68"/>
      <c r="I62" s="68"/>
      <c r="J62" s="68"/>
      <c r="K62" s="68"/>
      <c r="L62" s="618">
        <f t="shared" si="41"/>
        <v>0</v>
      </c>
      <c r="M62" s="619">
        <f t="shared" si="42"/>
        <v>0</v>
      </c>
      <c r="N62" s="205">
        <f t="shared" si="43"/>
        <v>0</v>
      </c>
      <c r="O62" s="68"/>
      <c r="P62" s="68">
        <f t="shared" si="44"/>
        <v>0</v>
      </c>
      <c r="Q62" s="68">
        <f t="shared" si="45"/>
        <v>0</v>
      </c>
      <c r="R62" s="68">
        <f t="shared" si="46"/>
        <v>0</v>
      </c>
      <c r="S62" s="68">
        <f t="shared" si="34"/>
        <v>0</v>
      </c>
      <c r="T62" s="262">
        <f t="shared" si="47"/>
        <v>0</v>
      </c>
      <c r="U62" s="68"/>
      <c r="V62" s="255">
        <f t="shared" si="48"/>
        <v>0</v>
      </c>
    </row>
    <row r="63" spans="1:22" x14ac:dyDescent="0.25">
      <c r="A63" s="14" t="s">
        <v>60</v>
      </c>
      <c r="B63" s="20" t="s">
        <v>61</v>
      </c>
      <c r="C63" s="68">
        <v>250000</v>
      </c>
      <c r="D63" s="68">
        <v>400000</v>
      </c>
      <c r="E63" s="68">
        <v>650000</v>
      </c>
      <c r="F63" s="68">
        <v>756000</v>
      </c>
      <c r="G63" s="68"/>
      <c r="H63" s="68">
        <v>268400</v>
      </c>
      <c r="I63" s="68">
        <v>563850</v>
      </c>
      <c r="J63" s="68">
        <v>755670</v>
      </c>
      <c r="K63" s="68"/>
      <c r="L63" s="618">
        <f t="shared" si="41"/>
        <v>1.0736000000000001</v>
      </c>
      <c r="M63" s="624">
        <f t="shared" si="42"/>
        <v>1.4096249999999999</v>
      </c>
      <c r="N63" s="205">
        <f t="shared" si="43"/>
        <v>1.1625692307692308</v>
      </c>
      <c r="O63" s="68"/>
      <c r="P63" s="68">
        <f t="shared" si="44"/>
        <v>150000</v>
      </c>
      <c r="Q63" s="68">
        <f t="shared" si="45"/>
        <v>250000</v>
      </c>
      <c r="R63" s="68">
        <f t="shared" si="46"/>
        <v>0</v>
      </c>
      <c r="S63" s="68">
        <f t="shared" si="34"/>
        <v>400000</v>
      </c>
      <c r="T63" s="262">
        <f t="shared" si="47"/>
        <v>1.6</v>
      </c>
      <c r="U63" s="68"/>
      <c r="V63" s="255">
        <f t="shared" si="48"/>
        <v>0</v>
      </c>
    </row>
    <row r="64" spans="1:22" ht="79.2" x14ac:dyDescent="0.25">
      <c r="A64" s="14"/>
      <c r="B64" s="20" t="s">
        <v>100</v>
      </c>
      <c r="C64" s="68"/>
      <c r="D64" s="68"/>
      <c r="E64" s="68"/>
      <c r="F64" s="68"/>
      <c r="G64" s="68"/>
      <c r="H64" s="68"/>
      <c r="I64" s="68"/>
      <c r="J64" s="68"/>
      <c r="K64" s="68"/>
      <c r="L64" s="618">
        <f t="shared" si="41"/>
        <v>0</v>
      </c>
      <c r="M64" s="619">
        <f t="shared" si="42"/>
        <v>0</v>
      </c>
      <c r="N64" s="205">
        <f t="shared" si="43"/>
        <v>0</v>
      </c>
      <c r="O64" s="68"/>
      <c r="P64" s="68">
        <f t="shared" si="44"/>
        <v>0</v>
      </c>
      <c r="Q64" s="68">
        <f t="shared" si="45"/>
        <v>0</v>
      </c>
      <c r="R64" s="68">
        <f t="shared" si="46"/>
        <v>0</v>
      </c>
      <c r="S64" s="68">
        <f t="shared" si="34"/>
        <v>0</v>
      </c>
      <c r="T64" s="262">
        <f t="shared" si="47"/>
        <v>0</v>
      </c>
      <c r="U64" s="68"/>
      <c r="V64" s="255">
        <f t="shared" si="48"/>
        <v>0</v>
      </c>
    </row>
    <row r="65" spans="1:24" x14ac:dyDescent="0.25">
      <c r="A65" s="14" t="s">
        <v>62</v>
      </c>
      <c r="B65" s="20" t="s">
        <v>63</v>
      </c>
      <c r="C65" s="68">
        <v>800000</v>
      </c>
      <c r="D65" s="68">
        <v>650000</v>
      </c>
      <c r="E65" s="68">
        <v>650000</v>
      </c>
      <c r="F65" s="68">
        <v>670000</v>
      </c>
      <c r="G65" s="68"/>
      <c r="H65" s="68">
        <v>308138</v>
      </c>
      <c r="I65" s="68">
        <v>467632</v>
      </c>
      <c r="J65" s="68">
        <v>662262</v>
      </c>
      <c r="K65" s="68"/>
      <c r="L65" s="618">
        <f t="shared" si="41"/>
        <v>0.38517249999999997</v>
      </c>
      <c r="M65" s="624">
        <f t="shared" si="42"/>
        <v>0.7194338461538462</v>
      </c>
      <c r="N65" s="205">
        <f t="shared" si="43"/>
        <v>1.0188646153846155</v>
      </c>
      <c r="O65" s="68"/>
      <c r="P65" s="68">
        <f t="shared" si="44"/>
        <v>-150000</v>
      </c>
      <c r="Q65" s="68">
        <f t="shared" si="45"/>
        <v>0</v>
      </c>
      <c r="R65" s="68">
        <f t="shared" si="46"/>
        <v>0</v>
      </c>
      <c r="S65" s="68">
        <f t="shared" si="34"/>
        <v>-150000</v>
      </c>
      <c r="T65" s="262">
        <f t="shared" si="47"/>
        <v>-0.1875</v>
      </c>
      <c r="U65" s="68"/>
      <c r="V65" s="255">
        <f t="shared" si="48"/>
        <v>0</v>
      </c>
    </row>
    <row r="66" spans="1:24" ht="39.6" x14ac:dyDescent="0.25">
      <c r="A66" s="14"/>
      <c r="B66" s="20" t="s">
        <v>64</v>
      </c>
      <c r="C66" s="68"/>
      <c r="D66" s="68"/>
      <c r="E66" s="68"/>
      <c r="F66" s="68"/>
      <c r="G66" s="68"/>
      <c r="H66" s="68"/>
      <c r="I66" s="68"/>
      <c r="J66" s="68"/>
      <c r="K66" s="68"/>
      <c r="L66" s="618">
        <f t="shared" ref="L66:N102" si="49">IF(H66&gt;0,H66/C66,0)</f>
        <v>0</v>
      </c>
      <c r="M66" s="619">
        <f t="shared" ref="M66:M102" si="50">IF(I66&gt;0,I66/D66,0)</f>
        <v>0</v>
      </c>
      <c r="N66" s="205">
        <f t="shared" ref="N66:N102" si="51">IF(J66&gt;0,J66/E66,0)</f>
        <v>0</v>
      </c>
      <c r="O66" s="68"/>
      <c r="P66" s="68">
        <f t="shared" si="44"/>
        <v>0</v>
      </c>
      <c r="Q66" s="68">
        <f t="shared" si="45"/>
        <v>0</v>
      </c>
      <c r="R66" s="68">
        <f t="shared" si="46"/>
        <v>0</v>
      </c>
      <c r="S66" s="68">
        <f t="shared" si="34"/>
        <v>0</v>
      </c>
      <c r="T66" s="262">
        <f t="shared" si="47"/>
        <v>0</v>
      </c>
      <c r="U66" s="68"/>
      <c r="V66" s="255">
        <f t="shared" si="48"/>
        <v>0</v>
      </c>
    </row>
    <row r="67" spans="1:24" s="42" customFormat="1" x14ac:dyDescent="0.25">
      <c r="A67" s="38" t="s">
        <v>65</v>
      </c>
      <c r="B67" s="39" t="s">
        <v>66</v>
      </c>
      <c r="C67" s="95">
        <f>+C68+C70</f>
        <v>100000</v>
      </c>
      <c r="D67" s="95">
        <f t="shared" ref="D67:F67" si="52">+D68+D70</f>
        <v>100000</v>
      </c>
      <c r="E67" s="95">
        <f t="shared" si="52"/>
        <v>100000</v>
      </c>
      <c r="F67" s="95">
        <f t="shared" si="52"/>
        <v>100000</v>
      </c>
      <c r="G67" s="95"/>
      <c r="H67" s="95">
        <f>+H68+H70</f>
        <v>6450</v>
      </c>
      <c r="I67" s="95">
        <f>+I68+I70</f>
        <v>8750</v>
      </c>
      <c r="J67" s="95">
        <f>+J68+J70</f>
        <v>78485</v>
      </c>
      <c r="K67" s="95"/>
      <c r="L67" s="622">
        <f t="shared" si="49"/>
        <v>6.4500000000000002E-2</v>
      </c>
      <c r="M67" s="623">
        <f t="shared" si="50"/>
        <v>8.7499999999999994E-2</v>
      </c>
      <c r="N67" s="208">
        <f t="shared" si="51"/>
        <v>0.78485000000000005</v>
      </c>
      <c r="O67" s="95"/>
      <c r="P67" s="95">
        <f t="shared" si="44"/>
        <v>0</v>
      </c>
      <c r="Q67" s="95">
        <f t="shared" si="45"/>
        <v>0</v>
      </c>
      <c r="R67" s="95">
        <f t="shared" si="46"/>
        <v>0</v>
      </c>
      <c r="S67" s="95">
        <f t="shared" si="34"/>
        <v>0</v>
      </c>
      <c r="T67" s="263">
        <f t="shared" si="47"/>
        <v>0</v>
      </c>
      <c r="U67" s="95"/>
      <c r="V67" s="257">
        <f t="shared" si="48"/>
        <v>0</v>
      </c>
      <c r="X67" s="58"/>
    </row>
    <row r="68" spans="1:24" x14ac:dyDescent="0.25">
      <c r="A68" s="14" t="s">
        <v>67</v>
      </c>
      <c r="B68" s="20" t="s">
        <v>68</v>
      </c>
      <c r="C68" s="68">
        <v>100000</v>
      </c>
      <c r="D68" s="68">
        <v>100000</v>
      </c>
      <c r="E68" s="68">
        <v>100000</v>
      </c>
      <c r="F68" s="68">
        <v>100000</v>
      </c>
      <c r="G68" s="68"/>
      <c r="H68" s="68">
        <v>6450</v>
      </c>
      <c r="I68" s="68">
        <v>8750</v>
      </c>
      <c r="J68" s="68">
        <v>78485</v>
      </c>
      <c r="K68" s="68"/>
      <c r="L68" s="618">
        <f t="shared" si="49"/>
        <v>6.4500000000000002E-2</v>
      </c>
      <c r="M68" s="619">
        <f t="shared" si="50"/>
        <v>8.7499999999999994E-2</v>
      </c>
      <c r="N68" s="205">
        <f t="shared" si="51"/>
        <v>0.78485000000000005</v>
      </c>
      <c r="O68" s="68"/>
      <c r="P68" s="68">
        <f t="shared" si="44"/>
        <v>0</v>
      </c>
      <c r="Q68" s="68">
        <f t="shared" si="45"/>
        <v>0</v>
      </c>
      <c r="R68" s="68">
        <f t="shared" si="46"/>
        <v>0</v>
      </c>
      <c r="S68" s="68">
        <f t="shared" si="34"/>
        <v>0</v>
      </c>
      <c r="T68" s="262">
        <f t="shared" si="47"/>
        <v>0</v>
      </c>
      <c r="U68" s="68"/>
      <c r="V68" s="255">
        <f t="shared" si="48"/>
        <v>0</v>
      </c>
    </row>
    <row r="69" spans="1:24" ht="39.6" x14ac:dyDescent="0.25">
      <c r="A69" s="14"/>
      <c r="B69" s="20" t="s">
        <v>69</v>
      </c>
      <c r="C69" s="68"/>
      <c r="D69" s="68"/>
      <c r="E69" s="68"/>
      <c r="F69" s="68"/>
      <c r="G69" s="68"/>
      <c r="H69" s="68"/>
      <c r="I69" s="68"/>
      <c r="J69" s="68"/>
      <c r="K69" s="68"/>
      <c r="L69" s="618">
        <f t="shared" si="49"/>
        <v>0</v>
      </c>
      <c r="M69" s="619">
        <f t="shared" si="50"/>
        <v>0</v>
      </c>
      <c r="N69" s="205">
        <f t="shared" si="51"/>
        <v>0</v>
      </c>
      <c r="O69" s="68"/>
      <c r="P69" s="68">
        <f t="shared" si="44"/>
        <v>0</v>
      </c>
      <c r="Q69" s="68">
        <f t="shared" si="45"/>
        <v>0</v>
      </c>
      <c r="R69" s="68">
        <f t="shared" si="46"/>
        <v>0</v>
      </c>
      <c r="S69" s="68">
        <f t="shared" si="34"/>
        <v>0</v>
      </c>
      <c r="T69" s="262">
        <f t="shared" si="47"/>
        <v>0</v>
      </c>
      <c r="U69" s="68"/>
      <c r="V69" s="255">
        <f t="shared" si="48"/>
        <v>0</v>
      </c>
      <c r="X69" s="37"/>
    </row>
    <row r="70" spans="1:24" x14ac:dyDescent="0.25">
      <c r="A70" s="14" t="s">
        <v>70</v>
      </c>
      <c r="B70" s="20" t="s">
        <v>98</v>
      </c>
      <c r="C70" s="68">
        <v>0</v>
      </c>
      <c r="D70" s="68">
        <v>0</v>
      </c>
      <c r="E70" s="68">
        <v>0</v>
      </c>
      <c r="F70" s="68">
        <v>0</v>
      </c>
      <c r="G70" s="68"/>
      <c r="H70" s="68">
        <v>0</v>
      </c>
      <c r="I70" s="68">
        <v>0</v>
      </c>
      <c r="J70" s="68">
        <v>0</v>
      </c>
      <c r="K70" s="68"/>
      <c r="L70" s="618">
        <f t="shared" si="49"/>
        <v>0</v>
      </c>
      <c r="M70" s="619">
        <f t="shared" si="50"/>
        <v>0</v>
      </c>
      <c r="N70" s="205">
        <f t="shared" si="51"/>
        <v>0</v>
      </c>
      <c r="O70" s="68"/>
      <c r="P70" s="68">
        <f t="shared" si="44"/>
        <v>0</v>
      </c>
      <c r="Q70" s="68">
        <f t="shared" si="45"/>
        <v>0</v>
      </c>
      <c r="R70" s="68">
        <f t="shared" si="46"/>
        <v>0</v>
      </c>
      <c r="S70" s="68">
        <f t="shared" si="34"/>
        <v>0</v>
      </c>
      <c r="T70" s="262">
        <f t="shared" si="47"/>
        <v>0</v>
      </c>
      <c r="U70" s="68"/>
      <c r="V70" s="255">
        <f t="shared" si="48"/>
        <v>0</v>
      </c>
      <c r="X70" s="37"/>
    </row>
    <row r="71" spans="1:24" ht="39.6" x14ac:dyDescent="0.25">
      <c r="A71" s="14"/>
      <c r="B71" s="20" t="s">
        <v>71</v>
      </c>
      <c r="C71" s="68"/>
      <c r="D71" s="68"/>
      <c r="E71" s="68"/>
      <c r="F71" s="68"/>
      <c r="G71" s="68"/>
      <c r="H71" s="68"/>
      <c r="I71" s="68"/>
      <c r="J71" s="68"/>
      <c r="K71" s="68"/>
      <c r="L71" s="618">
        <f t="shared" si="49"/>
        <v>0</v>
      </c>
      <c r="M71" s="619">
        <f t="shared" si="50"/>
        <v>0</v>
      </c>
      <c r="N71" s="205">
        <f t="shared" si="51"/>
        <v>0</v>
      </c>
      <c r="O71" s="68"/>
      <c r="P71" s="68">
        <f t="shared" si="44"/>
        <v>0</v>
      </c>
      <c r="Q71" s="68">
        <f t="shared" si="45"/>
        <v>0</v>
      </c>
      <c r="R71" s="68">
        <f t="shared" si="46"/>
        <v>0</v>
      </c>
      <c r="S71" s="68">
        <f t="shared" si="34"/>
        <v>0</v>
      </c>
      <c r="T71" s="262">
        <f t="shared" si="47"/>
        <v>0</v>
      </c>
      <c r="U71" s="68"/>
      <c r="V71" s="255">
        <f t="shared" si="48"/>
        <v>0</v>
      </c>
      <c r="X71" s="37"/>
    </row>
    <row r="72" spans="1:24" x14ac:dyDescent="0.25">
      <c r="A72" s="38" t="s">
        <v>72</v>
      </c>
      <c r="B72" s="39" t="s">
        <v>73</v>
      </c>
      <c r="C72" s="95">
        <f>+C73+C75+C77+C79+C81</f>
        <v>2555000</v>
      </c>
      <c r="D72" s="95">
        <f>+D73+D75+D77+D79+D81</f>
        <v>2555000</v>
      </c>
      <c r="E72" s="95">
        <f>+E73+E75+E77+E79+E81</f>
        <v>2389557</v>
      </c>
      <c r="F72" s="95">
        <f>+F73+F75+F77+F79+F81</f>
        <v>2389557</v>
      </c>
      <c r="G72" s="95"/>
      <c r="H72" s="95">
        <f>+H73+H75+H77+H79+H81</f>
        <v>799256</v>
      </c>
      <c r="I72" s="95">
        <f>+I73+I75+I77+I79+I81</f>
        <v>1205005</v>
      </c>
      <c r="J72" s="95">
        <f>+J73+J75+J77+J79+J81</f>
        <v>1686726</v>
      </c>
      <c r="K72" s="95"/>
      <c r="L72" s="622">
        <f t="shared" si="49"/>
        <v>0.31282035225048926</v>
      </c>
      <c r="M72" s="623">
        <f t="shared" si="50"/>
        <v>0.47162622309197649</v>
      </c>
      <c r="N72" s="208">
        <f t="shared" si="51"/>
        <v>0.70587393395512221</v>
      </c>
      <c r="O72" s="95"/>
      <c r="P72" s="95">
        <f t="shared" si="44"/>
        <v>0</v>
      </c>
      <c r="Q72" s="95">
        <f t="shared" si="45"/>
        <v>-165443</v>
      </c>
      <c r="R72" s="95">
        <f t="shared" si="46"/>
        <v>0</v>
      </c>
      <c r="S72" s="95">
        <f t="shared" si="34"/>
        <v>-165443</v>
      </c>
      <c r="T72" s="263">
        <f t="shared" si="47"/>
        <v>-6.4752641878669276E-2</v>
      </c>
      <c r="U72" s="95"/>
      <c r="V72" s="257">
        <f t="shared" si="48"/>
        <v>0</v>
      </c>
      <c r="X72" s="37"/>
    </row>
    <row r="73" spans="1:24" x14ac:dyDescent="0.25">
      <c r="A73" s="14" t="s">
        <v>74</v>
      </c>
      <c r="B73" s="20" t="s">
        <v>75</v>
      </c>
      <c r="C73" s="68">
        <v>2500000</v>
      </c>
      <c r="D73" s="68">
        <v>2500000</v>
      </c>
      <c r="E73" s="68">
        <v>2334557</v>
      </c>
      <c r="F73" s="68">
        <v>2334557</v>
      </c>
      <c r="G73" s="68"/>
      <c r="H73" s="68">
        <v>795050</v>
      </c>
      <c r="I73" s="68">
        <v>1199654</v>
      </c>
      <c r="J73" s="68">
        <v>1680966</v>
      </c>
      <c r="K73" s="68"/>
      <c r="L73" s="618">
        <f t="shared" si="49"/>
        <v>0.31802000000000002</v>
      </c>
      <c r="M73" s="624">
        <f t="shared" si="50"/>
        <v>0.4798616</v>
      </c>
      <c r="N73" s="205">
        <f t="shared" si="51"/>
        <v>0.72003639234338679</v>
      </c>
      <c r="O73" s="68"/>
      <c r="P73" s="68">
        <f t="shared" si="44"/>
        <v>0</v>
      </c>
      <c r="Q73" s="68">
        <f t="shared" si="45"/>
        <v>-165443</v>
      </c>
      <c r="R73" s="68">
        <f t="shared" si="46"/>
        <v>0</v>
      </c>
      <c r="S73" s="68">
        <f t="shared" si="34"/>
        <v>-165443</v>
      </c>
      <c r="T73" s="262">
        <f t="shared" si="47"/>
        <v>-6.6177200000000005E-2</v>
      </c>
      <c r="U73" s="68"/>
      <c r="V73" s="255">
        <f t="shared" si="48"/>
        <v>0</v>
      </c>
      <c r="X73" s="37"/>
    </row>
    <row r="74" spans="1:24" x14ac:dyDescent="0.25">
      <c r="A74" s="14"/>
      <c r="B74" s="20" t="s">
        <v>76</v>
      </c>
      <c r="C74" s="68"/>
      <c r="D74" s="68"/>
      <c r="E74" s="68"/>
      <c r="F74" s="68"/>
      <c r="G74" s="68"/>
      <c r="H74" s="68"/>
      <c r="I74" s="68"/>
      <c r="J74" s="68"/>
      <c r="K74" s="68"/>
      <c r="L74" s="618">
        <f t="shared" si="49"/>
        <v>0</v>
      </c>
      <c r="M74" s="619">
        <f t="shared" si="50"/>
        <v>0</v>
      </c>
      <c r="N74" s="205">
        <f t="shared" si="51"/>
        <v>0</v>
      </c>
      <c r="O74" s="68"/>
      <c r="P74" s="68">
        <f t="shared" si="44"/>
        <v>0</v>
      </c>
      <c r="Q74" s="68">
        <f t="shared" si="45"/>
        <v>0</v>
      </c>
      <c r="R74" s="68">
        <f t="shared" si="46"/>
        <v>0</v>
      </c>
      <c r="S74" s="68">
        <f t="shared" si="34"/>
        <v>0</v>
      </c>
      <c r="T74" s="262">
        <f t="shared" si="47"/>
        <v>0</v>
      </c>
      <c r="U74" s="68"/>
      <c r="V74" s="255">
        <f t="shared" si="48"/>
        <v>0</v>
      </c>
      <c r="X74" s="37"/>
    </row>
    <row r="75" spans="1:24" x14ac:dyDescent="0.25">
      <c r="A75" s="14" t="s">
        <v>77</v>
      </c>
      <c r="B75" s="20" t="s">
        <v>78</v>
      </c>
      <c r="C75" s="68">
        <v>5000</v>
      </c>
      <c r="D75" s="68">
        <v>5000</v>
      </c>
      <c r="E75" s="68">
        <v>5000</v>
      </c>
      <c r="F75" s="68">
        <v>5000</v>
      </c>
      <c r="G75" s="68"/>
      <c r="H75" s="68">
        <v>3000</v>
      </c>
      <c r="I75" s="68">
        <v>3000</v>
      </c>
      <c r="J75" s="68">
        <v>3000</v>
      </c>
      <c r="K75" s="68"/>
      <c r="L75" s="618">
        <f t="shared" si="49"/>
        <v>0.6</v>
      </c>
      <c r="M75" s="619">
        <f t="shared" si="50"/>
        <v>0.6</v>
      </c>
      <c r="N75" s="205">
        <f t="shared" si="51"/>
        <v>0.6</v>
      </c>
      <c r="O75" s="68"/>
      <c r="P75" s="68">
        <f t="shared" si="44"/>
        <v>0</v>
      </c>
      <c r="Q75" s="68">
        <f t="shared" si="45"/>
        <v>0</v>
      </c>
      <c r="R75" s="68">
        <f t="shared" si="46"/>
        <v>0</v>
      </c>
      <c r="S75" s="68">
        <f t="shared" si="34"/>
        <v>0</v>
      </c>
      <c r="T75" s="262">
        <f t="shared" si="47"/>
        <v>0</v>
      </c>
      <c r="U75" s="68"/>
      <c r="V75" s="255">
        <f t="shared" si="48"/>
        <v>0</v>
      </c>
      <c r="X75" s="37"/>
    </row>
    <row r="76" spans="1:24" ht="26.4" x14ac:dyDescent="0.25">
      <c r="A76" s="14"/>
      <c r="B76" s="20" t="s">
        <v>99</v>
      </c>
      <c r="C76" s="68"/>
      <c r="D76" s="68"/>
      <c r="E76" s="68"/>
      <c r="F76" s="68"/>
      <c r="G76" s="68"/>
      <c r="H76" s="68"/>
      <c r="I76" s="68"/>
      <c r="J76" s="68"/>
      <c r="K76" s="68"/>
      <c r="L76" s="618">
        <f t="shared" si="49"/>
        <v>0</v>
      </c>
      <c r="M76" s="619">
        <f t="shared" si="50"/>
        <v>0</v>
      </c>
      <c r="N76" s="205">
        <f t="shared" si="51"/>
        <v>0</v>
      </c>
      <c r="O76" s="68"/>
      <c r="P76" s="68">
        <f t="shared" si="44"/>
        <v>0</v>
      </c>
      <c r="Q76" s="68">
        <f t="shared" si="45"/>
        <v>0</v>
      </c>
      <c r="R76" s="68">
        <f t="shared" si="46"/>
        <v>0</v>
      </c>
      <c r="S76" s="68">
        <f t="shared" si="34"/>
        <v>0</v>
      </c>
      <c r="T76" s="262">
        <f t="shared" si="47"/>
        <v>0</v>
      </c>
      <c r="U76" s="68"/>
      <c r="V76" s="255">
        <f t="shared" si="48"/>
        <v>0</v>
      </c>
      <c r="X76" s="37"/>
    </row>
    <row r="77" spans="1:24" x14ac:dyDescent="0.25">
      <c r="A77" s="14" t="s">
        <v>79</v>
      </c>
      <c r="B77" s="20" t="s">
        <v>80</v>
      </c>
      <c r="C77" s="68"/>
      <c r="D77" s="68"/>
      <c r="E77" s="68"/>
      <c r="F77" s="68"/>
      <c r="G77" s="68"/>
      <c r="H77" s="68"/>
      <c r="I77" s="68"/>
      <c r="J77" s="68"/>
      <c r="K77" s="68"/>
      <c r="L77" s="618">
        <f t="shared" si="49"/>
        <v>0</v>
      </c>
      <c r="M77" s="619">
        <f t="shared" si="50"/>
        <v>0</v>
      </c>
      <c r="N77" s="205">
        <f t="shared" si="51"/>
        <v>0</v>
      </c>
      <c r="O77" s="68"/>
      <c r="P77" s="68">
        <f t="shared" si="44"/>
        <v>0</v>
      </c>
      <c r="Q77" s="68">
        <f t="shared" si="45"/>
        <v>0</v>
      </c>
      <c r="R77" s="68">
        <f t="shared" si="46"/>
        <v>0</v>
      </c>
      <c r="S77" s="68">
        <f t="shared" si="34"/>
        <v>0</v>
      </c>
      <c r="T77" s="262">
        <f t="shared" si="47"/>
        <v>0</v>
      </c>
      <c r="U77" s="68"/>
      <c r="V77" s="255">
        <f t="shared" si="48"/>
        <v>0</v>
      </c>
      <c r="X77" s="37"/>
    </row>
    <row r="78" spans="1:24" ht="26.4" x14ac:dyDescent="0.25">
      <c r="A78" s="14"/>
      <c r="B78" s="20" t="s">
        <v>81</v>
      </c>
      <c r="C78" s="68"/>
      <c r="D78" s="68"/>
      <c r="E78" s="68"/>
      <c r="F78" s="68"/>
      <c r="G78" s="68"/>
      <c r="H78" s="68"/>
      <c r="I78" s="68"/>
      <c r="J78" s="68"/>
      <c r="K78" s="68"/>
      <c r="L78" s="618">
        <f t="shared" si="49"/>
        <v>0</v>
      </c>
      <c r="M78" s="619">
        <f t="shared" si="50"/>
        <v>0</v>
      </c>
      <c r="N78" s="205">
        <f t="shared" si="51"/>
        <v>0</v>
      </c>
      <c r="O78" s="68"/>
      <c r="P78" s="68">
        <f t="shared" si="44"/>
        <v>0</v>
      </c>
      <c r="Q78" s="68">
        <f t="shared" si="45"/>
        <v>0</v>
      </c>
      <c r="R78" s="68">
        <f t="shared" si="46"/>
        <v>0</v>
      </c>
      <c r="S78" s="68">
        <f t="shared" si="34"/>
        <v>0</v>
      </c>
      <c r="T78" s="262">
        <f t="shared" si="47"/>
        <v>0</v>
      </c>
      <c r="U78" s="68"/>
      <c r="V78" s="255">
        <f t="shared" si="48"/>
        <v>0</v>
      </c>
      <c r="X78" s="37"/>
    </row>
    <row r="79" spans="1:24" x14ac:dyDescent="0.25">
      <c r="A79" s="14" t="s">
        <v>82</v>
      </c>
      <c r="B79" s="20" t="s">
        <v>83</v>
      </c>
      <c r="C79" s="68"/>
      <c r="D79" s="68"/>
      <c r="E79" s="68"/>
      <c r="F79" s="68"/>
      <c r="G79" s="68"/>
      <c r="H79" s="68"/>
      <c r="I79" s="68"/>
      <c r="J79" s="68"/>
      <c r="K79" s="68"/>
      <c r="L79" s="618">
        <f t="shared" si="49"/>
        <v>0</v>
      </c>
      <c r="M79" s="619">
        <f t="shared" si="50"/>
        <v>0</v>
      </c>
      <c r="N79" s="205">
        <f t="shared" si="51"/>
        <v>0</v>
      </c>
      <c r="O79" s="68"/>
      <c r="P79" s="68">
        <f t="shared" si="44"/>
        <v>0</v>
      </c>
      <c r="Q79" s="68">
        <f t="shared" si="45"/>
        <v>0</v>
      </c>
      <c r="R79" s="68">
        <f t="shared" si="46"/>
        <v>0</v>
      </c>
      <c r="S79" s="68">
        <f t="shared" si="34"/>
        <v>0</v>
      </c>
      <c r="T79" s="262">
        <f t="shared" si="47"/>
        <v>0</v>
      </c>
      <c r="U79" s="68"/>
      <c r="V79" s="255">
        <f t="shared" si="48"/>
        <v>0</v>
      </c>
      <c r="X79" s="37"/>
    </row>
    <row r="80" spans="1:24" x14ac:dyDescent="0.25">
      <c r="A80" s="14"/>
      <c r="B80" s="20" t="s">
        <v>84</v>
      </c>
      <c r="C80" s="68"/>
      <c r="D80" s="68"/>
      <c r="E80" s="68"/>
      <c r="F80" s="68"/>
      <c r="G80" s="68"/>
      <c r="H80" s="68"/>
      <c r="I80" s="68"/>
      <c r="J80" s="68"/>
      <c r="K80" s="68"/>
      <c r="L80" s="618">
        <f t="shared" si="49"/>
        <v>0</v>
      </c>
      <c r="M80" s="619">
        <f t="shared" si="50"/>
        <v>0</v>
      </c>
      <c r="N80" s="205">
        <f t="shared" si="51"/>
        <v>0</v>
      </c>
      <c r="O80" s="68"/>
      <c r="P80" s="68">
        <f t="shared" si="44"/>
        <v>0</v>
      </c>
      <c r="Q80" s="68">
        <f t="shared" si="45"/>
        <v>0</v>
      </c>
      <c r="R80" s="68">
        <f t="shared" si="46"/>
        <v>0</v>
      </c>
      <c r="S80" s="68">
        <f t="shared" si="34"/>
        <v>0</v>
      </c>
      <c r="T80" s="262">
        <f t="shared" si="47"/>
        <v>0</v>
      </c>
      <c r="U80" s="68"/>
      <c r="V80" s="255">
        <f t="shared" si="48"/>
        <v>0</v>
      </c>
      <c r="X80" s="37"/>
    </row>
    <row r="81" spans="1:24" x14ac:dyDescent="0.25">
      <c r="A81" s="14" t="s">
        <v>85</v>
      </c>
      <c r="B81" s="20" t="s">
        <v>86</v>
      </c>
      <c r="C81" s="145">
        <v>50000</v>
      </c>
      <c r="D81" s="68">
        <v>50000</v>
      </c>
      <c r="E81" s="68">
        <v>50000</v>
      </c>
      <c r="F81" s="68">
        <v>50000</v>
      </c>
      <c r="G81" s="68"/>
      <c r="H81" s="68">
        <v>1206</v>
      </c>
      <c r="I81" s="68">
        <v>2351</v>
      </c>
      <c r="J81" s="68">
        <v>2760</v>
      </c>
      <c r="K81" s="68"/>
      <c r="L81" s="618">
        <f t="shared" si="49"/>
        <v>2.4119999999999999E-2</v>
      </c>
      <c r="M81" s="591">
        <f t="shared" si="50"/>
        <v>4.7019999999999999E-2</v>
      </c>
      <c r="N81" s="205">
        <f t="shared" si="51"/>
        <v>5.5199999999999999E-2</v>
      </c>
      <c r="O81" s="68"/>
      <c r="P81" s="68">
        <f t="shared" si="44"/>
        <v>0</v>
      </c>
      <c r="Q81" s="68">
        <f t="shared" si="45"/>
        <v>0</v>
      </c>
      <c r="R81" s="68">
        <f t="shared" si="46"/>
        <v>0</v>
      </c>
      <c r="S81" s="68">
        <f t="shared" si="34"/>
        <v>0</v>
      </c>
      <c r="T81" s="262">
        <f t="shared" si="47"/>
        <v>0</v>
      </c>
      <c r="U81" s="68"/>
      <c r="V81" s="255">
        <f t="shared" si="48"/>
        <v>0</v>
      </c>
      <c r="X81" s="37"/>
    </row>
    <row r="82" spans="1:24" ht="52.8" x14ac:dyDescent="0.25">
      <c r="A82" s="14"/>
      <c r="B82" s="20" t="s">
        <v>90</v>
      </c>
      <c r="C82" s="68">
        <v>0</v>
      </c>
      <c r="D82" s="68">
        <v>0</v>
      </c>
      <c r="E82" s="68">
        <v>0</v>
      </c>
      <c r="F82" s="68">
        <v>0</v>
      </c>
      <c r="G82" s="68"/>
      <c r="H82" s="68">
        <v>0</v>
      </c>
      <c r="I82" s="68">
        <v>0</v>
      </c>
      <c r="J82" s="68">
        <v>0</v>
      </c>
      <c r="K82" s="68"/>
      <c r="L82" s="618">
        <f t="shared" si="49"/>
        <v>0</v>
      </c>
      <c r="M82" s="591">
        <f t="shared" si="50"/>
        <v>0</v>
      </c>
      <c r="N82" s="205">
        <f t="shared" si="51"/>
        <v>0</v>
      </c>
      <c r="O82" s="68"/>
      <c r="P82" s="68">
        <f t="shared" si="44"/>
        <v>0</v>
      </c>
      <c r="Q82" s="68">
        <f t="shared" si="45"/>
        <v>0</v>
      </c>
      <c r="R82" s="68">
        <f t="shared" si="46"/>
        <v>0</v>
      </c>
      <c r="S82" s="68">
        <f t="shared" si="34"/>
        <v>0</v>
      </c>
      <c r="T82" s="262">
        <f t="shared" si="47"/>
        <v>0</v>
      </c>
      <c r="U82" s="68"/>
      <c r="V82" s="255">
        <f t="shared" si="48"/>
        <v>0</v>
      </c>
      <c r="X82" s="37"/>
    </row>
    <row r="83" spans="1:24" x14ac:dyDescent="0.25">
      <c r="A83" s="14"/>
      <c r="B83" s="14"/>
      <c r="C83" s="68"/>
      <c r="D83" s="68"/>
      <c r="E83" s="68"/>
      <c r="F83" s="68"/>
      <c r="G83" s="68"/>
      <c r="H83" s="68"/>
      <c r="I83" s="68"/>
      <c r="J83" s="68"/>
      <c r="K83" s="68"/>
      <c r="L83" s="618"/>
      <c r="M83" s="619"/>
      <c r="N83" s="205"/>
      <c r="O83" s="68"/>
      <c r="P83" s="68"/>
      <c r="Q83" s="68"/>
      <c r="R83" s="68"/>
      <c r="S83" s="68"/>
      <c r="T83" s="262"/>
      <c r="U83" s="68"/>
      <c r="V83" s="255"/>
    </row>
    <row r="84" spans="1:24" x14ac:dyDescent="0.25">
      <c r="A84" s="55" t="s">
        <v>154</v>
      </c>
      <c r="B84" s="51" t="s">
        <v>155</v>
      </c>
      <c r="C84" s="67">
        <f>+C85</f>
        <v>1105000</v>
      </c>
      <c r="D84" s="67">
        <f>SUM(D85)</f>
        <v>1105000</v>
      </c>
      <c r="E84" s="67">
        <f>SUM(E85)</f>
        <v>1760443</v>
      </c>
      <c r="F84" s="67">
        <f>SUM(F85)</f>
        <v>1827333</v>
      </c>
      <c r="G84" s="67"/>
      <c r="H84" s="67">
        <f>SUM(H85)</f>
        <v>907513</v>
      </c>
      <c r="I84" s="67">
        <f>SUM(I85)</f>
        <v>1609567</v>
      </c>
      <c r="J84" s="67">
        <f>SUM(J85)</f>
        <v>1827333</v>
      </c>
      <c r="K84" s="215"/>
      <c r="L84" s="625">
        <f t="shared" si="49"/>
        <v>0.8212787330316742</v>
      </c>
      <c r="M84" s="626">
        <f t="shared" si="50"/>
        <v>1.4566217194570135</v>
      </c>
      <c r="N84" s="209">
        <f t="shared" si="51"/>
        <v>1.0379961180225659</v>
      </c>
      <c r="O84" s="215"/>
      <c r="P84" s="215">
        <f t="shared" si="44"/>
        <v>0</v>
      </c>
      <c r="Q84" s="215">
        <f t="shared" si="45"/>
        <v>655443</v>
      </c>
      <c r="R84" s="215">
        <f t="shared" si="46"/>
        <v>0</v>
      </c>
      <c r="S84" s="215">
        <f t="shared" ref="S84:S90" si="53">+P84*P$10+Q84*Q$10+R84*R$10</f>
        <v>655443</v>
      </c>
      <c r="T84" s="264">
        <f t="shared" si="47"/>
        <v>0.59316108597285067</v>
      </c>
      <c r="U84" s="215"/>
      <c r="V84" s="258">
        <f t="shared" si="48"/>
        <v>0</v>
      </c>
      <c r="X84" s="37"/>
    </row>
    <row r="85" spans="1:24" x14ac:dyDescent="0.25">
      <c r="A85" s="529" t="s">
        <v>154</v>
      </c>
      <c r="B85" s="20" t="s">
        <v>377</v>
      </c>
      <c r="C85" s="68">
        <v>1105000</v>
      </c>
      <c r="D85" s="68">
        <v>1105000</v>
      </c>
      <c r="E85" s="68">
        <v>1760443</v>
      </c>
      <c r="F85" s="68">
        <f>320369+1210418+296546</f>
        <v>1827333</v>
      </c>
      <c r="G85" s="68"/>
      <c r="H85" s="68">
        <v>907513</v>
      </c>
      <c r="I85" s="68">
        <v>1609567</v>
      </c>
      <c r="J85" s="68">
        <f>320369+1210418+296546</f>
        <v>1827333</v>
      </c>
      <c r="K85" s="68"/>
      <c r="L85" s="591">
        <f t="shared" ref="L85" si="54">IF(H85&gt;0,H85/C85,0)</f>
        <v>0.8212787330316742</v>
      </c>
      <c r="M85" s="591">
        <f t="shared" ref="M85" si="55">IF(I85&gt;0,I85/D85,0)</f>
        <v>1.4566217194570135</v>
      </c>
      <c r="N85" s="206">
        <f t="shared" ref="N85" si="56">IF(J85&gt;0,J85/E85,0)</f>
        <v>1.0379961180225659</v>
      </c>
      <c r="O85" s="68"/>
      <c r="P85" s="81">
        <f t="shared" ref="P85" si="57">+(D85-C85)*P$10</f>
        <v>0</v>
      </c>
      <c r="Q85" s="81">
        <f t="shared" ref="Q85" si="58">+(E85-D85)*Q$10</f>
        <v>655443</v>
      </c>
      <c r="R85" s="81">
        <f t="shared" ref="R85" si="59">+(F85-E85)*R$10</f>
        <v>0</v>
      </c>
      <c r="S85" s="81">
        <f t="shared" si="53"/>
        <v>655443</v>
      </c>
      <c r="T85" s="281">
        <f t="shared" ref="T85" si="60">IF(C85=0,0,+S85/C85)</f>
        <v>0.59316108597285067</v>
      </c>
      <c r="U85" s="120"/>
      <c r="V85" s="195">
        <f t="shared" ref="V85" si="61">+S85-E85+C85</f>
        <v>0</v>
      </c>
    </row>
    <row r="86" spans="1:24" x14ac:dyDescent="0.25">
      <c r="A86" s="14"/>
      <c r="B86" s="14"/>
      <c r="C86" s="68"/>
      <c r="D86" s="68"/>
      <c r="E86" s="68"/>
      <c r="F86" s="68"/>
      <c r="G86" s="68"/>
      <c r="H86" s="68"/>
      <c r="I86" s="68"/>
      <c r="J86" s="68"/>
      <c r="K86" s="68"/>
      <c r="L86" s="618"/>
      <c r="M86" s="619"/>
      <c r="N86" s="205"/>
      <c r="O86" s="68"/>
      <c r="P86" s="68"/>
      <c r="Q86" s="68"/>
      <c r="R86" s="68"/>
      <c r="S86" s="68">
        <f t="shared" si="53"/>
        <v>0</v>
      </c>
      <c r="T86" s="262"/>
      <c r="U86" s="68"/>
      <c r="V86" s="255"/>
    </row>
    <row r="87" spans="1:24" x14ac:dyDescent="0.25">
      <c r="A87" s="7" t="s">
        <v>169</v>
      </c>
      <c r="B87" s="5" t="s">
        <v>170</v>
      </c>
      <c r="C87" s="67">
        <f>+C88</f>
        <v>0</v>
      </c>
      <c r="D87" s="67">
        <f>SUM(D88)</f>
        <v>0</v>
      </c>
      <c r="E87" s="67">
        <f>SUM(E88)</f>
        <v>0</v>
      </c>
      <c r="F87" s="67">
        <f>SUM(F88)</f>
        <v>0</v>
      </c>
      <c r="G87" s="67"/>
      <c r="H87" s="67">
        <f>SUM(H88)</f>
        <v>0</v>
      </c>
      <c r="I87" s="67">
        <f>SUM(I88)</f>
        <v>0</v>
      </c>
      <c r="J87" s="67">
        <f>SUM(J88)</f>
        <v>0</v>
      </c>
      <c r="K87" s="67"/>
      <c r="L87" s="625">
        <f t="shared" si="49"/>
        <v>0</v>
      </c>
      <c r="M87" s="621" t="e">
        <f>+I87/E87</f>
        <v>#DIV/0!</v>
      </c>
      <c r="N87" s="207"/>
      <c r="O87" s="67"/>
      <c r="P87" s="67">
        <f t="shared" ref="P87:P88" si="62">+(D87-C87)*P$10</f>
        <v>0</v>
      </c>
      <c r="Q87" s="67">
        <f t="shared" ref="Q87:Q88" si="63">+(E87-D87)*Q$10</f>
        <v>0</v>
      </c>
      <c r="R87" s="67">
        <f t="shared" ref="R87:R88" si="64">+(F87-E87)*R$10</f>
        <v>0</v>
      </c>
      <c r="S87" s="67">
        <f t="shared" si="53"/>
        <v>0</v>
      </c>
      <c r="T87" s="261">
        <f t="shared" ref="T87:T88" si="65">IF(C87=0,0,+S87/C87)</f>
        <v>0</v>
      </c>
      <c r="U87" s="67"/>
      <c r="V87" s="256">
        <f t="shared" ref="V87:V88" si="66">+S87-E87+C87</f>
        <v>0</v>
      </c>
    </row>
    <row r="88" spans="1:24" x14ac:dyDescent="0.25">
      <c r="A88" s="14"/>
      <c r="B88" s="20"/>
      <c r="C88" s="68"/>
      <c r="D88" s="68"/>
      <c r="E88" s="68"/>
      <c r="F88" s="68"/>
      <c r="G88" s="68"/>
      <c r="H88" s="68"/>
      <c r="I88" s="68"/>
      <c r="J88" s="68"/>
      <c r="K88" s="68"/>
      <c r="L88" s="591">
        <f>IF(H88&gt;0,H88/C88,0)</f>
        <v>0</v>
      </c>
      <c r="M88" s="591">
        <f>IF(I88&gt;0,I88/D88,0)</f>
        <v>0</v>
      </c>
      <c r="N88" s="206">
        <f>IF(J88&gt;0,J88/E88,0)</f>
        <v>0</v>
      </c>
      <c r="O88" s="68"/>
      <c r="P88" s="81">
        <f t="shared" si="62"/>
        <v>0</v>
      </c>
      <c r="Q88" s="81">
        <f t="shared" si="63"/>
        <v>0</v>
      </c>
      <c r="R88" s="81">
        <f t="shared" si="64"/>
        <v>0</v>
      </c>
      <c r="S88" s="81">
        <f t="shared" si="53"/>
        <v>0</v>
      </c>
      <c r="T88" s="281">
        <f t="shared" si="65"/>
        <v>0</v>
      </c>
      <c r="U88" s="120"/>
      <c r="V88" s="195">
        <f t="shared" si="66"/>
        <v>0</v>
      </c>
    </row>
    <row r="89" spans="1:24" hidden="1" x14ac:dyDescent="0.25">
      <c r="A89" s="14"/>
      <c r="B89" s="14"/>
      <c r="C89" s="68"/>
      <c r="D89" s="68"/>
      <c r="E89" s="68"/>
      <c r="F89" s="68"/>
      <c r="G89" s="68"/>
      <c r="H89" s="68"/>
      <c r="I89" s="68"/>
      <c r="J89" s="68"/>
      <c r="K89" s="68"/>
      <c r="L89" s="618"/>
      <c r="M89" s="619"/>
      <c r="N89" s="205"/>
      <c r="O89" s="68"/>
      <c r="P89" s="68"/>
      <c r="Q89" s="68"/>
      <c r="R89" s="68"/>
      <c r="S89" s="68">
        <f t="shared" si="53"/>
        <v>0</v>
      </c>
      <c r="T89" s="262"/>
      <c r="U89" s="68"/>
      <c r="V89" s="255"/>
    </row>
    <row r="90" spans="1:24" x14ac:dyDescent="0.25">
      <c r="A90" s="7"/>
      <c r="B90" s="5" t="s">
        <v>371</v>
      </c>
      <c r="C90" s="216">
        <f>C13+C30+C33+C84+C87</f>
        <v>208639000</v>
      </c>
      <c r="D90" s="216">
        <f>D13+D30+D33+D84+D87</f>
        <v>208639000</v>
      </c>
      <c r="E90" s="216">
        <f t="shared" ref="E90:J90" si="67">E13+E30+E33+E84+E87</f>
        <v>208639000</v>
      </c>
      <c r="F90" s="216">
        <f t="shared" si="67"/>
        <v>208639000</v>
      </c>
      <c r="G90" s="216"/>
      <c r="H90" s="216">
        <f t="shared" si="67"/>
        <v>102412195</v>
      </c>
      <c r="I90" s="216">
        <f t="shared" si="67"/>
        <v>152674094</v>
      </c>
      <c r="J90" s="216">
        <f t="shared" si="67"/>
        <v>206106415</v>
      </c>
      <c r="K90" s="216"/>
      <c r="L90" s="620">
        <f t="shared" si="49"/>
        <v>0.49085834863088879</v>
      </c>
      <c r="M90" s="621">
        <f t="shared" si="50"/>
        <v>0.7317620099789589</v>
      </c>
      <c r="N90" s="210">
        <f t="shared" si="51"/>
        <v>0.9878614017513504</v>
      </c>
      <c r="O90" s="216"/>
      <c r="P90" s="216">
        <f>P13+P30+P33+P84</f>
        <v>0</v>
      </c>
      <c r="Q90" s="216">
        <f>Q13+Q30+Q33+Q84</f>
        <v>0</v>
      </c>
      <c r="R90" s="216">
        <f>R13+R30+R33+R84</f>
        <v>0</v>
      </c>
      <c r="S90" s="216">
        <f t="shared" si="53"/>
        <v>0</v>
      </c>
      <c r="T90" s="265">
        <f>T13+T30+T33+T84</f>
        <v>0.54433851614044848</v>
      </c>
      <c r="U90" s="216"/>
      <c r="V90" s="259"/>
      <c r="X90" s="37"/>
    </row>
    <row r="91" spans="1:24" ht="10.35" customHeight="1" x14ac:dyDescent="0.25">
      <c r="A91" s="25"/>
      <c r="B91" s="25"/>
      <c r="C91" s="97"/>
      <c r="D91" s="98"/>
      <c r="E91" s="98"/>
      <c r="F91" s="98"/>
      <c r="G91" s="98"/>
      <c r="H91" s="98"/>
      <c r="I91" s="98"/>
      <c r="J91" s="98"/>
      <c r="K91" s="98"/>
      <c r="L91" s="597"/>
      <c r="M91" s="597"/>
      <c r="N91" s="98"/>
      <c r="O91" s="98"/>
      <c r="P91" s="98"/>
      <c r="Q91" s="98"/>
      <c r="R91" s="98"/>
      <c r="S91" s="98"/>
      <c r="T91" s="98"/>
      <c r="U91" s="22"/>
      <c r="V91" s="195">
        <f t="shared" ref="V91" si="68">+S91-E91+C91</f>
        <v>0</v>
      </c>
      <c r="W91" s="122"/>
      <c r="X91" s="122"/>
    </row>
    <row r="92" spans="1:24" ht="10.35" customHeight="1" x14ac:dyDescent="0.25">
      <c r="A92" s="466"/>
      <c r="B92" s="466"/>
      <c r="C92" s="467"/>
      <c r="D92" s="468"/>
      <c r="E92" s="468"/>
      <c r="F92" s="468"/>
      <c r="G92" s="468"/>
      <c r="H92" s="468"/>
      <c r="I92" s="468"/>
      <c r="J92" s="468"/>
      <c r="K92" s="468"/>
      <c r="L92" s="598"/>
      <c r="M92" s="598"/>
      <c r="N92" s="468"/>
      <c r="O92" s="468"/>
      <c r="P92" s="468"/>
      <c r="Q92" s="468"/>
      <c r="R92" s="468"/>
      <c r="S92" s="468"/>
      <c r="T92" s="468"/>
      <c r="U92" s="469"/>
      <c r="V92" s="470"/>
      <c r="W92" s="122"/>
      <c r="X92" s="122"/>
    </row>
    <row r="93" spans="1:24" s="42" customFormat="1" x14ac:dyDescent="0.25">
      <c r="A93" s="4" t="s">
        <v>237</v>
      </c>
      <c r="B93" s="3" t="s">
        <v>238</v>
      </c>
      <c r="C93" s="219">
        <f>SUM(C94:C94)</f>
        <v>0</v>
      </c>
      <c r="D93" s="219">
        <f>SUM(D94:D94)</f>
        <v>0</v>
      </c>
      <c r="E93" s="219">
        <f>SUM(E94:E94)</f>
        <v>0</v>
      </c>
      <c r="F93" s="219">
        <f>SUM(F94:F94)</f>
        <v>0</v>
      </c>
      <c r="G93" s="219"/>
      <c r="H93" s="219">
        <f>SUM(H94:H94)</f>
        <v>0</v>
      </c>
      <c r="I93" s="219">
        <f>SUM(I94:I94)</f>
        <v>0</v>
      </c>
      <c r="J93" s="219">
        <f>SUM(J94:J94)</f>
        <v>0</v>
      </c>
      <c r="K93" s="219"/>
      <c r="L93" s="627">
        <f t="shared" ref="L93:L94" si="69">IF(H93&gt;0,H93/C93,0)</f>
        <v>0</v>
      </c>
      <c r="M93" s="621">
        <f t="shared" ref="M93:M94" si="70">IF(I93&gt;0,I93/D93,0)</f>
        <v>0</v>
      </c>
      <c r="N93" s="212">
        <f t="shared" ref="N93:N94" si="71">IF(J93&gt;0,J93/E93,0)</f>
        <v>0</v>
      </c>
      <c r="O93" s="219"/>
      <c r="P93" s="219">
        <f t="shared" ref="P93:P94" si="72">+(D93-C93)*P$10</f>
        <v>0</v>
      </c>
      <c r="Q93" s="219">
        <f t="shared" ref="Q93:Q94" si="73">+(E93-D93)*Q$10</f>
        <v>0</v>
      </c>
      <c r="R93" s="219">
        <f t="shared" ref="R93:R94" si="74">+(F93-E93)*R$10</f>
        <v>0</v>
      </c>
      <c r="S93" s="219">
        <f t="shared" ref="S93:S102" si="75">+P93*P$10+Q93*Q$10+R93*R$10</f>
        <v>0</v>
      </c>
      <c r="T93" s="266">
        <f t="shared" ref="T93:T94" si="76">IF(C93=0,0,+S93/C93)</f>
        <v>0</v>
      </c>
      <c r="U93" s="219"/>
      <c r="V93" s="260">
        <f t="shared" ref="V93:V94" si="77">+S93-E93+C93</f>
        <v>0</v>
      </c>
    </row>
    <row r="94" spans="1:24" x14ac:dyDescent="0.25">
      <c r="A94" s="14"/>
      <c r="B94" s="20"/>
      <c r="C94" s="220"/>
      <c r="D94" s="221"/>
      <c r="E94" s="221"/>
      <c r="F94" s="221"/>
      <c r="G94" s="221"/>
      <c r="H94" s="221"/>
      <c r="I94" s="221"/>
      <c r="J94" s="221"/>
      <c r="K94" s="221"/>
      <c r="L94" s="618">
        <f t="shared" si="69"/>
        <v>0</v>
      </c>
      <c r="M94" s="628">
        <f t="shared" si="70"/>
        <v>0</v>
      </c>
      <c r="N94" s="213">
        <f t="shared" si="71"/>
        <v>0</v>
      </c>
      <c r="O94" s="221"/>
      <c r="P94" s="81">
        <f t="shared" si="72"/>
        <v>0</v>
      </c>
      <c r="Q94" s="81">
        <f t="shared" si="73"/>
        <v>0</v>
      </c>
      <c r="R94" s="81">
        <f t="shared" si="74"/>
        <v>0</v>
      </c>
      <c r="S94" s="81">
        <f t="shared" si="75"/>
        <v>0</v>
      </c>
      <c r="T94" s="261">
        <f t="shared" si="76"/>
        <v>0</v>
      </c>
      <c r="U94" s="120"/>
      <c r="V94" s="195">
        <f t="shared" si="77"/>
        <v>0</v>
      </c>
    </row>
    <row r="95" spans="1:24" s="42" customFormat="1" x14ac:dyDescent="0.25">
      <c r="A95" s="4" t="s">
        <v>278</v>
      </c>
      <c r="B95" s="3" t="s">
        <v>279</v>
      </c>
      <c r="C95" s="219">
        <f>SUM(C96:C98)</f>
        <v>5000</v>
      </c>
      <c r="D95" s="219">
        <f>SUM(D96:D98)</f>
        <v>5000</v>
      </c>
      <c r="E95" s="219">
        <f>SUM(E96:E98)</f>
        <v>5000</v>
      </c>
      <c r="F95" s="219">
        <f>SUM(F96:F98)</f>
        <v>5000</v>
      </c>
      <c r="G95" s="219"/>
      <c r="H95" s="219">
        <f>SUM(H96:H98)</f>
        <v>2592</v>
      </c>
      <c r="I95" s="219">
        <f>SUM(I96:I98)</f>
        <v>3123</v>
      </c>
      <c r="J95" s="219">
        <f>SUM(J96:J98)</f>
        <v>3782</v>
      </c>
      <c r="K95" s="219"/>
      <c r="L95" s="627">
        <f t="shared" si="49"/>
        <v>0.51839999999999997</v>
      </c>
      <c r="M95" s="621">
        <f t="shared" si="50"/>
        <v>0.62460000000000004</v>
      </c>
      <c r="N95" s="212">
        <f t="shared" si="51"/>
        <v>0.75639999999999996</v>
      </c>
      <c r="O95" s="219"/>
      <c r="P95" s="219">
        <f t="shared" ref="P95" si="78">+(D95-C95)*P$10</f>
        <v>0</v>
      </c>
      <c r="Q95" s="219">
        <f t="shared" ref="Q95" si="79">+(E95-D95)*Q$10</f>
        <v>0</v>
      </c>
      <c r="R95" s="219">
        <f t="shared" ref="R95" si="80">+(F95-E95)*R$10</f>
        <v>0</v>
      </c>
      <c r="S95" s="219">
        <f t="shared" si="75"/>
        <v>0</v>
      </c>
      <c r="T95" s="266">
        <f t="shared" ref="T95" si="81">IF(C95=0,0,+S95/C95)</f>
        <v>0</v>
      </c>
      <c r="U95" s="219"/>
      <c r="V95" s="260">
        <f t="shared" ref="V95" si="82">+S95-E95+C95</f>
        <v>0</v>
      </c>
      <c r="W95" s="59" t="s">
        <v>392</v>
      </c>
    </row>
    <row r="96" spans="1:24" x14ac:dyDescent="0.25">
      <c r="A96" s="14" t="s">
        <v>289</v>
      </c>
      <c r="B96" s="20" t="s">
        <v>290</v>
      </c>
      <c r="C96" s="220">
        <v>0</v>
      </c>
      <c r="D96" s="220">
        <v>0</v>
      </c>
      <c r="E96" s="220">
        <v>0</v>
      </c>
      <c r="F96" s="220"/>
      <c r="G96" s="220"/>
      <c r="H96" s="220">
        <v>0</v>
      </c>
      <c r="I96" s="220">
        <v>0</v>
      </c>
      <c r="J96" s="220"/>
      <c r="K96" s="220"/>
      <c r="L96" s="619">
        <f t="shared" si="49"/>
        <v>0</v>
      </c>
      <c r="M96" s="628">
        <f t="shared" si="50"/>
        <v>0</v>
      </c>
      <c r="N96" s="211">
        <f t="shared" si="51"/>
        <v>0</v>
      </c>
      <c r="O96" s="220"/>
      <c r="P96" s="81">
        <f t="shared" ref="P96:R99" si="83">+(D96-C96)*P$10</f>
        <v>0</v>
      </c>
      <c r="Q96" s="81">
        <f t="shared" ref="Q96:Q99" si="84">+(E96-D96)*Q$10</f>
        <v>0</v>
      </c>
      <c r="R96" s="81">
        <f t="shared" ref="R96:R99" si="85">+(F96-E96)*R$10</f>
        <v>0</v>
      </c>
      <c r="S96" s="81">
        <f t="shared" si="75"/>
        <v>0</v>
      </c>
      <c r="T96" s="261">
        <f t="shared" ref="T96:T102" si="86">IF(C96=0,0,+S96/C96)</f>
        <v>0</v>
      </c>
      <c r="U96" s="120"/>
      <c r="V96" s="195">
        <f t="shared" ref="V96:V99" si="87">+S96-E96+C96</f>
        <v>0</v>
      </c>
    </row>
    <row r="97" spans="1:24" x14ac:dyDescent="0.25">
      <c r="A97" s="14" t="s">
        <v>292</v>
      </c>
      <c r="B97" s="20" t="s">
        <v>293</v>
      </c>
      <c r="C97" s="220">
        <v>0</v>
      </c>
      <c r="D97" s="220">
        <v>0</v>
      </c>
      <c r="E97" s="220">
        <v>0</v>
      </c>
      <c r="F97" s="220"/>
      <c r="G97" s="220"/>
      <c r="H97" s="220">
        <v>0</v>
      </c>
      <c r="I97" s="220">
        <v>0</v>
      </c>
      <c r="J97" s="220"/>
      <c r="K97" s="220"/>
      <c r="L97" s="619">
        <f t="shared" si="49"/>
        <v>0</v>
      </c>
      <c r="M97" s="629">
        <f t="shared" si="50"/>
        <v>0</v>
      </c>
      <c r="N97" s="211">
        <f t="shared" si="51"/>
        <v>0</v>
      </c>
      <c r="O97" s="220"/>
      <c r="P97" s="81">
        <f t="shared" si="83"/>
        <v>0</v>
      </c>
      <c r="Q97" s="81">
        <f t="shared" si="84"/>
        <v>0</v>
      </c>
      <c r="R97" s="81">
        <f t="shared" si="85"/>
        <v>0</v>
      </c>
      <c r="S97" s="81">
        <f t="shared" si="75"/>
        <v>0</v>
      </c>
      <c r="T97" s="261">
        <f t="shared" si="86"/>
        <v>0</v>
      </c>
      <c r="U97" s="120"/>
      <c r="V97" s="195">
        <f t="shared" si="87"/>
        <v>0</v>
      </c>
    </row>
    <row r="98" spans="1:24" ht="25.95" customHeight="1" x14ac:dyDescent="0.25">
      <c r="A98" s="482" t="s">
        <v>454</v>
      </c>
      <c r="B98" s="482" t="s">
        <v>453</v>
      </c>
      <c r="C98" s="71">
        <v>5000</v>
      </c>
      <c r="D98" s="71">
        <v>5000</v>
      </c>
      <c r="E98" s="142">
        <v>5000</v>
      </c>
      <c r="F98" s="71">
        <v>5000</v>
      </c>
      <c r="G98" s="117"/>
      <c r="H98" s="96">
        <f>108+2484</f>
        <v>2592</v>
      </c>
      <c r="I98" s="96">
        <v>3123</v>
      </c>
      <c r="J98" s="96">
        <v>3782</v>
      </c>
      <c r="K98" s="117"/>
      <c r="L98" s="593">
        <f t="shared" si="49"/>
        <v>0.51839999999999997</v>
      </c>
      <c r="M98" s="593">
        <f t="shared" si="49"/>
        <v>0.62460000000000004</v>
      </c>
      <c r="N98" s="137">
        <f t="shared" si="49"/>
        <v>0.75639999999999996</v>
      </c>
      <c r="O98" s="120"/>
      <c r="P98" s="81">
        <f t="shared" si="83"/>
        <v>0</v>
      </c>
      <c r="Q98" s="81">
        <f t="shared" si="83"/>
        <v>0</v>
      </c>
      <c r="R98" s="81">
        <f t="shared" si="83"/>
        <v>0</v>
      </c>
      <c r="S98" s="81">
        <f t="shared" si="75"/>
        <v>0</v>
      </c>
      <c r="T98" s="85">
        <f t="shared" si="86"/>
        <v>0</v>
      </c>
      <c r="U98" s="120"/>
      <c r="V98" s="195">
        <f t="shared" si="87"/>
        <v>0</v>
      </c>
      <c r="W98" s="122"/>
      <c r="X98" s="122"/>
    </row>
    <row r="99" spans="1:24" s="42" customFormat="1" x14ac:dyDescent="0.25">
      <c r="A99" s="4" t="s">
        <v>327</v>
      </c>
      <c r="B99" s="3" t="s">
        <v>328</v>
      </c>
      <c r="C99" s="219">
        <f>SUM(C100:C101)</f>
        <v>208634000</v>
      </c>
      <c r="D99" s="219">
        <f t="shared" ref="D99:F99" si="88">SUM(D100:D101)</f>
        <v>208634000</v>
      </c>
      <c r="E99" s="219">
        <f t="shared" si="88"/>
        <v>208634000</v>
      </c>
      <c r="F99" s="219">
        <f t="shared" si="88"/>
        <v>208634000</v>
      </c>
      <c r="G99" s="219"/>
      <c r="H99" s="219">
        <f t="shared" ref="H99" si="89">SUM(H100:H101)</f>
        <v>109290434</v>
      </c>
      <c r="I99" s="219">
        <f t="shared" ref="I99" si="90">SUM(I100:I101)</f>
        <v>154351363</v>
      </c>
      <c r="J99" s="219">
        <f t="shared" ref="J99" si="91">SUM(J100:J101)</f>
        <v>206433039</v>
      </c>
      <c r="K99" s="219"/>
      <c r="L99" s="627">
        <f t="shared" si="49"/>
        <v>0.52383808008282451</v>
      </c>
      <c r="M99" s="621">
        <f t="shared" si="50"/>
        <v>0.73981883585609254</v>
      </c>
      <c r="N99" s="212">
        <f t="shared" si="51"/>
        <v>0.98945061207665097</v>
      </c>
      <c r="O99" s="219"/>
      <c r="P99" s="219">
        <f t="shared" si="83"/>
        <v>0</v>
      </c>
      <c r="Q99" s="219">
        <f t="shared" si="84"/>
        <v>0</v>
      </c>
      <c r="R99" s="219">
        <f t="shared" si="85"/>
        <v>0</v>
      </c>
      <c r="S99" s="219">
        <f t="shared" si="75"/>
        <v>0</v>
      </c>
      <c r="T99" s="266">
        <f t="shared" si="86"/>
        <v>0</v>
      </c>
      <c r="U99" s="219"/>
      <c r="V99" s="260">
        <f t="shared" si="87"/>
        <v>0</v>
      </c>
    </row>
    <row r="100" spans="1:24" x14ac:dyDescent="0.25">
      <c r="A100" s="14" t="s">
        <v>353</v>
      </c>
      <c r="B100" s="20" t="s">
        <v>378</v>
      </c>
      <c r="C100" s="142">
        <f>+C104</f>
        <v>208046159</v>
      </c>
      <c r="D100" s="221">
        <v>208046159</v>
      </c>
      <c r="E100" s="221">
        <v>208046159</v>
      </c>
      <c r="F100" s="221">
        <v>208046159</v>
      </c>
      <c r="G100" s="221"/>
      <c r="H100" s="221">
        <v>108702593</v>
      </c>
      <c r="I100" s="221">
        <v>153763522</v>
      </c>
      <c r="J100" s="221">
        <v>205845198</v>
      </c>
      <c r="K100" s="221"/>
      <c r="L100" s="618">
        <f t="shared" si="49"/>
        <v>0.52249266952340134</v>
      </c>
      <c r="M100" s="628">
        <f t="shared" si="50"/>
        <v>0.73908368575071848</v>
      </c>
      <c r="N100" s="213">
        <f t="shared" si="51"/>
        <v>0.98942080444753611</v>
      </c>
      <c r="O100" s="221"/>
      <c r="P100" s="81">
        <f t="shared" ref="P100:P102" si="92">+(D100-C100)*P$10</f>
        <v>0</v>
      </c>
      <c r="Q100" s="81">
        <f t="shared" ref="Q100:Q102" si="93">+(E100-D100)*Q$10</f>
        <v>0</v>
      </c>
      <c r="R100" s="81">
        <f t="shared" ref="R100:R102" si="94">+(F100-E100)*R$10</f>
        <v>0</v>
      </c>
      <c r="S100" s="81">
        <f t="shared" si="75"/>
        <v>0</v>
      </c>
      <c r="T100" s="261">
        <f t="shared" si="86"/>
        <v>0</v>
      </c>
      <c r="U100" s="120"/>
      <c r="V100" s="195">
        <f t="shared" ref="V100:V102" si="95">+S100-E100+C100</f>
        <v>0</v>
      </c>
    </row>
    <row r="101" spans="1:24" ht="14.4" x14ac:dyDescent="0.3">
      <c r="A101" s="14" t="s">
        <v>341</v>
      </c>
      <c r="B101" s="20" t="s">
        <v>342</v>
      </c>
      <c r="C101" s="712">
        <v>587841</v>
      </c>
      <c r="D101" s="562">
        <v>587841</v>
      </c>
      <c r="E101" s="562">
        <v>587841</v>
      </c>
      <c r="F101" s="221">
        <v>587841</v>
      </c>
      <c r="G101" s="221"/>
      <c r="H101" s="562">
        <v>587841</v>
      </c>
      <c r="I101" s="220">
        <v>587841</v>
      </c>
      <c r="J101" s="220">
        <v>587841</v>
      </c>
      <c r="K101" s="221"/>
      <c r="L101" s="619">
        <f t="shared" si="49"/>
        <v>1</v>
      </c>
      <c r="M101" s="629">
        <f t="shared" si="50"/>
        <v>1</v>
      </c>
      <c r="N101" s="211">
        <f t="shared" si="51"/>
        <v>1</v>
      </c>
      <c r="O101" s="221"/>
      <c r="P101" s="81">
        <f t="shared" si="92"/>
        <v>0</v>
      </c>
      <c r="Q101" s="81">
        <f t="shared" si="93"/>
        <v>0</v>
      </c>
      <c r="R101" s="81">
        <f t="shared" si="94"/>
        <v>0</v>
      </c>
      <c r="S101" s="81">
        <f t="shared" si="75"/>
        <v>0</v>
      </c>
      <c r="T101" s="261">
        <f t="shared" si="86"/>
        <v>0</v>
      </c>
      <c r="U101" s="120"/>
      <c r="V101" s="195">
        <f t="shared" si="95"/>
        <v>0</v>
      </c>
    </row>
    <row r="102" spans="1:24" x14ac:dyDescent="0.25">
      <c r="A102" s="5"/>
      <c r="B102" s="5" t="s">
        <v>370</v>
      </c>
      <c r="C102" s="216">
        <f>+C95+C99+C93</f>
        <v>208639000</v>
      </c>
      <c r="D102" s="216">
        <f>+D95+D99+D93</f>
        <v>208639000</v>
      </c>
      <c r="E102" s="216">
        <f>+E95+E99+E93</f>
        <v>208639000</v>
      </c>
      <c r="F102" s="216">
        <f>+F95+F99+F93</f>
        <v>208639000</v>
      </c>
      <c r="G102" s="216"/>
      <c r="H102" s="216">
        <f>+H95+H99+H93</f>
        <v>109293026</v>
      </c>
      <c r="I102" s="216">
        <f>+I95+I99+I93</f>
        <v>154354486</v>
      </c>
      <c r="J102" s="216">
        <f>+J95+J99+J93</f>
        <v>206436821</v>
      </c>
      <c r="K102" s="216"/>
      <c r="L102" s="620">
        <f t="shared" si="49"/>
        <v>0.523837949760112</v>
      </c>
      <c r="M102" s="621">
        <f t="shared" si="50"/>
        <v>0.73981607465526578</v>
      </c>
      <c r="N102" s="210">
        <f t="shared" si="51"/>
        <v>0.98944502705630299</v>
      </c>
      <c r="O102" s="216"/>
      <c r="P102" s="216">
        <f t="shared" si="92"/>
        <v>0</v>
      </c>
      <c r="Q102" s="216">
        <f t="shared" si="93"/>
        <v>0</v>
      </c>
      <c r="R102" s="216">
        <f t="shared" si="94"/>
        <v>0</v>
      </c>
      <c r="S102" s="216">
        <f t="shared" si="75"/>
        <v>0</v>
      </c>
      <c r="T102" s="265">
        <f t="shared" si="86"/>
        <v>0</v>
      </c>
      <c r="U102" s="216"/>
      <c r="V102" s="259">
        <f t="shared" si="95"/>
        <v>0</v>
      </c>
    </row>
    <row r="103" spans="1:24" x14ac:dyDescent="0.25">
      <c r="B103" s="25"/>
      <c r="C103" s="97"/>
      <c r="D103" s="98"/>
      <c r="E103" s="98"/>
      <c r="F103" s="98"/>
      <c r="G103" s="98"/>
      <c r="H103" s="98"/>
      <c r="I103" s="98"/>
      <c r="J103" s="98"/>
      <c r="K103" s="98"/>
      <c r="L103" s="600"/>
      <c r="M103" s="600"/>
      <c r="O103" s="98"/>
      <c r="P103" s="98"/>
      <c r="Q103" s="98"/>
      <c r="R103" s="98"/>
      <c r="S103" s="98"/>
      <c r="T103" s="98"/>
      <c r="U103" s="98"/>
      <c r="V103" s="123"/>
    </row>
    <row r="104" spans="1:24" x14ac:dyDescent="0.25">
      <c r="B104" s="25"/>
      <c r="C104" s="97">
        <f>+C90-C101-C95</f>
        <v>208046159</v>
      </c>
      <c r="D104" s="98"/>
      <c r="E104" s="98"/>
      <c r="F104" s="98"/>
      <c r="G104" s="98"/>
      <c r="H104" s="98"/>
      <c r="I104" s="98"/>
      <c r="J104" s="98"/>
      <c r="K104" s="98"/>
      <c r="L104" s="600"/>
      <c r="M104" s="600"/>
      <c r="O104" s="98"/>
      <c r="P104" s="98"/>
      <c r="Q104" s="98"/>
      <c r="R104" s="98"/>
      <c r="S104" s="98"/>
      <c r="T104" s="98"/>
      <c r="U104" s="98"/>
      <c r="V104" s="123"/>
    </row>
    <row r="105" spans="1:24" x14ac:dyDescent="0.25">
      <c r="B105" s="25"/>
      <c r="C105" s="17"/>
      <c r="L105" s="600"/>
      <c r="M105" s="600"/>
      <c r="V105" s="123"/>
    </row>
    <row r="106" spans="1:24" x14ac:dyDescent="0.25">
      <c r="B106" s="25"/>
      <c r="C106" s="17"/>
      <c r="D106" s="19"/>
      <c r="E106" s="19"/>
      <c r="F106" s="19"/>
      <c r="G106" s="19"/>
      <c r="K106" s="19"/>
      <c r="L106" s="600"/>
      <c r="M106" s="600"/>
      <c r="O106" s="19"/>
      <c r="V106" s="123"/>
    </row>
    <row r="107" spans="1:24" x14ac:dyDescent="0.25">
      <c r="A107" s="59"/>
      <c r="B107" s="59" t="s">
        <v>465</v>
      </c>
      <c r="C107" s="71" t="e">
        <f>+#REF!</f>
        <v>#REF!</v>
      </c>
      <c r="D107" s="98" t="e">
        <f>+C102-C107</f>
        <v>#REF!</v>
      </c>
      <c r="E107" s="711"/>
      <c r="L107" s="600"/>
      <c r="M107" s="600"/>
      <c r="V107" s="123"/>
    </row>
    <row r="108" spans="1:24" x14ac:dyDescent="0.25">
      <c r="B108" s="560"/>
      <c r="C108" s="576"/>
      <c r="D108" s="98"/>
      <c r="L108" s="600"/>
      <c r="M108" s="600"/>
      <c r="V108" s="123"/>
    </row>
    <row r="109" spans="1:24" x14ac:dyDescent="0.25">
      <c r="B109" s="25"/>
      <c r="C109" s="17">
        <f>+C90+9100000</f>
        <v>217739000</v>
      </c>
      <c r="L109" s="600"/>
      <c r="M109" s="600"/>
    </row>
    <row r="110" spans="1:24" x14ac:dyDescent="0.25">
      <c r="B110" s="25"/>
      <c r="C110" s="17" t="e">
        <f>+C109-C107</f>
        <v>#REF!</v>
      </c>
      <c r="L110" s="600"/>
      <c r="M110" s="600"/>
    </row>
    <row r="111" spans="1:24" x14ac:dyDescent="0.25">
      <c r="B111" s="25"/>
      <c r="C111" s="17"/>
      <c r="L111" s="600"/>
      <c r="M111" s="600"/>
    </row>
    <row r="112" spans="1:24" x14ac:dyDescent="0.25">
      <c r="B112" s="25"/>
      <c r="C112" s="17"/>
      <c r="L112" s="600"/>
      <c r="M112" s="600"/>
    </row>
    <row r="113" spans="1:13" x14ac:dyDescent="0.25">
      <c r="B113" s="25"/>
      <c r="C113" s="17"/>
      <c r="L113" s="600"/>
      <c r="M113" s="600"/>
    </row>
    <row r="114" spans="1:13" x14ac:dyDescent="0.25">
      <c r="B114" s="25"/>
      <c r="C114" s="17"/>
      <c r="L114" s="600"/>
      <c r="M114" s="600"/>
    </row>
    <row r="115" spans="1:13" x14ac:dyDescent="0.25">
      <c r="B115" s="25"/>
      <c r="C115" s="17"/>
      <c r="L115" s="600"/>
      <c r="M115" s="600"/>
    </row>
    <row r="116" spans="1:13" x14ac:dyDescent="0.25">
      <c r="B116" s="25"/>
      <c r="C116" s="17"/>
      <c r="L116" s="600"/>
      <c r="M116" s="600"/>
    </row>
    <row r="117" spans="1:13" x14ac:dyDescent="0.25">
      <c r="C117" s="17"/>
      <c r="L117" s="600"/>
      <c r="M117" s="600"/>
    </row>
    <row r="118" spans="1:13" x14ac:dyDescent="0.25">
      <c r="A118" s="30"/>
      <c r="B118" s="26"/>
      <c r="C118" s="17"/>
      <c r="L118" s="600"/>
      <c r="M118" s="600"/>
    </row>
    <row r="119" spans="1:13" x14ac:dyDescent="0.25">
      <c r="B119" s="25"/>
      <c r="C119" s="17"/>
      <c r="L119" s="600"/>
      <c r="M119" s="600"/>
    </row>
    <row r="120" spans="1:13" x14ac:dyDescent="0.25">
      <c r="B120" s="25"/>
      <c r="C120" s="17"/>
      <c r="L120" s="600"/>
      <c r="M120" s="600"/>
    </row>
    <row r="121" spans="1:13" x14ac:dyDescent="0.25">
      <c r="B121" s="25"/>
      <c r="C121" s="17"/>
      <c r="L121" s="600"/>
      <c r="M121" s="600"/>
    </row>
    <row r="122" spans="1:13" x14ac:dyDescent="0.25">
      <c r="B122" s="25"/>
      <c r="C122" s="17"/>
      <c r="L122" s="600"/>
      <c r="M122" s="600"/>
    </row>
    <row r="123" spans="1:13" x14ac:dyDescent="0.25">
      <c r="B123" s="25"/>
      <c r="C123" s="17"/>
      <c r="L123" s="600"/>
      <c r="M123" s="600"/>
    </row>
    <row r="124" spans="1:13" x14ac:dyDescent="0.25">
      <c r="B124" s="25"/>
      <c r="C124" s="17"/>
      <c r="L124" s="600"/>
      <c r="M124" s="600"/>
    </row>
    <row r="125" spans="1:13" x14ac:dyDescent="0.25">
      <c r="B125" s="25"/>
      <c r="C125" s="17"/>
      <c r="L125" s="600"/>
      <c r="M125" s="600"/>
    </row>
    <row r="126" spans="1:13" x14ac:dyDescent="0.25">
      <c r="B126" s="25"/>
      <c r="C126" s="17"/>
      <c r="L126" s="600"/>
      <c r="M126" s="600"/>
    </row>
    <row r="127" spans="1:13" x14ac:dyDescent="0.25">
      <c r="B127" s="25"/>
      <c r="C127" s="17"/>
      <c r="L127" s="600"/>
      <c r="M127" s="600"/>
    </row>
    <row r="128" spans="1:13" x14ac:dyDescent="0.25">
      <c r="C128" s="17"/>
      <c r="L128" s="600"/>
      <c r="M128" s="600"/>
    </row>
    <row r="129" spans="1:13" x14ac:dyDescent="0.25">
      <c r="A129" s="30"/>
      <c r="B129" s="26"/>
      <c r="C129" s="17"/>
      <c r="L129" s="600"/>
      <c r="M129" s="600"/>
    </row>
    <row r="130" spans="1:13" x14ac:dyDescent="0.25">
      <c r="B130" s="25"/>
      <c r="C130" s="17"/>
      <c r="L130" s="600"/>
      <c r="M130" s="600"/>
    </row>
    <row r="131" spans="1:13" x14ac:dyDescent="0.25">
      <c r="B131" s="25"/>
      <c r="C131" s="17"/>
      <c r="L131" s="600"/>
      <c r="M131" s="600"/>
    </row>
    <row r="132" spans="1:13" x14ac:dyDescent="0.25">
      <c r="B132" s="25"/>
      <c r="C132" s="17"/>
      <c r="L132" s="600"/>
      <c r="M132" s="600"/>
    </row>
    <row r="133" spans="1:13" x14ac:dyDescent="0.25">
      <c r="B133" s="25"/>
      <c r="C133" s="17"/>
      <c r="L133" s="600"/>
      <c r="M133" s="600"/>
    </row>
    <row r="134" spans="1:13" x14ac:dyDescent="0.25">
      <c r="B134" s="25"/>
      <c r="C134" s="17"/>
      <c r="L134" s="600"/>
      <c r="M134" s="600"/>
    </row>
    <row r="135" spans="1:13" x14ac:dyDescent="0.25">
      <c r="B135" s="25"/>
      <c r="C135" s="17"/>
      <c r="L135" s="600"/>
      <c r="M135" s="600"/>
    </row>
    <row r="136" spans="1:13" x14ac:dyDescent="0.25">
      <c r="B136" s="25"/>
      <c r="C136" s="17"/>
      <c r="L136" s="600"/>
      <c r="M136" s="600"/>
    </row>
    <row r="137" spans="1:13" x14ac:dyDescent="0.25">
      <c r="C137" s="17"/>
      <c r="L137" s="600"/>
      <c r="M137" s="600"/>
    </row>
    <row r="138" spans="1:13" x14ac:dyDescent="0.25">
      <c r="A138" s="30"/>
      <c r="B138" s="26"/>
      <c r="C138" s="17"/>
      <c r="L138" s="600"/>
      <c r="M138" s="600"/>
    </row>
    <row r="139" spans="1:13" x14ac:dyDescent="0.25">
      <c r="B139" s="25"/>
      <c r="C139" s="17"/>
      <c r="L139" s="600"/>
      <c r="M139" s="600"/>
    </row>
    <row r="140" spans="1:13" x14ac:dyDescent="0.25">
      <c r="B140" s="25"/>
      <c r="C140" s="17"/>
      <c r="L140" s="600"/>
      <c r="M140" s="600"/>
    </row>
    <row r="141" spans="1:13" x14ac:dyDescent="0.25">
      <c r="B141" s="25"/>
      <c r="C141" s="17"/>
      <c r="L141" s="600"/>
      <c r="M141" s="600"/>
    </row>
    <row r="142" spans="1:13" x14ac:dyDescent="0.25">
      <c r="B142" s="25"/>
      <c r="C142" s="17"/>
    </row>
    <row r="143" spans="1:13" x14ac:dyDescent="0.25">
      <c r="C143" s="17"/>
    </row>
    <row r="144" spans="1:13" x14ac:dyDescent="0.25">
      <c r="A144" s="30"/>
      <c r="B144" s="26"/>
      <c r="C144" s="17"/>
    </row>
    <row r="145" spans="1:3" x14ac:dyDescent="0.25">
      <c r="B145" s="25"/>
      <c r="C145" s="17"/>
    </row>
    <row r="146" spans="1:3" x14ac:dyDescent="0.25">
      <c r="B146" s="25"/>
      <c r="C146" s="17"/>
    </row>
    <row r="147" spans="1:3" x14ac:dyDescent="0.25">
      <c r="B147" s="25"/>
      <c r="C147" s="17"/>
    </row>
    <row r="148" spans="1:3" x14ac:dyDescent="0.25">
      <c r="B148" s="25"/>
      <c r="C148" s="17"/>
    </row>
    <row r="149" spans="1:3" x14ac:dyDescent="0.25">
      <c r="B149" s="25"/>
      <c r="C149" s="17"/>
    </row>
    <row r="150" spans="1:3" x14ac:dyDescent="0.25">
      <c r="B150" s="25"/>
      <c r="C150" s="17"/>
    </row>
    <row r="151" spans="1:3" x14ac:dyDescent="0.25">
      <c r="B151" s="25"/>
      <c r="C151" s="17"/>
    </row>
    <row r="152" spans="1:3" x14ac:dyDescent="0.25">
      <c r="B152" s="25"/>
      <c r="C152" s="17"/>
    </row>
    <row r="153" spans="1:3" x14ac:dyDescent="0.25">
      <c r="C153" s="17"/>
    </row>
    <row r="154" spans="1:3" x14ac:dyDescent="0.25">
      <c r="A154" s="30"/>
      <c r="B154" s="26"/>
      <c r="C154" s="17"/>
    </row>
    <row r="155" spans="1:3" x14ac:dyDescent="0.25">
      <c r="B155" s="25"/>
      <c r="C155" s="17"/>
    </row>
    <row r="156" spans="1:3" x14ac:dyDescent="0.25">
      <c r="B156" s="25"/>
      <c r="C156" s="17"/>
    </row>
    <row r="157" spans="1:3" x14ac:dyDescent="0.25">
      <c r="B157" s="25"/>
      <c r="C157" s="17"/>
    </row>
    <row r="158" spans="1:3" x14ac:dyDescent="0.25">
      <c r="B158" s="25"/>
      <c r="C158" s="17"/>
    </row>
    <row r="159" spans="1:3" x14ac:dyDescent="0.25">
      <c r="B159" s="25"/>
      <c r="C159" s="17"/>
    </row>
    <row r="160" spans="1:3" x14ac:dyDescent="0.25">
      <c r="B160" s="25"/>
      <c r="C160" s="17"/>
    </row>
    <row r="161" spans="2:3" x14ac:dyDescent="0.25">
      <c r="B161" s="25"/>
      <c r="C161" s="17"/>
    </row>
    <row r="162" spans="2:3" x14ac:dyDescent="0.25">
      <c r="B162" s="25"/>
      <c r="C162" s="17"/>
    </row>
    <row r="163" spans="2:3" x14ac:dyDescent="0.25">
      <c r="B163" s="25"/>
      <c r="C163" s="17"/>
    </row>
    <row r="164" spans="2:3" x14ac:dyDescent="0.25">
      <c r="B164" s="25"/>
      <c r="C164" s="17"/>
    </row>
    <row r="165" spans="2:3" x14ac:dyDescent="0.25">
      <c r="B165" s="25"/>
      <c r="C165" s="17"/>
    </row>
    <row r="166" spans="2:3" x14ac:dyDescent="0.25">
      <c r="B166" s="25"/>
      <c r="C166" s="17"/>
    </row>
    <row r="167" spans="2:3" x14ac:dyDescent="0.25">
      <c r="B167" s="25"/>
      <c r="C167" s="17"/>
    </row>
    <row r="168" spans="2:3" x14ac:dyDescent="0.25">
      <c r="B168" s="25"/>
      <c r="C168" s="17"/>
    </row>
    <row r="169" spans="2:3" x14ac:dyDescent="0.25">
      <c r="B169" s="25"/>
      <c r="C169" s="17"/>
    </row>
    <row r="170" spans="2:3" x14ac:dyDescent="0.25">
      <c r="B170" s="25"/>
      <c r="C170" s="17"/>
    </row>
    <row r="171" spans="2:3" x14ac:dyDescent="0.25">
      <c r="B171" s="25"/>
      <c r="C171" s="17"/>
    </row>
    <row r="172" spans="2:3" x14ac:dyDescent="0.25">
      <c r="B172" s="25"/>
      <c r="C172" s="17"/>
    </row>
    <row r="173" spans="2:3" x14ac:dyDescent="0.25">
      <c r="B173" s="25"/>
      <c r="C173" s="17"/>
    </row>
    <row r="174" spans="2:3" x14ac:dyDescent="0.25">
      <c r="B174" s="25"/>
      <c r="C174" s="17"/>
    </row>
    <row r="175" spans="2:3" x14ac:dyDescent="0.25">
      <c r="B175" s="25"/>
      <c r="C175" s="17"/>
    </row>
    <row r="176" spans="2:3" x14ac:dyDescent="0.25">
      <c r="C176" s="17"/>
    </row>
  </sheetData>
  <mergeCells count="5">
    <mergeCell ref="C9:F9"/>
    <mergeCell ref="H9:N9"/>
    <mergeCell ref="P9:T9"/>
    <mergeCell ref="H10:J10"/>
    <mergeCell ref="L10:N10"/>
  </mergeCells>
  <phoneticPr fontId="3" type="noConversion"/>
  <printOptions horizontalCentered="1"/>
  <pageMargins left="0" right="0" top="0.59055118110236227" bottom="0" header="0.51181102362204722" footer="0.51181102362204722"/>
  <pageSetup paperSize="9" scale="35" orientation="landscape" r:id="rId1"/>
  <headerFooter alignWithMargins="0">
    <oddHeader>&amp;R&amp;"Arial,Félkövér dőlt"&amp;12&amp;A  /&amp;"Arial,Normál"&amp;10
&amp;"Arial,Dőlt"&amp;F</oddHeader>
  </headerFooter>
  <colBreaks count="1" manualBreakCount="1">
    <brk id="24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view="pageBreakPreview" zoomScaleNormal="65" zoomScaleSheetLayoutView="100" workbookViewId="0">
      <selection activeCell="B4" sqref="B4"/>
    </sheetView>
  </sheetViews>
  <sheetFormatPr defaultRowHeight="12.75" customHeight="1" x14ac:dyDescent="0.25"/>
  <cols>
    <col min="1" max="1" width="7.44140625" style="13" customWidth="1"/>
    <col min="2" max="2" width="55.44140625" style="13" customWidth="1"/>
    <col min="3" max="5" width="15.5546875" style="13" customWidth="1"/>
    <col min="6" max="6" width="14.109375" style="13" customWidth="1"/>
    <col min="7" max="7" width="0.6640625" style="13" customWidth="1"/>
    <col min="8" max="9" width="15.5546875" style="13" customWidth="1"/>
    <col min="10" max="10" width="13.77734375" style="13" customWidth="1"/>
    <col min="11" max="11" width="0.6640625" style="13" customWidth="1"/>
    <col min="12" max="12" width="12.6640625" style="13" customWidth="1"/>
    <col min="13" max="13" width="11.77734375" style="13" customWidth="1"/>
    <col min="14" max="14" width="12.21875" style="13" customWidth="1"/>
    <col min="15" max="15" width="0.6640625" style="13" customWidth="1"/>
    <col min="16" max="17" width="14.5546875" style="13" customWidth="1"/>
    <col min="18" max="18" width="14.77734375" style="13" customWidth="1"/>
    <col min="19" max="19" width="15.5546875" style="13" customWidth="1"/>
    <col min="21" max="21" width="1.5546875" customWidth="1"/>
    <col min="22" max="22" width="10" customWidth="1"/>
  </cols>
  <sheetData>
    <row r="1" spans="1:26" ht="24.6" x14ac:dyDescent="0.4">
      <c r="A1" s="228" t="s">
        <v>417</v>
      </c>
      <c r="B1" s="227"/>
      <c r="C1" s="227"/>
      <c r="D1" s="227"/>
      <c r="E1" s="718"/>
      <c r="F1" s="227"/>
      <c r="G1" s="226"/>
      <c r="H1" s="225"/>
      <c r="I1" s="225"/>
      <c r="J1" s="224" t="str">
        <f>+'1. Sülysáp összesen'!J1</f>
        <v>2021. ÉVI KÖLTSÉGVETÉS MÓDOSÍTÁSA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ht="13.2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ht="13.2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ht="13.2" x14ac:dyDescent="0.25">
      <c r="A4" s="268"/>
      <c r="B4" s="267"/>
      <c r="C4" s="88"/>
      <c r="D4" s="88"/>
      <c r="E4" s="88"/>
      <c r="F4" s="88"/>
      <c r="G4" s="88"/>
      <c r="H4" s="88"/>
      <c r="I4" s="88"/>
      <c r="J4" s="88"/>
      <c r="K4" s="88"/>
      <c r="L4" s="267"/>
      <c r="M4" s="267"/>
      <c r="N4" s="267"/>
      <c r="O4" s="267"/>
      <c r="P4" s="88"/>
      <c r="Q4" s="88"/>
      <c r="R4" s="88"/>
      <c r="S4" s="88"/>
      <c r="T4" s="88"/>
      <c r="U4" s="267"/>
      <c r="V4" s="253"/>
      <c r="W4" s="122"/>
      <c r="X4" s="122"/>
    </row>
    <row r="5" spans="1:26" ht="20.100000000000001" customHeight="1" x14ac:dyDescent="0.3">
      <c r="A5" s="249"/>
      <c r="B5" s="249" t="s">
        <v>371</v>
      </c>
      <c r="C5" s="250">
        <f>+C89</f>
        <v>78123000</v>
      </c>
      <c r="D5" s="250">
        <f t="shared" ref="D5:E5" si="0">+D89</f>
        <v>78123000</v>
      </c>
      <c r="E5" s="250">
        <f t="shared" si="0"/>
        <v>78123000</v>
      </c>
      <c r="F5" s="250">
        <f>+F89</f>
        <v>78123000</v>
      </c>
      <c r="G5" s="250"/>
      <c r="H5" s="250">
        <f>+H89</f>
        <v>36621235</v>
      </c>
      <c r="I5" s="250">
        <f t="shared" ref="I5:J5" si="1">+I89</f>
        <v>55164510</v>
      </c>
      <c r="J5" s="250">
        <f t="shared" si="1"/>
        <v>76356642</v>
      </c>
      <c r="K5" s="89"/>
      <c r="L5" s="641">
        <f t="shared" ref="L5:N6" si="2">IF(H5&gt;0,H5/C5,0)</f>
        <v>0.46876380835349385</v>
      </c>
      <c r="M5" s="641">
        <f t="shared" si="2"/>
        <v>0.70612380476940206</v>
      </c>
      <c r="N5" s="641">
        <f t="shared" si="2"/>
        <v>0.97739003878499287</v>
      </c>
      <c r="O5" s="641"/>
      <c r="P5" s="250">
        <f>+P89</f>
        <v>0</v>
      </c>
      <c r="Q5" s="250">
        <f>+Q89</f>
        <v>0</v>
      </c>
      <c r="R5" s="250">
        <f>+R89</f>
        <v>0</v>
      </c>
      <c r="S5" s="250">
        <f>+S89</f>
        <v>0</v>
      </c>
      <c r="T5" s="133">
        <f>IF(C5=0,0,+S5/C5)</f>
        <v>0</v>
      </c>
      <c r="U5" s="118"/>
      <c r="V5" s="198">
        <f t="shared" ref="V5:V7" si="3">+S5-E5+C5</f>
        <v>0</v>
      </c>
      <c r="W5" s="122"/>
      <c r="X5" s="122"/>
    </row>
    <row r="6" spans="1:26" ht="20.100000000000001" customHeight="1" x14ac:dyDescent="0.3">
      <c r="A6" s="251"/>
      <c r="B6" s="251" t="s">
        <v>370</v>
      </c>
      <c r="C6" s="252">
        <f>+C102</f>
        <v>78123000</v>
      </c>
      <c r="D6" s="252">
        <f t="shared" ref="D6:F6" si="4">+D102</f>
        <v>78123000</v>
      </c>
      <c r="E6" s="252">
        <f t="shared" si="4"/>
        <v>78123000</v>
      </c>
      <c r="F6" s="252">
        <f t="shared" si="4"/>
        <v>78123000</v>
      </c>
      <c r="G6" s="252"/>
      <c r="H6" s="252">
        <f t="shared" ref="H6:J6" si="5">+H102</f>
        <v>41063245</v>
      </c>
      <c r="I6" s="252">
        <f t="shared" si="5"/>
        <v>58041544</v>
      </c>
      <c r="J6" s="252">
        <f t="shared" si="5"/>
        <v>77363850</v>
      </c>
      <c r="K6" s="67"/>
      <c r="L6" s="641">
        <f t="shared" si="2"/>
        <v>0.52562299194859385</v>
      </c>
      <c r="M6" s="641">
        <f t="shared" si="2"/>
        <v>0.74295078274003812</v>
      </c>
      <c r="N6" s="641">
        <f t="shared" si="2"/>
        <v>0.99028263123535964</v>
      </c>
      <c r="O6" s="641"/>
      <c r="P6" s="252">
        <f t="shared" ref="P6:S6" si="6">+P102</f>
        <v>0</v>
      </c>
      <c r="Q6" s="252">
        <f t="shared" si="6"/>
        <v>0</v>
      </c>
      <c r="R6" s="252">
        <f t="shared" si="6"/>
        <v>0</v>
      </c>
      <c r="S6" s="252">
        <f t="shared" si="6"/>
        <v>0</v>
      </c>
      <c r="T6" s="31">
        <f>IF(C6=0,0,+S6/C6)</f>
        <v>0</v>
      </c>
      <c r="U6" s="118"/>
      <c r="V6" s="198">
        <f t="shared" si="3"/>
        <v>0</v>
      </c>
      <c r="W6" s="122"/>
      <c r="X6" s="122"/>
    </row>
    <row r="7" spans="1:26" ht="20.100000000000001" customHeight="1" x14ac:dyDescent="0.3">
      <c r="A7" s="251"/>
      <c r="B7" s="251" t="s">
        <v>402</v>
      </c>
      <c r="C7" s="252">
        <f>+C6-C5</f>
        <v>0</v>
      </c>
      <c r="D7" s="252">
        <f t="shared" ref="D7:H7" si="7">+D6-D5</f>
        <v>0</v>
      </c>
      <c r="E7" s="252">
        <f t="shared" si="7"/>
        <v>0</v>
      </c>
      <c r="F7" s="252">
        <f t="shared" si="7"/>
        <v>0</v>
      </c>
      <c r="G7" s="252"/>
      <c r="H7" s="252">
        <f t="shared" si="7"/>
        <v>4442010</v>
      </c>
      <c r="I7" s="252">
        <f>+I6-I5</f>
        <v>2877034</v>
      </c>
      <c r="J7" s="252">
        <f t="shared" ref="J7" si="8">+J6-J5</f>
        <v>1007208</v>
      </c>
      <c r="K7" s="67"/>
      <c r="L7" s="641"/>
      <c r="M7" s="641"/>
      <c r="N7" s="641"/>
      <c r="O7" s="641"/>
      <c r="P7" s="252">
        <f t="shared" ref="P7:S7" si="9">+P6-P5</f>
        <v>0</v>
      </c>
      <c r="Q7" s="252">
        <f t="shared" si="9"/>
        <v>0</v>
      </c>
      <c r="R7" s="252">
        <f t="shared" si="9"/>
        <v>0</v>
      </c>
      <c r="S7" s="252">
        <f t="shared" si="9"/>
        <v>0</v>
      </c>
      <c r="T7" s="31">
        <f>IF(C7=0,0,+S7/C7)</f>
        <v>0</v>
      </c>
      <c r="U7" s="118"/>
      <c r="V7" s="198">
        <f t="shared" si="3"/>
        <v>0</v>
      </c>
      <c r="W7" s="122"/>
      <c r="X7" s="122"/>
    </row>
    <row r="8" spans="1:26" ht="13.2" x14ac:dyDescent="0.25">
      <c r="A8" s="235"/>
      <c r="B8" s="236"/>
      <c r="C8" s="611"/>
      <c r="D8" s="612"/>
      <c r="E8" s="612"/>
      <c r="F8" s="612"/>
      <c r="G8" s="613"/>
      <c r="H8" s="613"/>
      <c r="I8" s="613"/>
      <c r="J8" s="613"/>
      <c r="K8" s="613"/>
      <c r="L8" s="137"/>
      <c r="M8" s="137"/>
      <c r="N8" s="137"/>
      <c r="O8" s="120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785" t="s">
        <v>401</v>
      </c>
      <c r="D9" s="793"/>
      <c r="E9" s="793"/>
      <c r="F9" s="794"/>
      <c r="G9" s="154"/>
      <c r="H9" s="785" t="s">
        <v>400</v>
      </c>
      <c r="I9" s="793"/>
      <c r="J9" s="793"/>
      <c r="K9" s="793"/>
      <c r="L9" s="793"/>
      <c r="M9" s="793"/>
      <c r="N9" s="794"/>
      <c r="O9" s="154"/>
      <c r="P9" s="785" t="s">
        <v>397</v>
      </c>
      <c r="Q9" s="793"/>
      <c r="R9" s="793"/>
      <c r="S9" s="793"/>
      <c r="T9" s="794"/>
      <c r="U9" s="199"/>
      <c r="V9" s="195"/>
      <c r="W9" s="122"/>
      <c r="X9" s="122"/>
    </row>
    <row r="10" spans="1:26" ht="13.2" x14ac:dyDescent="0.25">
      <c r="A10" s="268"/>
      <c r="B10" s="267"/>
      <c r="C10" s="233"/>
      <c r="D10" s="88"/>
      <c r="E10" s="88"/>
      <c r="F10" s="234"/>
      <c r="G10" s="134"/>
      <c r="H10" s="782" t="s">
        <v>413</v>
      </c>
      <c r="I10" s="795"/>
      <c r="J10" s="796"/>
      <c r="K10" s="134"/>
      <c r="L10" s="782" t="s">
        <v>412</v>
      </c>
      <c r="M10" s="795"/>
      <c r="N10" s="796"/>
      <c r="O10" s="135"/>
      <c r="P10" s="128">
        <f>+'3. Önk. Kiadások'!P8</f>
        <v>1</v>
      </c>
      <c r="Q10" s="128">
        <f>+'3. Önk. Kiadások'!Q8</f>
        <v>1</v>
      </c>
      <c r="R10" s="128"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6" ht="57" customHeight="1" x14ac:dyDescent="0.25">
      <c r="A11" s="27" t="s">
        <v>366</v>
      </c>
      <c r="B11" s="27" t="s">
        <v>364</v>
      </c>
      <c r="C11" s="520" t="s">
        <v>485</v>
      </c>
      <c r="D11" s="358" t="s">
        <v>486</v>
      </c>
      <c r="E11" s="358" t="s">
        <v>487</v>
      </c>
      <c r="F11" s="521" t="s">
        <v>488</v>
      </c>
      <c r="G11" s="358"/>
      <c r="H11" s="494" t="s">
        <v>498</v>
      </c>
      <c r="I11" s="359" t="s">
        <v>499</v>
      </c>
      <c r="J11" s="359" t="s">
        <v>500</v>
      </c>
      <c r="K11" s="358"/>
      <c r="L11" s="360" t="s">
        <v>501</v>
      </c>
      <c r="M11" s="360" t="s">
        <v>502</v>
      </c>
      <c r="N11" s="495" t="s">
        <v>503</v>
      </c>
      <c r="O11" s="358"/>
      <c r="P11" s="494" t="s">
        <v>495</v>
      </c>
      <c r="Q11" s="359" t="s">
        <v>496</v>
      </c>
      <c r="R11" s="359" t="s">
        <v>497</v>
      </c>
      <c r="S11" s="359" t="s">
        <v>398</v>
      </c>
      <c r="T11" s="495" t="s">
        <v>399</v>
      </c>
      <c r="U11" s="28"/>
      <c r="V11" s="132" t="s">
        <v>403</v>
      </c>
      <c r="W11" s="122"/>
      <c r="X11" s="122"/>
    </row>
    <row r="12" spans="1:26" ht="13.2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608"/>
      <c r="M12" s="608"/>
      <c r="N12" s="608"/>
      <c r="O12" s="68"/>
      <c r="P12" s="68"/>
      <c r="Q12" s="68"/>
      <c r="R12" s="68"/>
      <c r="S12" s="68"/>
      <c r="T12" s="68"/>
      <c r="U12" s="68"/>
      <c r="V12" s="255"/>
    </row>
    <row r="13" spans="1:26" ht="12.75" customHeight="1" x14ac:dyDescent="0.25">
      <c r="A13" s="7" t="s">
        <v>0</v>
      </c>
      <c r="B13" s="5" t="s">
        <v>3</v>
      </c>
      <c r="C13" s="271">
        <f>SUM(C14:C28)</f>
        <v>56821000</v>
      </c>
      <c r="D13" s="271">
        <f t="shared" ref="D13:K13" si="10">SUM(D14:D28)</f>
        <v>56821000</v>
      </c>
      <c r="E13" s="271">
        <f t="shared" si="10"/>
        <v>56821000</v>
      </c>
      <c r="F13" s="271">
        <f t="shared" si="10"/>
        <v>56843947</v>
      </c>
      <c r="G13" s="271"/>
      <c r="H13" s="271">
        <f t="shared" si="10"/>
        <v>27168410</v>
      </c>
      <c r="I13" s="271">
        <f t="shared" si="10"/>
        <v>41413909</v>
      </c>
      <c r="J13" s="271">
        <f t="shared" si="10"/>
        <v>56093306</v>
      </c>
      <c r="K13" s="271">
        <f t="shared" si="10"/>
        <v>0</v>
      </c>
      <c r="L13" s="590">
        <f t="shared" ref="L13:L27" si="11">IF(H13&gt;0,H13/C13,0)</f>
        <v>0.47814030024110804</v>
      </c>
      <c r="M13" s="590">
        <f t="shared" ref="M13:M27" si="12">IF(I13&gt;0,I13/D13,0)</f>
        <v>0.72884864750708367</v>
      </c>
      <c r="N13" s="590">
        <f t="shared" ref="N13:N27" si="13">IF(J13&gt;0,J13/E13,0)</f>
        <v>0.9871932208162475</v>
      </c>
      <c r="O13" s="271"/>
      <c r="P13" s="271">
        <f t="shared" ref="P13:P27" si="14">+(D13-C13)*P$10</f>
        <v>0</v>
      </c>
      <c r="Q13" s="271">
        <f t="shared" ref="Q13:Q27" si="15">+(E13-D13)*Q$10</f>
        <v>0</v>
      </c>
      <c r="R13" s="271">
        <f t="shared" ref="R13:R27" si="16">+(F13-E13)*R$10</f>
        <v>0</v>
      </c>
      <c r="S13" s="271">
        <f>+P13*P$10+Q13*Q$10+R13*R$10</f>
        <v>0</v>
      </c>
      <c r="T13" s="282">
        <f t="shared" ref="T13:T14" si="17">IF(C13=0,0,+S13/C13)</f>
        <v>0</v>
      </c>
      <c r="U13" s="120"/>
      <c r="V13" s="195">
        <f>+S13-E13+C13</f>
        <v>0</v>
      </c>
    </row>
    <row r="14" spans="1:26" ht="12.75" customHeight="1" x14ac:dyDescent="0.25">
      <c r="A14" s="14" t="s">
        <v>1</v>
      </c>
      <c r="B14" s="20"/>
      <c r="C14" s="272"/>
      <c r="D14" s="272"/>
      <c r="E14" s="272"/>
      <c r="F14" s="272"/>
      <c r="G14" s="272"/>
      <c r="H14" s="273"/>
      <c r="I14" s="273"/>
      <c r="J14" s="273"/>
      <c r="K14" s="272"/>
      <c r="L14" s="593">
        <f t="shared" si="11"/>
        <v>0</v>
      </c>
      <c r="M14" s="593">
        <f t="shared" si="12"/>
        <v>0</v>
      </c>
      <c r="N14" s="593">
        <f t="shared" si="13"/>
        <v>0</v>
      </c>
      <c r="O14" s="272"/>
      <c r="P14" s="81">
        <f t="shared" si="14"/>
        <v>0</v>
      </c>
      <c r="Q14" s="81">
        <f t="shared" si="15"/>
        <v>0</v>
      </c>
      <c r="R14" s="81">
        <f t="shared" si="16"/>
        <v>0</v>
      </c>
      <c r="S14" s="81">
        <f t="shared" ref="S14:S30" si="18">+P14*P$10+Q14*Q$10+R14*R$10</f>
        <v>0</v>
      </c>
      <c r="T14" s="281">
        <f t="shared" si="17"/>
        <v>0</v>
      </c>
      <c r="U14" s="120"/>
      <c r="V14" s="195">
        <f t="shared" ref="V14" si="19">+S14-E14+C14</f>
        <v>0</v>
      </c>
    </row>
    <row r="15" spans="1:26" ht="12.75" customHeight="1" x14ac:dyDescent="0.25">
      <c r="A15" s="14" t="s">
        <v>2</v>
      </c>
      <c r="B15" s="482" t="s">
        <v>356</v>
      </c>
      <c r="C15" s="272">
        <v>54200000</v>
      </c>
      <c r="D15" s="272">
        <v>54050000</v>
      </c>
      <c r="E15" s="272">
        <v>53325000</v>
      </c>
      <c r="F15" s="272">
        <v>51997202</v>
      </c>
      <c r="G15" s="272"/>
      <c r="H15" s="273">
        <v>25584726</v>
      </c>
      <c r="I15" s="273">
        <v>38717490</v>
      </c>
      <c r="J15" s="273">
        <v>51246561</v>
      </c>
      <c r="K15" s="272"/>
      <c r="L15" s="593">
        <f t="shared" si="11"/>
        <v>0.47204291512915131</v>
      </c>
      <c r="M15" s="593">
        <f t="shared" si="12"/>
        <v>0.71632728954671598</v>
      </c>
      <c r="N15" s="593">
        <f t="shared" si="13"/>
        <v>0.96102317862165965</v>
      </c>
      <c r="O15" s="272"/>
      <c r="P15" s="81">
        <f t="shared" si="14"/>
        <v>-150000</v>
      </c>
      <c r="Q15" s="81">
        <f t="shared" si="15"/>
        <v>-725000</v>
      </c>
      <c r="R15" s="81">
        <f t="shared" si="16"/>
        <v>0</v>
      </c>
      <c r="S15" s="81">
        <f t="shared" si="18"/>
        <v>-875000</v>
      </c>
      <c r="T15" s="281">
        <f t="shared" ref="T15:T27" si="20">IF(C15=0,0,+S15/C15)</f>
        <v>-1.6143911439114391E-2</v>
      </c>
      <c r="U15" s="120"/>
      <c r="V15" s="195">
        <f t="shared" ref="V15:V27" si="21">+S15-E15+C15</f>
        <v>0</v>
      </c>
    </row>
    <row r="16" spans="1:26" ht="27.6" customHeight="1" x14ac:dyDescent="0.25">
      <c r="A16" s="482" t="s">
        <v>507</v>
      </c>
      <c r="B16" s="482" t="s">
        <v>508</v>
      </c>
      <c r="C16" s="272">
        <v>721000</v>
      </c>
      <c r="D16" s="272">
        <f>721000+150000</f>
        <v>871000</v>
      </c>
      <c r="E16" s="272">
        <f>721000+275000</f>
        <v>996000</v>
      </c>
      <c r="F16" s="272">
        <f>1346884+340668</f>
        <v>1687552</v>
      </c>
      <c r="G16" s="272"/>
      <c r="H16" s="273">
        <f>293734+142664</f>
        <v>436398</v>
      </c>
      <c r="I16" s="273">
        <f>293734+254349</f>
        <v>548083</v>
      </c>
      <c r="J16" s="273">
        <f>1346884+340668</f>
        <v>1687552</v>
      </c>
      <c r="K16" s="272"/>
      <c r="L16" s="593">
        <f t="shared" si="11"/>
        <v>0.60526768377253815</v>
      </c>
      <c r="M16" s="593">
        <f t="shared" si="12"/>
        <v>0.62925717566016071</v>
      </c>
      <c r="N16" s="593">
        <f t="shared" si="13"/>
        <v>1.6943293172690763</v>
      </c>
      <c r="O16" s="272"/>
      <c r="P16" s="81">
        <f t="shared" si="14"/>
        <v>150000</v>
      </c>
      <c r="Q16" s="81">
        <f t="shared" si="15"/>
        <v>125000</v>
      </c>
      <c r="R16" s="81">
        <f t="shared" si="16"/>
        <v>0</v>
      </c>
      <c r="S16" s="81">
        <f t="shared" si="18"/>
        <v>275000</v>
      </c>
      <c r="T16" s="281">
        <f t="shared" si="20"/>
        <v>0.38141470180305131</v>
      </c>
      <c r="U16" s="120"/>
      <c r="V16" s="195">
        <f t="shared" si="21"/>
        <v>0</v>
      </c>
    </row>
    <row r="17" spans="1:22" ht="12.75" customHeight="1" x14ac:dyDescent="0.25">
      <c r="A17" s="14" t="s">
        <v>11</v>
      </c>
      <c r="B17" s="20" t="s">
        <v>373</v>
      </c>
      <c r="C17" s="272">
        <v>0</v>
      </c>
      <c r="D17" s="272">
        <v>0</v>
      </c>
      <c r="E17" s="272">
        <v>0</v>
      </c>
      <c r="F17" s="272">
        <v>0</v>
      </c>
      <c r="G17" s="272"/>
      <c r="H17" s="273">
        <v>0</v>
      </c>
      <c r="I17" s="273">
        <v>0</v>
      </c>
      <c r="J17" s="273"/>
      <c r="K17" s="272"/>
      <c r="L17" s="593">
        <f t="shared" si="11"/>
        <v>0</v>
      </c>
      <c r="M17" s="593">
        <f t="shared" si="12"/>
        <v>0</v>
      </c>
      <c r="N17" s="593">
        <f t="shared" si="13"/>
        <v>0</v>
      </c>
      <c r="O17" s="272"/>
      <c r="P17" s="81">
        <f t="shared" si="14"/>
        <v>0</v>
      </c>
      <c r="Q17" s="81">
        <f t="shared" si="15"/>
        <v>0</v>
      </c>
      <c r="R17" s="81">
        <f t="shared" si="16"/>
        <v>0</v>
      </c>
      <c r="S17" s="81">
        <f t="shared" si="18"/>
        <v>0</v>
      </c>
      <c r="T17" s="281">
        <f t="shared" si="20"/>
        <v>0</v>
      </c>
      <c r="U17" s="120"/>
      <c r="V17" s="195">
        <f t="shared" si="21"/>
        <v>0</v>
      </c>
    </row>
    <row r="18" spans="1:22" ht="12.75" customHeight="1" x14ac:dyDescent="0.25">
      <c r="A18" s="529" t="s">
        <v>376</v>
      </c>
      <c r="B18" s="20" t="s">
        <v>5</v>
      </c>
      <c r="C18" s="272"/>
      <c r="D18" s="272">
        <v>0</v>
      </c>
      <c r="E18" s="272">
        <v>0</v>
      </c>
      <c r="F18" s="272">
        <v>0</v>
      </c>
      <c r="G18" s="272"/>
      <c r="H18" s="273">
        <v>0</v>
      </c>
      <c r="I18" s="273">
        <v>0</v>
      </c>
      <c r="J18" s="273"/>
      <c r="K18" s="272"/>
      <c r="L18" s="593">
        <f t="shared" si="11"/>
        <v>0</v>
      </c>
      <c r="M18" s="593">
        <f t="shared" si="12"/>
        <v>0</v>
      </c>
      <c r="N18" s="593">
        <f t="shared" si="13"/>
        <v>0</v>
      </c>
      <c r="O18" s="272"/>
      <c r="P18" s="81">
        <f t="shared" si="14"/>
        <v>0</v>
      </c>
      <c r="Q18" s="81">
        <f t="shared" si="15"/>
        <v>0</v>
      </c>
      <c r="R18" s="81">
        <f t="shared" si="16"/>
        <v>0</v>
      </c>
      <c r="S18" s="81">
        <f t="shared" si="18"/>
        <v>0</v>
      </c>
      <c r="T18" s="281">
        <f t="shared" si="20"/>
        <v>0</v>
      </c>
      <c r="U18" s="120"/>
      <c r="V18" s="195">
        <f t="shared" si="21"/>
        <v>0</v>
      </c>
    </row>
    <row r="19" spans="1:22" ht="12.75" customHeight="1" x14ac:dyDescent="0.25">
      <c r="A19" s="14" t="s">
        <v>12</v>
      </c>
      <c r="B19" s="20" t="s">
        <v>6</v>
      </c>
      <c r="C19" s="272">
        <v>0</v>
      </c>
      <c r="D19" s="272">
        <v>0</v>
      </c>
      <c r="E19" s="272">
        <v>0</v>
      </c>
      <c r="F19" s="272">
        <v>0</v>
      </c>
      <c r="G19" s="272"/>
      <c r="H19" s="272">
        <v>0</v>
      </c>
      <c r="I19" s="272">
        <v>0</v>
      </c>
      <c r="J19" s="272"/>
      <c r="K19" s="272"/>
      <c r="L19" s="593">
        <f t="shared" si="11"/>
        <v>0</v>
      </c>
      <c r="M19" s="593">
        <f t="shared" si="12"/>
        <v>0</v>
      </c>
      <c r="N19" s="593">
        <f t="shared" si="13"/>
        <v>0</v>
      </c>
      <c r="O19" s="272"/>
      <c r="P19" s="81">
        <f t="shared" si="14"/>
        <v>0</v>
      </c>
      <c r="Q19" s="81">
        <f t="shared" si="15"/>
        <v>0</v>
      </c>
      <c r="R19" s="81">
        <f t="shared" si="16"/>
        <v>0</v>
      </c>
      <c r="S19" s="81">
        <f t="shared" si="18"/>
        <v>0</v>
      </c>
      <c r="T19" s="281">
        <f t="shared" si="20"/>
        <v>0</v>
      </c>
      <c r="U19" s="120"/>
      <c r="V19" s="195">
        <f t="shared" si="21"/>
        <v>0</v>
      </c>
    </row>
    <row r="20" spans="1:22" ht="12.75" customHeight="1" x14ac:dyDescent="0.25">
      <c r="A20" s="14" t="s">
        <v>13</v>
      </c>
      <c r="B20" s="20" t="s">
        <v>7</v>
      </c>
      <c r="C20" s="272">
        <v>0</v>
      </c>
      <c r="D20" s="272">
        <v>0</v>
      </c>
      <c r="E20" s="272">
        <v>0</v>
      </c>
      <c r="F20" s="272">
        <v>0</v>
      </c>
      <c r="G20" s="272"/>
      <c r="H20" s="273">
        <v>0</v>
      </c>
      <c r="I20" s="273">
        <v>0</v>
      </c>
      <c r="J20" s="273"/>
      <c r="K20" s="272"/>
      <c r="L20" s="593">
        <f t="shared" si="11"/>
        <v>0</v>
      </c>
      <c r="M20" s="593">
        <f t="shared" si="12"/>
        <v>0</v>
      </c>
      <c r="N20" s="593">
        <f t="shared" si="13"/>
        <v>0</v>
      </c>
      <c r="O20" s="272"/>
      <c r="P20" s="81">
        <f t="shared" si="14"/>
        <v>0</v>
      </c>
      <c r="Q20" s="81">
        <f t="shared" si="15"/>
        <v>0</v>
      </c>
      <c r="R20" s="81">
        <f t="shared" si="16"/>
        <v>0</v>
      </c>
      <c r="S20" s="81">
        <f t="shared" si="18"/>
        <v>0</v>
      </c>
      <c r="T20" s="281">
        <f t="shared" si="20"/>
        <v>0</v>
      </c>
      <c r="U20" s="120"/>
      <c r="V20" s="195">
        <f t="shared" si="21"/>
        <v>0</v>
      </c>
    </row>
    <row r="21" spans="1:22" ht="12.75" customHeight="1" x14ac:dyDescent="0.25">
      <c r="A21" s="14" t="s">
        <v>14</v>
      </c>
      <c r="B21" s="20" t="s">
        <v>8</v>
      </c>
      <c r="C21" s="272">
        <v>300000</v>
      </c>
      <c r="D21" s="272">
        <v>300000</v>
      </c>
      <c r="E21" s="272">
        <v>300000</v>
      </c>
      <c r="F21" s="272">
        <v>118200</v>
      </c>
      <c r="G21" s="272"/>
      <c r="H21" s="273">
        <v>66795</v>
      </c>
      <c r="I21" s="273">
        <v>79860</v>
      </c>
      <c r="J21" s="273">
        <v>118200</v>
      </c>
      <c r="K21" s="272"/>
      <c r="L21" s="593">
        <f t="shared" si="11"/>
        <v>0.22264999999999999</v>
      </c>
      <c r="M21" s="593">
        <f t="shared" si="12"/>
        <v>0.26619999999999999</v>
      </c>
      <c r="N21" s="593">
        <f t="shared" si="13"/>
        <v>0.39400000000000002</v>
      </c>
      <c r="O21" s="272"/>
      <c r="P21" s="81">
        <f t="shared" si="14"/>
        <v>0</v>
      </c>
      <c r="Q21" s="81">
        <f t="shared" si="15"/>
        <v>0</v>
      </c>
      <c r="R21" s="81">
        <f t="shared" si="16"/>
        <v>0</v>
      </c>
      <c r="S21" s="81">
        <f t="shared" si="18"/>
        <v>0</v>
      </c>
      <c r="T21" s="281">
        <f t="shared" si="20"/>
        <v>0</v>
      </c>
      <c r="U21" s="120"/>
      <c r="V21" s="195">
        <f t="shared" si="21"/>
        <v>0</v>
      </c>
    </row>
    <row r="22" spans="1:22" ht="12.75" customHeight="1" x14ac:dyDescent="0.25">
      <c r="A22" s="14" t="s">
        <v>15</v>
      </c>
      <c r="B22" s="20" t="s">
        <v>9</v>
      </c>
      <c r="C22" s="272"/>
      <c r="D22" s="272"/>
      <c r="E22" s="272"/>
      <c r="F22" s="272"/>
      <c r="G22" s="272"/>
      <c r="H22" s="273"/>
      <c r="I22" s="273"/>
      <c r="J22" s="273"/>
      <c r="K22" s="272"/>
      <c r="L22" s="593">
        <f t="shared" si="11"/>
        <v>0</v>
      </c>
      <c r="M22" s="593">
        <f t="shared" si="12"/>
        <v>0</v>
      </c>
      <c r="N22" s="593">
        <f t="shared" si="13"/>
        <v>0</v>
      </c>
      <c r="O22" s="272"/>
      <c r="P22" s="81">
        <f t="shared" si="14"/>
        <v>0</v>
      </c>
      <c r="Q22" s="81">
        <f t="shared" si="15"/>
        <v>0</v>
      </c>
      <c r="R22" s="81">
        <f t="shared" si="16"/>
        <v>0</v>
      </c>
      <c r="S22" s="81">
        <f t="shared" si="18"/>
        <v>0</v>
      </c>
      <c r="T22" s="281">
        <f t="shared" si="20"/>
        <v>0</v>
      </c>
      <c r="U22" s="120"/>
      <c r="V22" s="195">
        <f t="shared" si="21"/>
        <v>0</v>
      </c>
    </row>
    <row r="23" spans="1:22" ht="12.75" customHeight="1" x14ac:dyDescent="0.25">
      <c r="A23" s="14" t="s">
        <v>16</v>
      </c>
      <c r="B23" s="20" t="s">
        <v>10</v>
      </c>
      <c r="C23" s="272">
        <v>1360000</v>
      </c>
      <c r="D23" s="272">
        <v>1360000</v>
      </c>
      <c r="E23" s="272">
        <v>1960000</v>
      </c>
      <c r="F23" s="272">
        <v>2749898</v>
      </c>
      <c r="G23" s="272"/>
      <c r="H23" s="273">
        <v>960491</v>
      </c>
      <c r="I23" s="273">
        <v>1888476</v>
      </c>
      <c r="J23" s="273">
        <v>2749898</v>
      </c>
      <c r="K23" s="272"/>
      <c r="L23" s="593">
        <f t="shared" si="11"/>
        <v>0.70624338235294115</v>
      </c>
      <c r="M23" s="593">
        <f t="shared" si="12"/>
        <v>1.3885852941176471</v>
      </c>
      <c r="N23" s="593">
        <f t="shared" si="13"/>
        <v>1.4030091836734695</v>
      </c>
      <c r="O23" s="272"/>
      <c r="P23" s="81">
        <f t="shared" si="14"/>
        <v>0</v>
      </c>
      <c r="Q23" s="81">
        <f t="shared" si="15"/>
        <v>600000</v>
      </c>
      <c r="R23" s="81">
        <f t="shared" si="16"/>
        <v>0</v>
      </c>
      <c r="S23" s="81">
        <f t="shared" si="18"/>
        <v>600000</v>
      </c>
      <c r="T23" s="281">
        <f t="shared" si="20"/>
        <v>0.44117647058823528</v>
      </c>
      <c r="U23" s="120"/>
      <c r="V23" s="195">
        <f t="shared" si="21"/>
        <v>0</v>
      </c>
    </row>
    <row r="24" spans="1:22" ht="12.75" customHeight="1" x14ac:dyDescent="0.25">
      <c r="A24" s="14" t="s">
        <v>17</v>
      </c>
      <c r="B24" s="20"/>
      <c r="C24" s="272"/>
      <c r="D24" s="272"/>
      <c r="E24" s="272"/>
      <c r="F24" s="272"/>
      <c r="G24" s="272"/>
      <c r="H24" s="273"/>
      <c r="I24" s="273"/>
      <c r="J24" s="273"/>
      <c r="K24" s="272"/>
      <c r="L24" s="593">
        <f t="shared" si="11"/>
        <v>0</v>
      </c>
      <c r="M24" s="593">
        <f t="shared" si="12"/>
        <v>0</v>
      </c>
      <c r="N24" s="593">
        <f t="shared" si="13"/>
        <v>0</v>
      </c>
      <c r="O24" s="272"/>
      <c r="P24" s="81">
        <f t="shared" si="14"/>
        <v>0</v>
      </c>
      <c r="Q24" s="81">
        <f t="shared" si="15"/>
        <v>0</v>
      </c>
      <c r="R24" s="81">
        <f t="shared" si="16"/>
        <v>0</v>
      </c>
      <c r="S24" s="81">
        <f t="shared" si="18"/>
        <v>0</v>
      </c>
      <c r="T24" s="281">
        <f t="shared" si="20"/>
        <v>0</v>
      </c>
      <c r="U24" s="120"/>
      <c r="V24" s="195">
        <f t="shared" si="21"/>
        <v>0</v>
      </c>
    </row>
    <row r="25" spans="1:22" ht="12.75" customHeight="1" x14ac:dyDescent="0.25">
      <c r="A25" s="14" t="s">
        <v>18</v>
      </c>
      <c r="B25" s="20" t="s">
        <v>19</v>
      </c>
      <c r="C25" s="272">
        <v>0</v>
      </c>
      <c r="D25" s="272">
        <v>0</v>
      </c>
      <c r="E25" s="272">
        <v>0</v>
      </c>
      <c r="F25" s="272">
        <v>0</v>
      </c>
      <c r="G25" s="272"/>
      <c r="H25" s="273">
        <v>0</v>
      </c>
      <c r="I25" s="273">
        <v>0</v>
      </c>
      <c r="J25" s="273">
        <v>0</v>
      </c>
      <c r="K25" s="272"/>
      <c r="L25" s="593">
        <f t="shared" si="11"/>
        <v>0</v>
      </c>
      <c r="M25" s="593">
        <f t="shared" si="12"/>
        <v>0</v>
      </c>
      <c r="N25" s="593">
        <f t="shared" si="13"/>
        <v>0</v>
      </c>
      <c r="O25" s="272"/>
      <c r="P25" s="81">
        <f t="shared" si="14"/>
        <v>0</v>
      </c>
      <c r="Q25" s="81">
        <f t="shared" si="15"/>
        <v>0</v>
      </c>
      <c r="R25" s="81">
        <f t="shared" si="16"/>
        <v>0</v>
      </c>
      <c r="S25" s="81">
        <f t="shared" si="18"/>
        <v>0</v>
      </c>
      <c r="T25" s="281">
        <f t="shared" si="20"/>
        <v>0</v>
      </c>
      <c r="U25" s="120"/>
      <c r="V25" s="195">
        <f t="shared" si="21"/>
        <v>0</v>
      </c>
    </row>
    <row r="26" spans="1:22" ht="12.75" customHeight="1" x14ac:dyDescent="0.25">
      <c r="A26" s="14" t="s">
        <v>20</v>
      </c>
      <c r="B26" s="20" t="s">
        <v>21</v>
      </c>
      <c r="C26" s="568">
        <f>20000*12</f>
        <v>240000</v>
      </c>
      <c r="D26" s="272">
        <v>240000</v>
      </c>
      <c r="E26" s="272">
        <v>240000</v>
      </c>
      <c r="F26" s="272">
        <v>240000</v>
      </c>
      <c r="G26" s="272"/>
      <c r="H26" s="273">
        <v>120000</v>
      </c>
      <c r="I26" s="273">
        <v>180000</v>
      </c>
      <c r="J26" s="273">
        <v>240000</v>
      </c>
      <c r="K26" s="272"/>
      <c r="L26" s="593">
        <f t="shared" si="11"/>
        <v>0.5</v>
      </c>
      <c r="M26" s="593">
        <f t="shared" si="12"/>
        <v>0.75</v>
      </c>
      <c r="N26" s="593">
        <f t="shared" si="13"/>
        <v>1</v>
      </c>
      <c r="O26" s="272"/>
      <c r="P26" s="81">
        <f t="shared" si="14"/>
        <v>0</v>
      </c>
      <c r="Q26" s="81">
        <f t="shared" si="15"/>
        <v>0</v>
      </c>
      <c r="R26" s="81">
        <f t="shared" si="16"/>
        <v>0</v>
      </c>
      <c r="S26" s="81">
        <f t="shared" si="18"/>
        <v>0</v>
      </c>
      <c r="T26" s="281">
        <f t="shared" si="20"/>
        <v>0</v>
      </c>
      <c r="U26" s="120"/>
      <c r="V26" s="195">
        <f t="shared" si="21"/>
        <v>0</v>
      </c>
    </row>
    <row r="27" spans="1:22" ht="12.75" customHeight="1" x14ac:dyDescent="0.25">
      <c r="A27" s="14" t="s">
        <v>22</v>
      </c>
      <c r="B27" s="20" t="s">
        <v>23</v>
      </c>
      <c r="C27" s="272">
        <v>0</v>
      </c>
      <c r="D27" s="272">
        <v>0</v>
      </c>
      <c r="E27" s="272">
        <v>0</v>
      </c>
      <c r="F27" s="272">
        <v>51095</v>
      </c>
      <c r="G27" s="272"/>
      <c r="H27" s="273">
        <v>0</v>
      </c>
      <c r="I27" s="273">
        <v>0</v>
      </c>
      <c r="J27" s="273">
        <v>51095</v>
      </c>
      <c r="K27" s="272"/>
      <c r="L27" s="593">
        <f t="shared" si="11"/>
        <v>0</v>
      </c>
      <c r="M27" s="593">
        <f t="shared" si="12"/>
        <v>0</v>
      </c>
      <c r="N27" s="593" t="e">
        <f t="shared" si="13"/>
        <v>#DIV/0!</v>
      </c>
      <c r="O27" s="272"/>
      <c r="P27" s="81">
        <f t="shared" si="14"/>
        <v>0</v>
      </c>
      <c r="Q27" s="81">
        <f t="shared" si="15"/>
        <v>0</v>
      </c>
      <c r="R27" s="81">
        <f t="shared" si="16"/>
        <v>0</v>
      </c>
      <c r="S27" s="81">
        <f t="shared" si="18"/>
        <v>0</v>
      </c>
      <c r="T27" s="281">
        <f t="shared" si="20"/>
        <v>0</v>
      </c>
      <c r="U27" s="120"/>
      <c r="V27" s="195">
        <f t="shared" si="21"/>
        <v>0</v>
      </c>
    </row>
    <row r="28" spans="1:22" ht="12.75" customHeight="1" x14ac:dyDescent="0.25">
      <c r="A28" s="14"/>
      <c r="B28" s="14"/>
      <c r="C28" s="272"/>
      <c r="D28" s="272"/>
      <c r="E28" s="272"/>
      <c r="F28" s="272"/>
      <c r="G28" s="272"/>
      <c r="H28" s="273"/>
      <c r="I28" s="273"/>
      <c r="J28" s="273"/>
      <c r="K28" s="272"/>
      <c r="L28" s="592"/>
      <c r="M28" s="592"/>
      <c r="N28" s="592"/>
      <c r="O28" s="272"/>
      <c r="P28" s="81">
        <f t="shared" ref="P28:P101" si="22">+(D28-C28)*P$10</f>
        <v>0</v>
      </c>
      <c r="Q28" s="81">
        <f t="shared" ref="Q28:Q101" si="23">+(E28-D28)*Q$10</f>
        <v>0</v>
      </c>
      <c r="R28" s="81">
        <f t="shared" ref="R28:R101" si="24">+(F28-E28)*R$10</f>
        <v>0</v>
      </c>
      <c r="S28" s="81">
        <f t="shared" si="18"/>
        <v>0</v>
      </c>
      <c r="T28" s="281"/>
      <c r="U28" s="120"/>
      <c r="V28" s="195"/>
    </row>
    <row r="29" spans="1:22" ht="12.75" customHeight="1" x14ac:dyDescent="0.25">
      <c r="A29" s="7" t="s">
        <v>24</v>
      </c>
      <c r="B29" s="5" t="s">
        <v>25</v>
      </c>
      <c r="C29" s="271">
        <f>SUM(C30:C31)</f>
        <v>8800000</v>
      </c>
      <c r="D29" s="271">
        <f t="shared" ref="D29:F29" si="25">SUM(D30:D31)</f>
        <v>8800000</v>
      </c>
      <c r="E29" s="271">
        <f t="shared" si="25"/>
        <v>8800000</v>
      </c>
      <c r="F29" s="271">
        <f t="shared" si="25"/>
        <v>8828148</v>
      </c>
      <c r="G29" s="271"/>
      <c r="H29" s="271">
        <f t="shared" ref="H29" si="26">SUM(H30:H31)</f>
        <v>4415490</v>
      </c>
      <c r="I29" s="271">
        <f t="shared" ref="I29" si="27">SUM(I30:I31)</f>
        <v>6672747</v>
      </c>
      <c r="J29" s="271">
        <f t="shared" ref="J29" si="28">SUM(J30:J31)</f>
        <v>8828148</v>
      </c>
      <c r="K29" s="271"/>
      <c r="L29" s="590">
        <f t="shared" ref="L29:L30" si="29">IF(H29&gt;0,H29/C29,0)</f>
        <v>0.50176022727272729</v>
      </c>
      <c r="M29" s="590">
        <f t="shared" ref="M29:M30" si="30">IF(I29&gt;0,I29/D29,0)</f>
        <v>0.75826670454545453</v>
      </c>
      <c r="N29" s="590">
        <f t="shared" ref="N29:N30" si="31">IF(J29&gt;0,J29/E29,0)</f>
        <v>1.0031986363636363</v>
      </c>
      <c r="O29" s="271"/>
      <c r="P29" s="271">
        <f t="shared" si="22"/>
        <v>0</v>
      </c>
      <c r="Q29" s="271">
        <f t="shared" si="23"/>
        <v>0</v>
      </c>
      <c r="R29" s="271">
        <f t="shared" si="24"/>
        <v>0</v>
      </c>
      <c r="S29" s="271">
        <f t="shared" si="18"/>
        <v>0</v>
      </c>
      <c r="T29" s="282">
        <f t="shared" ref="T29:T30" si="32">IF(C29=0,0,+S29/C29)</f>
        <v>0</v>
      </c>
      <c r="U29" s="120"/>
      <c r="V29" s="195">
        <f t="shared" ref="V29:V30" si="33">+S29-E29+C29</f>
        <v>0</v>
      </c>
    </row>
    <row r="30" spans="1:22" ht="12.75" customHeight="1" x14ac:dyDescent="0.25">
      <c r="A30" s="14"/>
      <c r="B30" s="20" t="s">
        <v>26</v>
      </c>
      <c r="C30" s="272">
        <v>8800000</v>
      </c>
      <c r="D30" s="272">
        <v>8800000</v>
      </c>
      <c r="E30" s="272">
        <v>8800000</v>
      </c>
      <c r="F30" s="272">
        <v>8828148</v>
      </c>
      <c r="G30" s="272"/>
      <c r="H30" s="273">
        <v>4415490</v>
      </c>
      <c r="I30" s="274">
        <v>6672747</v>
      </c>
      <c r="J30" s="274">
        <v>8828148</v>
      </c>
      <c r="K30" s="272"/>
      <c r="L30" s="593">
        <f t="shared" si="29"/>
        <v>0.50176022727272729</v>
      </c>
      <c r="M30" s="593">
        <f t="shared" si="30"/>
        <v>0.75826670454545453</v>
      </c>
      <c r="N30" s="593">
        <f t="shared" si="31"/>
        <v>1.0031986363636363</v>
      </c>
      <c r="O30" s="272"/>
      <c r="P30" s="81">
        <f t="shared" si="22"/>
        <v>0</v>
      </c>
      <c r="Q30" s="81">
        <f t="shared" si="23"/>
        <v>0</v>
      </c>
      <c r="R30" s="81">
        <f t="shared" si="24"/>
        <v>0</v>
      </c>
      <c r="S30" s="81">
        <f t="shared" si="18"/>
        <v>0</v>
      </c>
      <c r="T30" s="281">
        <f t="shared" si="32"/>
        <v>0</v>
      </c>
      <c r="U30" s="120"/>
      <c r="V30" s="195">
        <f t="shared" si="33"/>
        <v>0</v>
      </c>
    </row>
    <row r="31" spans="1:22" ht="12.75" customHeight="1" x14ac:dyDescent="0.25">
      <c r="A31" s="14"/>
      <c r="B31" s="14"/>
      <c r="C31" s="272"/>
      <c r="D31" s="272"/>
      <c r="E31" s="272"/>
      <c r="F31" s="272"/>
      <c r="G31" s="272"/>
      <c r="H31" s="273"/>
      <c r="I31" s="273"/>
      <c r="J31" s="273"/>
      <c r="K31" s="272"/>
      <c r="L31" s="592"/>
      <c r="M31" s="592"/>
      <c r="N31" s="592"/>
      <c r="O31" s="272"/>
      <c r="P31" s="81"/>
      <c r="Q31" s="81"/>
      <c r="R31" s="81"/>
      <c r="S31" s="81"/>
      <c r="T31" s="281"/>
      <c r="U31" s="120"/>
      <c r="V31" s="195"/>
    </row>
    <row r="32" spans="1:22" ht="12.75" customHeight="1" x14ac:dyDescent="0.25">
      <c r="A32" s="7" t="s">
        <v>27</v>
      </c>
      <c r="B32" s="5" t="s">
        <v>28</v>
      </c>
      <c r="C32" s="271">
        <f t="shared" ref="C32" si="34">+C33+C41+C48+C66+C71</f>
        <v>12202000</v>
      </c>
      <c r="D32" s="271">
        <f t="shared" ref="D32:F32" si="35">+D33+D41+D48+D66+D71</f>
        <v>12202000</v>
      </c>
      <c r="E32" s="271">
        <f t="shared" si="35"/>
        <v>12202000</v>
      </c>
      <c r="F32" s="271">
        <f t="shared" si="35"/>
        <v>11724665</v>
      </c>
      <c r="G32" s="271"/>
      <c r="H32" s="271">
        <f>+H33+H41+H48+H66+H71</f>
        <v>5037335</v>
      </c>
      <c r="I32" s="271">
        <f>+I33+I41+I48+I66+I71</f>
        <v>7077854</v>
      </c>
      <c r="J32" s="271">
        <f t="shared" ref="J32" si="36">+J33+J41+J48+J66+J71</f>
        <v>10708948</v>
      </c>
      <c r="K32" s="271"/>
      <c r="L32" s="590">
        <f t="shared" ref="L32:L89" si="37">IF(H32&gt;0,H32/C32,0)</f>
        <v>0.41282863465005737</v>
      </c>
      <c r="M32" s="590">
        <f t="shared" ref="M32:M89" si="38">IF(I32&gt;0,I32/D32,0)</f>
        <v>0.58005687592197996</v>
      </c>
      <c r="N32" s="590">
        <f t="shared" ref="N32:N89" si="39">IF(J32&gt;0,J32/E32,0)</f>
        <v>0.87763874774627115</v>
      </c>
      <c r="O32" s="271"/>
      <c r="P32" s="271">
        <f t="shared" si="22"/>
        <v>0</v>
      </c>
      <c r="Q32" s="271">
        <f t="shared" si="23"/>
        <v>0</v>
      </c>
      <c r="R32" s="271">
        <f t="shared" si="24"/>
        <v>0</v>
      </c>
      <c r="S32" s="271">
        <f t="shared" ref="S32:S89" si="40">+P32*P$10+Q32*Q$10+R32*R$10</f>
        <v>0</v>
      </c>
      <c r="T32" s="282">
        <f t="shared" ref="T32:T34" si="41">IF(C32=0,0,+S32/C32)</f>
        <v>0</v>
      </c>
      <c r="U32" s="120"/>
      <c r="V32" s="195">
        <f t="shared" ref="V32:V34" si="42">+S32-E32+C32</f>
        <v>0</v>
      </c>
    </row>
    <row r="33" spans="1:22" s="42" customFormat="1" ht="12.75" customHeight="1" x14ac:dyDescent="0.25">
      <c r="A33" s="38" t="s">
        <v>29</v>
      </c>
      <c r="B33" s="39" t="s">
        <v>30</v>
      </c>
      <c r="C33" s="275">
        <f>SUM(C34:C40)</f>
        <v>5312000</v>
      </c>
      <c r="D33" s="275">
        <f t="shared" ref="D33:F33" si="43">SUM(D34:D40)</f>
        <v>5312000</v>
      </c>
      <c r="E33" s="275">
        <f t="shared" si="43"/>
        <v>5312000</v>
      </c>
      <c r="F33" s="275">
        <f t="shared" si="43"/>
        <v>5313000</v>
      </c>
      <c r="G33" s="275"/>
      <c r="H33" s="275">
        <f t="shared" ref="H33" si="44">SUM(H34:H40)</f>
        <v>2018472</v>
      </c>
      <c r="I33" s="275">
        <f t="shared" ref="I33" si="45">SUM(I34:I40)</f>
        <v>2947658</v>
      </c>
      <c r="J33" s="275">
        <f t="shared" ref="J33" si="46">SUM(J34:J40)</f>
        <v>5079394</v>
      </c>
      <c r="K33" s="275"/>
      <c r="L33" s="592">
        <f t="shared" si="37"/>
        <v>0.37998343373493976</v>
      </c>
      <c r="M33" s="592">
        <f t="shared" si="38"/>
        <v>0.55490549698795177</v>
      </c>
      <c r="N33" s="592">
        <f t="shared" si="39"/>
        <v>0.95621121987951807</v>
      </c>
      <c r="O33" s="275"/>
      <c r="P33" s="278">
        <f t="shared" si="22"/>
        <v>0</v>
      </c>
      <c r="Q33" s="278">
        <f t="shared" si="23"/>
        <v>0</v>
      </c>
      <c r="R33" s="278">
        <f t="shared" si="24"/>
        <v>0</v>
      </c>
      <c r="S33" s="278">
        <f t="shared" si="40"/>
        <v>0</v>
      </c>
      <c r="T33" s="281">
        <f t="shared" si="41"/>
        <v>0</v>
      </c>
      <c r="U33" s="120"/>
      <c r="V33" s="195">
        <f t="shared" si="42"/>
        <v>0</v>
      </c>
    </row>
    <row r="34" spans="1:22" ht="12.75" customHeight="1" x14ac:dyDescent="0.25">
      <c r="A34" s="14" t="s">
        <v>31</v>
      </c>
      <c r="B34" s="20" t="s">
        <v>33</v>
      </c>
      <c r="C34" s="721">
        <v>112000</v>
      </c>
      <c r="D34" s="272">
        <v>112000</v>
      </c>
      <c r="E34" s="272">
        <v>112000</v>
      </c>
      <c r="F34" s="272">
        <v>113000</v>
      </c>
      <c r="G34" s="272"/>
      <c r="H34" s="272">
        <v>69630</v>
      </c>
      <c r="I34" s="272">
        <v>69630</v>
      </c>
      <c r="J34" s="272">
        <v>112758</v>
      </c>
      <c r="K34" s="272"/>
      <c r="L34" s="593">
        <f t="shared" si="37"/>
        <v>0.62169642857142859</v>
      </c>
      <c r="M34" s="593">
        <f t="shared" si="38"/>
        <v>0.62169642857142859</v>
      </c>
      <c r="N34" s="593">
        <f t="shared" si="39"/>
        <v>1.0067678571428571</v>
      </c>
      <c r="O34" s="272"/>
      <c r="P34" s="81">
        <f t="shared" si="22"/>
        <v>0</v>
      </c>
      <c r="Q34" s="81">
        <f t="shared" si="23"/>
        <v>0</v>
      </c>
      <c r="R34" s="81">
        <f t="shared" si="24"/>
        <v>0</v>
      </c>
      <c r="S34" s="81">
        <f t="shared" si="40"/>
        <v>0</v>
      </c>
      <c r="T34" s="281">
        <f t="shared" si="41"/>
        <v>0</v>
      </c>
      <c r="U34" s="120"/>
      <c r="V34" s="195">
        <f t="shared" si="42"/>
        <v>0</v>
      </c>
    </row>
    <row r="35" spans="1:22" ht="12.75" customHeight="1" x14ac:dyDescent="0.25">
      <c r="A35" s="14"/>
      <c r="B35" s="20" t="s">
        <v>87</v>
      </c>
      <c r="C35" s="721"/>
      <c r="D35" s="272"/>
      <c r="E35" s="272"/>
      <c r="F35" s="272"/>
      <c r="G35" s="272"/>
      <c r="H35" s="272"/>
      <c r="I35" s="272"/>
      <c r="J35" s="272"/>
      <c r="K35" s="272"/>
      <c r="L35" s="593">
        <f t="shared" si="37"/>
        <v>0</v>
      </c>
      <c r="M35" s="593">
        <f t="shared" si="38"/>
        <v>0</v>
      </c>
      <c r="N35" s="593">
        <f t="shared" si="39"/>
        <v>0</v>
      </c>
      <c r="O35" s="272"/>
      <c r="P35" s="81">
        <f t="shared" si="22"/>
        <v>0</v>
      </c>
      <c r="Q35" s="81">
        <f t="shared" si="23"/>
        <v>0</v>
      </c>
      <c r="R35" s="81">
        <f t="shared" si="24"/>
        <v>0</v>
      </c>
      <c r="S35" s="81">
        <f t="shared" si="40"/>
        <v>0</v>
      </c>
      <c r="T35" s="281">
        <f t="shared" ref="T35:T47" si="47">IF(C35=0,0,+S35/C35)</f>
        <v>0</v>
      </c>
      <c r="U35" s="120"/>
      <c r="V35" s="195">
        <f t="shared" ref="V35:V47" si="48">+S35-E35+C35</f>
        <v>0</v>
      </c>
    </row>
    <row r="36" spans="1:22" ht="12.75" customHeight="1" x14ac:dyDescent="0.25">
      <c r="A36" s="14" t="s">
        <v>32</v>
      </c>
      <c r="B36" s="482" t="s">
        <v>34</v>
      </c>
      <c r="C36" s="721">
        <f>5200000</f>
        <v>5200000</v>
      </c>
      <c r="D36" s="272">
        <v>5200000</v>
      </c>
      <c r="E36" s="272">
        <v>5200000</v>
      </c>
      <c r="F36" s="272">
        <v>5200000</v>
      </c>
      <c r="G36" s="272"/>
      <c r="H36" s="272">
        <v>1948842</v>
      </c>
      <c r="I36" s="272">
        <v>2878028</v>
      </c>
      <c r="J36" s="272">
        <v>4966636</v>
      </c>
      <c r="K36" s="272"/>
      <c r="L36" s="593">
        <f t="shared" si="37"/>
        <v>0.37477730769230772</v>
      </c>
      <c r="M36" s="593">
        <f t="shared" si="38"/>
        <v>0.55346692307692302</v>
      </c>
      <c r="N36" s="593">
        <f t="shared" si="39"/>
        <v>0.95512230769230766</v>
      </c>
      <c r="O36" s="272"/>
      <c r="P36" s="81">
        <f t="shared" si="22"/>
        <v>0</v>
      </c>
      <c r="Q36" s="81">
        <f t="shared" si="23"/>
        <v>0</v>
      </c>
      <c r="R36" s="81">
        <f t="shared" si="24"/>
        <v>0</v>
      </c>
      <c r="S36" s="81">
        <f t="shared" si="40"/>
        <v>0</v>
      </c>
      <c r="T36" s="281">
        <f t="shared" si="47"/>
        <v>0</v>
      </c>
      <c r="U36" s="120"/>
      <c r="V36" s="195">
        <f t="shared" si="48"/>
        <v>0</v>
      </c>
    </row>
    <row r="37" spans="1:22" ht="12.75" customHeight="1" x14ac:dyDescent="0.25">
      <c r="A37" s="14"/>
      <c r="B37" s="20" t="s">
        <v>103</v>
      </c>
      <c r="C37" s="721"/>
      <c r="D37" s="272"/>
      <c r="E37" s="272"/>
      <c r="F37" s="272"/>
      <c r="G37" s="272"/>
      <c r="H37" s="272"/>
      <c r="I37" s="272"/>
      <c r="J37" s="272"/>
      <c r="K37" s="272"/>
      <c r="L37" s="593">
        <f t="shared" si="37"/>
        <v>0</v>
      </c>
      <c r="M37" s="593">
        <f t="shared" si="38"/>
        <v>0</v>
      </c>
      <c r="N37" s="593">
        <f t="shared" si="39"/>
        <v>0</v>
      </c>
      <c r="O37" s="272"/>
      <c r="P37" s="81">
        <f t="shared" si="22"/>
        <v>0</v>
      </c>
      <c r="Q37" s="81">
        <f t="shared" si="23"/>
        <v>0</v>
      </c>
      <c r="R37" s="81">
        <f t="shared" si="24"/>
        <v>0</v>
      </c>
      <c r="S37" s="81">
        <f t="shared" si="40"/>
        <v>0</v>
      </c>
      <c r="T37" s="281">
        <f t="shared" si="47"/>
        <v>0</v>
      </c>
      <c r="U37" s="120"/>
      <c r="V37" s="195">
        <f t="shared" si="48"/>
        <v>0</v>
      </c>
    </row>
    <row r="38" spans="1:22" ht="12.75" customHeight="1" x14ac:dyDescent="0.25">
      <c r="A38" s="14"/>
      <c r="B38" s="20" t="s">
        <v>93</v>
      </c>
      <c r="C38" s="721"/>
      <c r="D38" s="272"/>
      <c r="E38" s="272"/>
      <c r="F38" s="272"/>
      <c r="G38" s="272"/>
      <c r="H38" s="272"/>
      <c r="I38" s="272"/>
      <c r="J38" s="272"/>
      <c r="K38" s="272"/>
      <c r="L38" s="593">
        <f t="shared" si="37"/>
        <v>0</v>
      </c>
      <c r="M38" s="593">
        <f t="shared" si="38"/>
        <v>0</v>
      </c>
      <c r="N38" s="593">
        <f t="shared" si="39"/>
        <v>0</v>
      </c>
      <c r="O38" s="272"/>
      <c r="P38" s="81">
        <f t="shared" si="22"/>
        <v>0</v>
      </c>
      <c r="Q38" s="81">
        <f t="shared" si="23"/>
        <v>0</v>
      </c>
      <c r="R38" s="81">
        <f t="shared" si="24"/>
        <v>0</v>
      </c>
      <c r="S38" s="81">
        <f t="shared" si="40"/>
        <v>0</v>
      </c>
      <c r="T38" s="281">
        <f t="shared" si="47"/>
        <v>0</v>
      </c>
      <c r="U38" s="120"/>
      <c r="V38" s="195">
        <f t="shared" si="48"/>
        <v>0</v>
      </c>
    </row>
    <row r="39" spans="1:22" ht="12.75" customHeight="1" x14ac:dyDescent="0.25">
      <c r="A39" s="14"/>
      <c r="B39" s="20" t="s">
        <v>92</v>
      </c>
      <c r="C39" s="721"/>
      <c r="D39" s="272"/>
      <c r="E39" s="272"/>
      <c r="F39" s="272"/>
      <c r="G39" s="272"/>
      <c r="H39" s="272"/>
      <c r="I39" s="272"/>
      <c r="J39" s="272"/>
      <c r="K39" s="272"/>
      <c r="L39" s="593">
        <f t="shared" si="37"/>
        <v>0</v>
      </c>
      <c r="M39" s="593">
        <f t="shared" si="38"/>
        <v>0</v>
      </c>
      <c r="N39" s="593">
        <f t="shared" si="39"/>
        <v>0</v>
      </c>
      <c r="O39" s="272"/>
      <c r="P39" s="81">
        <f t="shared" si="22"/>
        <v>0</v>
      </c>
      <c r="Q39" s="81">
        <f t="shared" si="23"/>
        <v>0</v>
      </c>
      <c r="R39" s="81">
        <f t="shared" si="24"/>
        <v>0</v>
      </c>
      <c r="S39" s="81">
        <f t="shared" si="40"/>
        <v>0</v>
      </c>
      <c r="T39" s="281">
        <f t="shared" si="47"/>
        <v>0</v>
      </c>
      <c r="U39" s="120"/>
      <c r="V39" s="195">
        <f t="shared" si="48"/>
        <v>0</v>
      </c>
    </row>
    <row r="40" spans="1:22" ht="12.75" customHeight="1" x14ac:dyDescent="0.25">
      <c r="A40" s="14"/>
      <c r="B40" s="20" t="s">
        <v>91</v>
      </c>
      <c r="C40" s="721"/>
      <c r="D40" s="272"/>
      <c r="E40" s="272"/>
      <c r="F40" s="272"/>
      <c r="G40" s="272"/>
      <c r="H40" s="272"/>
      <c r="I40" s="272"/>
      <c r="J40" s="272"/>
      <c r="K40" s="272"/>
      <c r="L40" s="593">
        <f t="shared" si="37"/>
        <v>0</v>
      </c>
      <c r="M40" s="593">
        <f t="shared" si="38"/>
        <v>0</v>
      </c>
      <c r="N40" s="593">
        <f t="shared" si="39"/>
        <v>0</v>
      </c>
      <c r="O40" s="272"/>
      <c r="P40" s="81">
        <f t="shared" si="22"/>
        <v>0</v>
      </c>
      <c r="Q40" s="81">
        <f t="shared" si="23"/>
        <v>0</v>
      </c>
      <c r="R40" s="81">
        <f t="shared" si="24"/>
        <v>0</v>
      </c>
      <c r="S40" s="81">
        <f t="shared" si="40"/>
        <v>0</v>
      </c>
      <c r="T40" s="281">
        <f t="shared" si="47"/>
        <v>0</v>
      </c>
      <c r="U40" s="120"/>
      <c r="V40" s="195">
        <f t="shared" si="48"/>
        <v>0</v>
      </c>
    </row>
    <row r="41" spans="1:22" s="42" customFormat="1" ht="12.75" customHeight="1" x14ac:dyDescent="0.25">
      <c r="A41" s="38" t="s">
        <v>35</v>
      </c>
      <c r="B41" s="39" t="s">
        <v>36</v>
      </c>
      <c r="C41" s="275">
        <f>SUM(C42:C47)</f>
        <v>130000</v>
      </c>
      <c r="D41" s="275">
        <f t="shared" ref="D41:J41" si="49">SUM(D42:D47)</f>
        <v>130000</v>
      </c>
      <c r="E41" s="275">
        <f t="shared" si="49"/>
        <v>130000</v>
      </c>
      <c r="F41" s="275">
        <f t="shared" si="49"/>
        <v>78905</v>
      </c>
      <c r="G41" s="275"/>
      <c r="H41" s="275">
        <f t="shared" si="49"/>
        <v>51654</v>
      </c>
      <c r="I41" s="275">
        <f t="shared" si="49"/>
        <v>64746</v>
      </c>
      <c r="J41" s="275">
        <f t="shared" si="49"/>
        <v>77668</v>
      </c>
      <c r="K41" s="275"/>
      <c r="L41" s="593">
        <f t="shared" si="37"/>
        <v>0.39733846153846153</v>
      </c>
      <c r="M41" s="593">
        <f t="shared" si="38"/>
        <v>0.49804615384615386</v>
      </c>
      <c r="N41" s="593">
        <f t="shared" si="39"/>
        <v>0.59744615384615385</v>
      </c>
      <c r="O41" s="275"/>
      <c r="P41" s="275">
        <f t="shared" si="22"/>
        <v>0</v>
      </c>
      <c r="Q41" s="275">
        <f t="shared" si="23"/>
        <v>0</v>
      </c>
      <c r="R41" s="275">
        <f t="shared" si="24"/>
        <v>0</v>
      </c>
      <c r="S41" s="275">
        <f t="shared" si="40"/>
        <v>0</v>
      </c>
      <c r="T41" s="281">
        <f t="shared" si="47"/>
        <v>0</v>
      </c>
      <c r="U41" s="120"/>
      <c r="V41" s="195">
        <f t="shared" si="48"/>
        <v>0</v>
      </c>
    </row>
    <row r="42" spans="1:22" ht="12.75" customHeight="1" x14ac:dyDescent="0.25">
      <c r="A42" s="14" t="s">
        <v>37</v>
      </c>
      <c r="B42" s="20" t="s">
        <v>38</v>
      </c>
      <c r="C42" s="721">
        <v>70000</v>
      </c>
      <c r="D42" s="272">
        <v>70000</v>
      </c>
      <c r="E42" s="272">
        <v>70000</v>
      </c>
      <c r="F42" s="272">
        <v>25000</v>
      </c>
      <c r="G42" s="272"/>
      <c r="H42" s="272">
        <v>25000</v>
      </c>
      <c r="I42" s="272">
        <v>25000</v>
      </c>
      <c r="J42" s="272">
        <v>25000</v>
      </c>
      <c r="K42" s="272"/>
      <c r="L42" s="593">
        <f t="shared" si="37"/>
        <v>0.35714285714285715</v>
      </c>
      <c r="M42" s="593">
        <f t="shared" si="38"/>
        <v>0.35714285714285715</v>
      </c>
      <c r="N42" s="593">
        <f t="shared" si="39"/>
        <v>0.35714285714285715</v>
      </c>
      <c r="O42" s="272"/>
      <c r="P42" s="81">
        <f t="shared" si="22"/>
        <v>0</v>
      </c>
      <c r="Q42" s="81">
        <f t="shared" si="23"/>
        <v>0</v>
      </c>
      <c r="R42" s="81">
        <f t="shared" si="24"/>
        <v>0</v>
      </c>
      <c r="S42" s="81">
        <f t="shared" si="40"/>
        <v>0</v>
      </c>
      <c r="T42" s="281">
        <f t="shared" si="47"/>
        <v>0</v>
      </c>
      <c r="U42" s="120"/>
      <c r="V42" s="195">
        <f t="shared" si="48"/>
        <v>0</v>
      </c>
    </row>
    <row r="43" spans="1:22" ht="12.75" customHeight="1" x14ac:dyDescent="0.25">
      <c r="A43" s="14"/>
      <c r="B43" s="20" t="s">
        <v>39</v>
      </c>
      <c r="C43" s="721"/>
      <c r="D43" s="272"/>
      <c r="E43" s="272"/>
      <c r="F43" s="272"/>
      <c r="G43" s="272"/>
      <c r="H43" s="272"/>
      <c r="I43" s="272"/>
      <c r="J43" s="272"/>
      <c r="K43" s="272"/>
      <c r="L43" s="593">
        <f t="shared" si="37"/>
        <v>0</v>
      </c>
      <c r="M43" s="593">
        <f t="shared" si="38"/>
        <v>0</v>
      </c>
      <c r="N43" s="593">
        <f t="shared" si="39"/>
        <v>0</v>
      </c>
      <c r="O43" s="272"/>
      <c r="P43" s="81">
        <f t="shared" si="22"/>
        <v>0</v>
      </c>
      <c r="Q43" s="81">
        <f t="shared" si="23"/>
        <v>0</v>
      </c>
      <c r="R43" s="81">
        <f t="shared" si="24"/>
        <v>0</v>
      </c>
      <c r="S43" s="81">
        <f t="shared" si="40"/>
        <v>0</v>
      </c>
      <c r="T43" s="281">
        <f t="shared" si="47"/>
        <v>0</v>
      </c>
      <c r="U43" s="120"/>
      <c r="V43" s="195">
        <f t="shared" si="48"/>
        <v>0</v>
      </c>
    </row>
    <row r="44" spans="1:22" ht="12.75" customHeight="1" x14ac:dyDescent="0.25">
      <c r="A44" s="14"/>
      <c r="B44" s="20" t="s">
        <v>40</v>
      </c>
      <c r="C44" s="721"/>
      <c r="D44" s="272"/>
      <c r="E44" s="272"/>
      <c r="F44" s="272"/>
      <c r="G44" s="272"/>
      <c r="H44" s="272"/>
      <c r="I44" s="272"/>
      <c r="J44" s="272"/>
      <c r="K44" s="272"/>
      <c r="L44" s="593">
        <f t="shared" si="37"/>
        <v>0</v>
      </c>
      <c r="M44" s="593">
        <f t="shared" si="38"/>
        <v>0</v>
      </c>
      <c r="N44" s="593">
        <f t="shared" si="39"/>
        <v>0</v>
      </c>
      <c r="O44" s="272"/>
      <c r="P44" s="81">
        <f t="shared" si="22"/>
        <v>0</v>
      </c>
      <c r="Q44" s="81">
        <f t="shared" si="23"/>
        <v>0</v>
      </c>
      <c r="R44" s="81">
        <f t="shared" si="24"/>
        <v>0</v>
      </c>
      <c r="S44" s="81">
        <f t="shared" si="40"/>
        <v>0</v>
      </c>
      <c r="T44" s="281">
        <f t="shared" si="47"/>
        <v>0</v>
      </c>
      <c r="U44" s="120"/>
      <c r="V44" s="195">
        <f t="shared" si="48"/>
        <v>0</v>
      </c>
    </row>
    <row r="45" spans="1:22" ht="12.75" customHeight="1" x14ac:dyDescent="0.25">
      <c r="A45" s="14"/>
      <c r="B45" s="20" t="s">
        <v>41</v>
      </c>
      <c r="C45" s="721"/>
      <c r="D45" s="272"/>
      <c r="E45" s="272"/>
      <c r="F45" s="272"/>
      <c r="G45" s="272"/>
      <c r="H45" s="272"/>
      <c r="I45" s="272"/>
      <c r="J45" s="272"/>
      <c r="K45" s="272"/>
      <c r="L45" s="593">
        <f t="shared" si="37"/>
        <v>0</v>
      </c>
      <c r="M45" s="593">
        <f t="shared" si="38"/>
        <v>0</v>
      </c>
      <c r="N45" s="593">
        <f t="shared" si="39"/>
        <v>0</v>
      </c>
      <c r="O45" s="272"/>
      <c r="P45" s="81">
        <f t="shared" si="22"/>
        <v>0</v>
      </c>
      <c r="Q45" s="81">
        <f t="shared" si="23"/>
        <v>0</v>
      </c>
      <c r="R45" s="81">
        <f t="shared" si="24"/>
        <v>0</v>
      </c>
      <c r="S45" s="81">
        <f t="shared" si="40"/>
        <v>0</v>
      </c>
      <c r="T45" s="281">
        <f t="shared" si="47"/>
        <v>0</v>
      </c>
      <c r="U45" s="120"/>
      <c r="V45" s="195">
        <f t="shared" si="48"/>
        <v>0</v>
      </c>
    </row>
    <row r="46" spans="1:22" ht="12.75" customHeight="1" x14ac:dyDescent="0.25">
      <c r="A46" s="14" t="s">
        <v>42</v>
      </c>
      <c r="B46" s="20" t="s">
        <v>43</v>
      </c>
      <c r="C46" s="721">
        <v>60000</v>
      </c>
      <c r="D46" s="272">
        <v>60000</v>
      </c>
      <c r="E46" s="272">
        <v>60000</v>
      </c>
      <c r="F46" s="272">
        <v>53905</v>
      </c>
      <c r="G46" s="272"/>
      <c r="H46" s="272">
        <v>26654</v>
      </c>
      <c r="I46" s="272">
        <v>39746</v>
      </c>
      <c r="J46" s="272">
        <v>52668</v>
      </c>
      <c r="K46" s="272"/>
      <c r="L46" s="593">
        <f t="shared" si="37"/>
        <v>0.44423333333333331</v>
      </c>
      <c r="M46" s="593">
        <f t="shared" si="38"/>
        <v>0.66243333333333332</v>
      </c>
      <c r="N46" s="593">
        <f t="shared" si="39"/>
        <v>0.87780000000000002</v>
      </c>
      <c r="O46" s="272"/>
      <c r="P46" s="81">
        <f t="shared" si="22"/>
        <v>0</v>
      </c>
      <c r="Q46" s="81">
        <f t="shared" si="23"/>
        <v>0</v>
      </c>
      <c r="R46" s="81">
        <f t="shared" si="24"/>
        <v>0</v>
      </c>
      <c r="S46" s="81">
        <f t="shared" si="40"/>
        <v>0</v>
      </c>
      <c r="T46" s="281">
        <f t="shared" si="47"/>
        <v>0</v>
      </c>
      <c r="U46" s="120"/>
      <c r="V46" s="195">
        <f t="shared" si="48"/>
        <v>0</v>
      </c>
    </row>
    <row r="47" spans="1:22" ht="12.75" customHeight="1" x14ac:dyDescent="0.25">
      <c r="A47" s="14"/>
      <c r="B47" s="20" t="s">
        <v>44</v>
      </c>
      <c r="C47" s="721"/>
      <c r="D47" s="272">
        <v>0</v>
      </c>
      <c r="E47" s="272">
        <v>0</v>
      </c>
      <c r="F47" s="272"/>
      <c r="G47" s="272"/>
      <c r="H47" s="272"/>
      <c r="I47" s="272"/>
      <c r="J47" s="272"/>
      <c r="K47" s="272"/>
      <c r="L47" s="593">
        <f t="shared" si="37"/>
        <v>0</v>
      </c>
      <c r="M47" s="593">
        <f t="shared" si="38"/>
        <v>0</v>
      </c>
      <c r="N47" s="593">
        <f t="shared" si="39"/>
        <v>0</v>
      </c>
      <c r="O47" s="272"/>
      <c r="P47" s="81">
        <f t="shared" si="22"/>
        <v>0</v>
      </c>
      <c r="Q47" s="81">
        <f t="shared" si="23"/>
        <v>0</v>
      </c>
      <c r="R47" s="81">
        <f t="shared" si="24"/>
        <v>0</v>
      </c>
      <c r="S47" s="81">
        <f t="shared" si="40"/>
        <v>0</v>
      </c>
      <c r="T47" s="281">
        <f t="shared" si="47"/>
        <v>0</v>
      </c>
      <c r="U47" s="120"/>
      <c r="V47" s="195">
        <f t="shared" si="48"/>
        <v>0</v>
      </c>
    </row>
    <row r="48" spans="1:22" s="42" customFormat="1" ht="12.75" customHeight="1" x14ac:dyDescent="0.25">
      <c r="A48" s="38" t="s">
        <v>45</v>
      </c>
      <c r="B48" s="39" t="s">
        <v>46</v>
      </c>
      <c r="C48" s="275">
        <f>SUM(C49:C65)</f>
        <v>3850000</v>
      </c>
      <c r="D48" s="275">
        <f t="shared" ref="D48:F48" si="50">SUM(D49:D65)</f>
        <v>3850000</v>
      </c>
      <c r="E48" s="275">
        <f t="shared" si="50"/>
        <v>3850000</v>
      </c>
      <c r="F48" s="275">
        <f t="shared" si="50"/>
        <v>3722760</v>
      </c>
      <c r="G48" s="275"/>
      <c r="H48" s="275">
        <f>SUM(H49:H65)</f>
        <v>1865976</v>
      </c>
      <c r="I48" s="275">
        <f t="shared" ref="I48:J48" si="51">SUM(I49:I65)</f>
        <v>2552635</v>
      </c>
      <c r="J48" s="275">
        <f t="shared" si="51"/>
        <v>3427632</v>
      </c>
      <c r="K48" s="275"/>
      <c r="L48" s="594">
        <f t="shared" si="37"/>
        <v>0.48466909090909088</v>
      </c>
      <c r="M48" s="594">
        <f t="shared" si="38"/>
        <v>0.6630220779220779</v>
      </c>
      <c r="N48" s="594">
        <f t="shared" si="39"/>
        <v>0.89029402597402596</v>
      </c>
      <c r="O48" s="275"/>
      <c r="P48" s="275">
        <f t="shared" si="22"/>
        <v>0</v>
      </c>
      <c r="Q48" s="275">
        <f t="shared" si="23"/>
        <v>0</v>
      </c>
      <c r="R48" s="275">
        <f t="shared" si="24"/>
        <v>0</v>
      </c>
      <c r="S48" s="275">
        <f t="shared" si="40"/>
        <v>0</v>
      </c>
      <c r="T48" s="281">
        <f t="shared" ref="T48:T49" si="52">IF(C48=0,0,+S48/C48)</f>
        <v>0</v>
      </c>
      <c r="U48" s="120"/>
      <c r="V48" s="195">
        <f t="shared" ref="V48:V49" si="53">+S48-E48+C48</f>
        <v>0</v>
      </c>
    </row>
    <row r="49" spans="1:22" ht="12.75" customHeight="1" x14ac:dyDescent="0.25">
      <c r="A49" s="14" t="s">
        <v>47</v>
      </c>
      <c r="B49" s="20" t="s">
        <v>48</v>
      </c>
      <c r="C49" s="721">
        <f>2500000</f>
        <v>2500000</v>
      </c>
      <c r="D49" s="272">
        <v>2500000</v>
      </c>
      <c r="E49" s="272">
        <v>2500000</v>
      </c>
      <c r="F49" s="272">
        <v>2533240</v>
      </c>
      <c r="G49" s="272"/>
      <c r="H49" s="272">
        <v>1453797</v>
      </c>
      <c r="I49" s="272">
        <v>1738442</v>
      </c>
      <c r="J49" s="272">
        <v>2331869</v>
      </c>
      <c r="K49" s="272"/>
      <c r="L49" s="593">
        <f t="shared" si="37"/>
        <v>0.5815188</v>
      </c>
      <c r="M49" s="593">
        <f t="shared" si="38"/>
        <v>0.69537680000000002</v>
      </c>
      <c r="N49" s="593">
        <f t="shared" si="39"/>
        <v>0.93274760000000001</v>
      </c>
      <c r="O49" s="272"/>
      <c r="P49" s="81">
        <f t="shared" si="22"/>
        <v>0</v>
      </c>
      <c r="Q49" s="81">
        <f t="shared" si="23"/>
        <v>0</v>
      </c>
      <c r="R49" s="81">
        <f t="shared" si="24"/>
        <v>0</v>
      </c>
      <c r="S49" s="81">
        <f t="shared" si="40"/>
        <v>0</v>
      </c>
      <c r="T49" s="281">
        <f t="shared" si="52"/>
        <v>0</v>
      </c>
      <c r="U49" s="120"/>
      <c r="V49" s="195">
        <f t="shared" si="53"/>
        <v>0</v>
      </c>
    </row>
    <row r="50" spans="1:22" ht="12.75" customHeight="1" x14ac:dyDescent="0.25">
      <c r="A50" s="14" t="s">
        <v>101</v>
      </c>
      <c r="B50" s="20" t="s">
        <v>95</v>
      </c>
      <c r="C50" s="721"/>
      <c r="D50" s="272"/>
      <c r="E50" s="272"/>
      <c r="F50" s="272"/>
      <c r="G50" s="272"/>
      <c r="H50" s="272"/>
      <c r="I50" s="272"/>
      <c r="J50" s="272"/>
      <c r="K50" s="272"/>
      <c r="L50" s="593">
        <f t="shared" si="37"/>
        <v>0</v>
      </c>
      <c r="M50" s="593">
        <f t="shared" si="38"/>
        <v>0</v>
      </c>
      <c r="N50" s="593">
        <f t="shared" si="39"/>
        <v>0</v>
      </c>
      <c r="O50" s="272"/>
      <c r="P50" s="81">
        <f t="shared" si="22"/>
        <v>0</v>
      </c>
      <c r="Q50" s="81">
        <f t="shared" si="23"/>
        <v>0</v>
      </c>
      <c r="R50" s="81">
        <f t="shared" si="24"/>
        <v>0</v>
      </c>
      <c r="S50" s="81">
        <f t="shared" si="40"/>
        <v>0</v>
      </c>
      <c r="T50" s="281">
        <f t="shared" ref="T50:T61" si="54">IF(C50=0,0,+S50/C50)</f>
        <v>0</v>
      </c>
      <c r="U50" s="120"/>
      <c r="V50" s="195">
        <f t="shared" ref="V50:V102" si="55">+S50-E50+C50</f>
        <v>0</v>
      </c>
    </row>
    <row r="51" spans="1:22" ht="12.75" customHeight="1" x14ac:dyDescent="0.25">
      <c r="A51" s="14"/>
      <c r="B51" s="20" t="s">
        <v>96</v>
      </c>
      <c r="C51" s="721"/>
      <c r="D51" s="272"/>
      <c r="E51" s="272"/>
      <c r="F51" s="272"/>
      <c r="G51" s="272"/>
      <c r="H51" s="272"/>
      <c r="I51" s="272"/>
      <c r="J51" s="272"/>
      <c r="K51" s="272"/>
      <c r="L51" s="593">
        <f t="shared" si="37"/>
        <v>0</v>
      </c>
      <c r="M51" s="593">
        <f t="shared" si="38"/>
        <v>0</v>
      </c>
      <c r="N51" s="593">
        <f t="shared" si="39"/>
        <v>0</v>
      </c>
      <c r="O51" s="272"/>
      <c r="P51" s="81">
        <f t="shared" si="22"/>
        <v>0</v>
      </c>
      <c r="Q51" s="81">
        <f t="shared" si="23"/>
        <v>0</v>
      </c>
      <c r="R51" s="81">
        <f t="shared" si="24"/>
        <v>0</v>
      </c>
      <c r="S51" s="81">
        <f t="shared" si="40"/>
        <v>0</v>
      </c>
      <c r="T51" s="281">
        <f t="shared" si="54"/>
        <v>0</v>
      </c>
      <c r="U51" s="120"/>
      <c r="V51" s="195">
        <f t="shared" si="55"/>
        <v>0</v>
      </c>
    </row>
    <row r="52" spans="1:22" ht="12.75" customHeight="1" x14ac:dyDescent="0.25">
      <c r="A52" s="14"/>
      <c r="B52" s="20" t="s">
        <v>97</v>
      </c>
      <c r="C52" s="721"/>
      <c r="D52" s="272"/>
      <c r="E52" s="272"/>
      <c r="F52" s="272"/>
      <c r="G52" s="272"/>
      <c r="H52" s="272"/>
      <c r="I52" s="272"/>
      <c r="J52" s="272"/>
      <c r="K52" s="272"/>
      <c r="L52" s="593">
        <f t="shared" si="37"/>
        <v>0</v>
      </c>
      <c r="M52" s="593">
        <f t="shared" si="38"/>
        <v>0</v>
      </c>
      <c r="N52" s="593">
        <f t="shared" si="39"/>
        <v>0</v>
      </c>
      <c r="O52" s="272"/>
      <c r="P52" s="81">
        <f t="shared" si="22"/>
        <v>0</v>
      </c>
      <c r="Q52" s="81">
        <f t="shared" si="23"/>
        <v>0</v>
      </c>
      <c r="R52" s="81">
        <f t="shared" si="24"/>
        <v>0</v>
      </c>
      <c r="S52" s="81">
        <f t="shared" si="40"/>
        <v>0</v>
      </c>
      <c r="T52" s="281">
        <f t="shared" si="54"/>
        <v>0</v>
      </c>
      <c r="U52" s="120"/>
      <c r="V52" s="195">
        <f t="shared" si="55"/>
        <v>0</v>
      </c>
    </row>
    <row r="53" spans="1:22" ht="12.75" customHeight="1" x14ac:dyDescent="0.25">
      <c r="A53" s="14" t="s">
        <v>49</v>
      </c>
      <c r="B53" s="20" t="s">
        <v>50</v>
      </c>
      <c r="C53" s="721">
        <v>0</v>
      </c>
      <c r="D53" s="272">
        <v>0</v>
      </c>
      <c r="E53" s="272">
        <v>0</v>
      </c>
      <c r="F53" s="272">
        <v>0</v>
      </c>
      <c r="G53" s="272"/>
      <c r="H53" s="272">
        <v>0</v>
      </c>
      <c r="I53" s="272">
        <f>+H53</f>
        <v>0</v>
      </c>
      <c r="J53" s="272">
        <v>0</v>
      </c>
      <c r="K53" s="272"/>
      <c r="L53" s="593">
        <f t="shared" si="37"/>
        <v>0</v>
      </c>
      <c r="M53" s="593">
        <f t="shared" si="38"/>
        <v>0</v>
      </c>
      <c r="N53" s="593">
        <f t="shared" si="39"/>
        <v>0</v>
      </c>
      <c r="O53" s="272"/>
      <c r="P53" s="81">
        <f t="shared" si="22"/>
        <v>0</v>
      </c>
      <c r="Q53" s="81">
        <f t="shared" si="23"/>
        <v>0</v>
      </c>
      <c r="R53" s="81">
        <f t="shared" si="24"/>
        <v>0</v>
      </c>
      <c r="S53" s="81">
        <f t="shared" si="40"/>
        <v>0</v>
      </c>
      <c r="T53" s="281">
        <f t="shared" si="54"/>
        <v>0</v>
      </c>
      <c r="U53" s="120"/>
      <c r="V53" s="195">
        <f t="shared" si="55"/>
        <v>0</v>
      </c>
    </row>
    <row r="54" spans="1:22" ht="12.75" customHeight="1" x14ac:dyDescent="0.25">
      <c r="A54" s="14"/>
      <c r="B54" s="20" t="s">
        <v>88</v>
      </c>
      <c r="C54" s="721"/>
      <c r="D54" s="272"/>
      <c r="E54" s="272"/>
      <c r="F54" s="272"/>
      <c r="G54" s="272"/>
      <c r="H54" s="272"/>
      <c r="I54" s="272"/>
      <c r="J54" s="272"/>
      <c r="K54" s="272"/>
      <c r="L54" s="593">
        <f t="shared" si="37"/>
        <v>0</v>
      </c>
      <c r="M54" s="593">
        <f t="shared" si="38"/>
        <v>0</v>
      </c>
      <c r="N54" s="593">
        <f t="shared" si="39"/>
        <v>0</v>
      </c>
      <c r="O54" s="272"/>
      <c r="P54" s="81">
        <f t="shared" si="22"/>
        <v>0</v>
      </c>
      <c r="Q54" s="81">
        <f t="shared" si="23"/>
        <v>0</v>
      </c>
      <c r="R54" s="81">
        <f t="shared" si="24"/>
        <v>0</v>
      </c>
      <c r="S54" s="81">
        <f t="shared" si="40"/>
        <v>0</v>
      </c>
      <c r="T54" s="281">
        <f t="shared" si="54"/>
        <v>0</v>
      </c>
      <c r="U54" s="120"/>
      <c r="V54" s="195">
        <f t="shared" si="55"/>
        <v>0</v>
      </c>
    </row>
    <row r="55" spans="1:22" ht="12.75" customHeight="1" x14ac:dyDescent="0.25">
      <c r="A55" s="14"/>
      <c r="B55" s="20" t="s">
        <v>51</v>
      </c>
      <c r="C55" s="721"/>
      <c r="D55" s="272"/>
      <c r="E55" s="272"/>
      <c r="F55" s="272"/>
      <c r="G55" s="272"/>
      <c r="H55" s="272"/>
      <c r="I55" s="272"/>
      <c r="J55" s="272"/>
      <c r="K55" s="272"/>
      <c r="L55" s="593">
        <f t="shared" si="37"/>
        <v>0</v>
      </c>
      <c r="M55" s="593">
        <f t="shared" si="38"/>
        <v>0</v>
      </c>
      <c r="N55" s="593">
        <f t="shared" si="39"/>
        <v>0</v>
      </c>
      <c r="O55" s="272"/>
      <c r="P55" s="81">
        <f t="shared" si="22"/>
        <v>0</v>
      </c>
      <c r="Q55" s="81">
        <f t="shared" si="23"/>
        <v>0</v>
      </c>
      <c r="R55" s="81">
        <f t="shared" si="24"/>
        <v>0</v>
      </c>
      <c r="S55" s="81">
        <f t="shared" si="40"/>
        <v>0</v>
      </c>
      <c r="T55" s="281">
        <f t="shared" si="54"/>
        <v>0</v>
      </c>
      <c r="U55" s="120"/>
      <c r="V55" s="195">
        <f t="shared" si="55"/>
        <v>0</v>
      </c>
    </row>
    <row r="56" spans="1:22" ht="12.75" customHeight="1" x14ac:dyDescent="0.25">
      <c r="A56" s="14" t="s">
        <v>52</v>
      </c>
      <c r="B56" s="20" t="s">
        <v>53</v>
      </c>
      <c r="C56" s="721">
        <v>0</v>
      </c>
      <c r="D56" s="272">
        <v>0</v>
      </c>
      <c r="E56" s="272">
        <v>0</v>
      </c>
      <c r="F56" s="272">
        <v>0</v>
      </c>
      <c r="G56" s="272"/>
      <c r="H56" s="272">
        <v>0</v>
      </c>
      <c r="I56" s="272">
        <v>0</v>
      </c>
      <c r="J56" s="272">
        <v>0</v>
      </c>
      <c r="K56" s="272"/>
      <c r="L56" s="593">
        <f t="shared" si="37"/>
        <v>0</v>
      </c>
      <c r="M56" s="593">
        <f t="shared" si="38"/>
        <v>0</v>
      </c>
      <c r="N56" s="593">
        <f t="shared" si="39"/>
        <v>0</v>
      </c>
      <c r="O56" s="272"/>
      <c r="P56" s="81">
        <f t="shared" si="22"/>
        <v>0</v>
      </c>
      <c r="Q56" s="81">
        <f t="shared" si="23"/>
        <v>0</v>
      </c>
      <c r="R56" s="81">
        <f t="shared" si="24"/>
        <v>0</v>
      </c>
      <c r="S56" s="81">
        <f t="shared" si="40"/>
        <v>0</v>
      </c>
      <c r="T56" s="281">
        <f t="shared" si="54"/>
        <v>0</v>
      </c>
      <c r="U56" s="120"/>
      <c r="V56" s="195">
        <f t="shared" si="55"/>
        <v>0</v>
      </c>
    </row>
    <row r="57" spans="1:22" ht="12.75" customHeight="1" x14ac:dyDescent="0.25">
      <c r="A57" s="14"/>
      <c r="B57" s="20" t="s">
        <v>54</v>
      </c>
      <c r="C57" s="721"/>
      <c r="D57" s="272"/>
      <c r="E57" s="272"/>
      <c r="F57" s="272"/>
      <c r="G57" s="272"/>
      <c r="H57" s="272"/>
      <c r="I57" s="272"/>
      <c r="J57" s="272"/>
      <c r="K57" s="272"/>
      <c r="L57" s="593">
        <f t="shared" si="37"/>
        <v>0</v>
      </c>
      <c r="M57" s="593">
        <f t="shared" si="38"/>
        <v>0</v>
      </c>
      <c r="N57" s="593">
        <f t="shared" si="39"/>
        <v>0</v>
      </c>
      <c r="O57" s="272"/>
      <c r="P57" s="81">
        <f t="shared" si="22"/>
        <v>0</v>
      </c>
      <c r="Q57" s="81">
        <f t="shared" si="23"/>
        <v>0</v>
      </c>
      <c r="R57" s="81">
        <f t="shared" si="24"/>
        <v>0</v>
      </c>
      <c r="S57" s="81">
        <f t="shared" si="40"/>
        <v>0</v>
      </c>
      <c r="T57" s="281">
        <f t="shared" si="54"/>
        <v>0</v>
      </c>
      <c r="U57" s="120"/>
      <c r="V57" s="195">
        <f t="shared" si="55"/>
        <v>0</v>
      </c>
    </row>
    <row r="58" spans="1:22" ht="12.75" customHeight="1" x14ac:dyDescent="0.25">
      <c r="A58" s="14" t="s">
        <v>55</v>
      </c>
      <c r="B58" s="20" t="s">
        <v>89</v>
      </c>
      <c r="C58" s="721">
        <v>500000</v>
      </c>
      <c r="D58" s="272">
        <v>500000</v>
      </c>
      <c r="E58" s="272">
        <v>500000</v>
      </c>
      <c r="F58" s="272">
        <v>500000</v>
      </c>
      <c r="G58" s="272"/>
      <c r="H58" s="272">
        <v>144000</v>
      </c>
      <c r="I58" s="272">
        <v>387000</v>
      </c>
      <c r="J58" s="272">
        <v>451000</v>
      </c>
      <c r="K58" s="272"/>
      <c r="L58" s="593">
        <f t="shared" si="37"/>
        <v>0.28799999999999998</v>
      </c>
      <c r="M58" s="593">
        <f t="shared" si="38"/>
        <v>0.77400000000000002</v>
      </c>
      <c r="N58" s="593">
        <f t="shared" si="39"/>
        <v>0.90200000000000002</v>
      </c>
      <c r="O58" s="272"/>
      <c r="P58" s="81">
        <f t="shared" si="22"/>
        <v>0</v>
      </c>
      <c r="Q58" s="81">
        <f t="shared" si="23"/>
        <v>0</v>
      </c>
      <c r="R58" s="81">
        <f t="shared" si="24"/>
        <v>0</v>
      </c>
      <c r="S58" s="81">
        <f t="shared" si="40"/>
        <v>0</v>
      </c>
      <c r="T58" s="281">
        <f t="shared" si="54"/>
        <v>0</v>
      </c>
      <c r="U58" s="120"/>
      <c r="V58" s="195">
        <f t="shared" si="55"/>
        <v>0</v>
      </c>
    </row>
    <row r="59" spans="1:22" ht="12.75" customHeight="1" x14ac:dyDescent="0.25">
      <c r="A59" s="14"/>
      <c r="B59" s="20" t="s">
        <v>56</v>
      </c>
      <c r="C59" s="721"/>
      <c r="D59" s="272"/>
      <c r="E59" s="272"/>
      <c r="F59" s="272"/>
      <c r="G59" s="272"/>
      <c r="H59" s="272"/>
      <c r="I59" s="272"/>
      <c r="J59" s="272"/>
      <c r="K59" s="272"/>
      <c r="L59" s="593">
        <f t="shared" si="37"/>
        <v>0</v>
      </c>
      <c r="M59" s="593">
        <f t="shared" si="38"/>
        <v>0</v>
      </c>
      <c r="N59" s="593">
        <f t="shared" si="39"/>
        <v>0</v>
      </c>
      <c r="O59" s="272"/>
      <c r="P59" s="81">
        <f t="shared" si="22"/>
        <v>0</v>
      </c>
      <c r="Q59" s="81">
        <f t="shared" si="23"/>
        <v>0</v>
      </c>
      <c r="R59" s="81">
        <f t="shared" si="24"/>
        <v>0</v>
      </c>
      <c r="S59" s="81">
        <f t="shared" si="40"/>
        <v>0</v>
      </c>
      <c r="T59" s="281">
        <f t="shared" si="54"/>
        <v>0</v>
      </c>
      <c r="U59" s="120"/>
      <c r="V59" s="195">
        <f t="shared" si="55"/>
        <v>0</v>
      </c>
    </row>
    <row r="60" spans="1:22" ht="12.75" customHeight="1" x14ac:dyDescent="0.25">
      <c r="A60" s="14" t="s">
        <v>57</v>
      </c>
      <c r="B60" s="20" t="s">
        <v>58</v>
      </c>
      <c r="C60" s="721">
        <v>0</v>
      </c>
      <c r="D60" s="272">
        <v>0</v>
      </c>
      <c r="E60" s="272">
        <v>0</v>
      </c>
      <c r="F60" s="272"/>
      <c r="G60" s="272"/>
      <c r="H60" s="272">
        <v>0</v>
      </c>
      <c r="I60" s="272"/>
      <c r="J60" s="272"/>
      <c r="K60" s="272"/>
      <c r="L60" s="593">
        <f t="shared" si="37"/>
        <v>0</v>
      </c>
      <c r="M60" s="593">
        <f t="shared" si="38"/>
        <v>0</v>
      </c>
      <c r="N60" s="593">
        <f t="shared" si="39"/>
        <v>0</v>
      </c>
      <c r="O60" s="272"/>
      <c r="P60" s="81">
        <f t="shared" si="22"/>
        <v>0</v>
      </c>
      <c r="Q60" s="81">
        <f t="shared" si="23"/>
        <v>0</v>
      </c>
      <c r="R60" s="81">
        <f t="shared" si="24"/>
        <v>0</v>
      </c>
      <c r="S60" s="81">
        <f t="shared" si="40"/>
        <v>0</v>
      </c>
      <c r="T60" s="281">
        <f t="shared" si="54"/>
        <v>0</v>
      </c>
      <c r="U60" s="120"/>
      <c r="V60" s="195">
        <f t="shared" si="55"/>
        <v>0</v>
      </c>
    </row>
    <row r="61" spans="1:22" ht="23.25" customHeight="1" x14ac:dyDescent="0.25">
      <c r="A61" s="20"/>
      <c r="B61" s="20" t="s">
        <v>59</v>
      </c>
      <c r="C61" s="721"/>
      <c r="D61" s="272"/>
      <c r="E61" s="272"/>
      <c r="F61" s="272"/>
      <c r="G61" s="272"/>
      <c r="H61" s="272"/>
      <c r="I61" s="272"/>
      <c r="J61" s="272"/>
      <c r="K61" s="272"/>
      <c r="L61" s="593">
        <f t="shared" si="37"/>
        <v>0</v>
      </c>
      <c r="M61" s="593">
        <f t="shared" si="38"/>
        <v>0</v>
      </c>
      <c r="N61" s="593">
        <f t="shared" si="39"/>
        <v>0</v>
      </c>
      <c r="O61" s="272"/>
      <c r="P61" s="81">
        <f t="shared" si="22"/>
        <v>0</v>
      </c>
      <c r="Q61" s="81">
        <f t="shared" si="23"/>
        <v>0</v>
      </c>
      <c r="R61" s="81">
        <f t="shared" si="24"/>
        <v>0</v>
      </c>
      <c r="S61" s="81">
        <f t="shared" si="40"/>
        <v>0</v>
      </c>
      <c r="T61" s="281">
        <f t="shared" si="54"/>
        <v>0</v>
      </c>
      <c r="U61" s="120"/>
      <c r="V61" s="195">
        <f t="shared" si="55"/>
        <v>0</v>
      </c>
    </row>
    <row r="62" spans="1:22" ht="12.75" customHeight="1" x14ac:dyDescent="0.25">
      <c r="A62" s="14" t="s">
        <v>60</v>
      </c>
      <c r="B62" s="20" t="s">
        <v>61</v>
      </c>
      <c r="C62" s="721">
        <v>300000</v>
      </c>
      <c r="D62" s="272">
        <v>300000</v>
      </c>
      <c r="E62" s="272">
        <v>300000</v>
      </c>
      <c r="F62" s="272">
        <v>139520</v>
      </c>
      <c r="G62" s="272"/>
      <c r="H62" s="272">
        <v>78490</v>
      </c>
      <c r="I62" s="272">
        <v>78490</v>
      </c>
      <c r="J62" s="272">
        <v>132348</v>
      </c>
      <c r="K62" s="272"/>
      <c r="L62" s="593">
        <f t="shared" si="37"/>
        <v>0.26163333333333333</v>
      </c>
      <c r="M62" s="593">
        <f t="shared" si="38"/>
        <v>0.26163333333333333</v>
      </c>
      <c r="N62" s="593">
        <f t="shared" si="39"/>
        <v>0.44116</v>
      </c>
      <c r="O62" s="272"/>
      <c r="P62" s="81">
        <f t="shared" si="22"/>
        <v>0</v>
      </c>
      <c r="Q62" s="81">
        <f t="shared" si="23"/>
        <v>0</v>
      </c>
      <c r="R62" s="81">
        <f t="shared" si="24"/>
        <v>0</v>
      </c>
      <c r="S62" s="81">
        <f t="shared" si="40"/>
        <v>0</v>
      </c>
      <c r="T62" s="281">
        <f t="shared" ref="T62:T70" si="56">IF(C62=0,0,+S62/C62)</f>
        <v>0</v>
      </c>
      <c r="U62" s="120"/>
      <c r="V62" s="195">
        <f t="shared" si="55"/>
        <v>0</v>
      </c>
    </row>
    <row r="63" spans="1:22" ht="61.5" customHeight="1" x14ac:dyDescent="0.25">
      <c r="A63" s="14"/>
      <c r="B63" s="20" t="s">
        <v>100</v>
      </c>
      <c r="C63" s="721"/>
      <c r="D63" s="272"/>
      <c r="E63" s="272"/>
      <c r="F63" s="272"/>
      <c r="G63" s="272"/>
      <c r="H63" s="272"/>
      <c r="I63" s="272"/>
      <c r="J63" s="272"/>
      <c r="K63" s="272"/>
      <c r="L63" s="593">
        <f t="shared" si="37"/>
        <v>0</v>
      </c>
      <c r="M63" s="593">
        <f t="shared" si="38"/>
        <v>0</v>
      </c>
      <c r="N63" s="593">
        <f t="shared" si="39"/>
        <v>0</v>
      </c>
      <c r="O63" s="272"/>
      <c r="P63" s="81">
        <f t="shared" si="22"/>
        <v>0</v>
      </c>
      <c r="Q63" s="81">
        <f t="shared" si="23"/>
        <v>0</v>
      </c>
      <c r="R63" s="81">
        <f t="shared" si="24"/>
        <v>0</v>
      </c>
      <c r="S63" s="81">
        <f t="shared" si="40"/>
        <v>0</v>
      </c>
      <c r="T63" s="281">
        <f t="shared" si="56"/>
        <v>0</v>
      </c>
      <c r="U63" s="120"/>
      <c r="V63" s="195">
        <f t="shared" si="55"/>
        <v>0</v>
      </c>
    </row>
    <row r="64" spans="1:22" ht="12.75" customHeight="1" x14ac:dyDescent="0.25">
      <c r="A64" s="14" t="s">
        <v>62</v>
      </c>
      <c r="B64" s="20" t="s">
        <v>63</v>
      </c>
      <c r="C64" s="721">
        <v>550000</v>
      </c>
      <c r="D64" s="272">
        <v>550000</v>
      </c>
      <c r="E64" s="272">
        <v>550000</v>
      </c>
      <c r="F64" s="272">
        <v>550000</v>
      </c>
      <c r="G64" s="272"/>
      <c r="H64" s="272">
        <v>189689</v>
      </c>
      <c r="I64" s="272">
        <v>348703</v>
      </c>
      <c r="J64" s="272">
        <v>512415</v>
      </c>
      <c r="K64" s="272"/>
      <c r="L64" s="593">
        <f t="shared" si="37"/>
        <v>0.34488909090909092</v>
      </c>
      <c r="M64" s="593">
        <f t="shared" si="38"/>
        <v>0.63400545454545454</v>
      </c>
      <c r="N64" s="593">
        <f t="shared" si="39"/>
        <v>0.93166363636363636</v>
      </c>
      <c r="O64" s="272"/>
      <c r="P64" s="81">
        <f t="shared" si="22"/>
        <v>0</v>
      </c>
      <c r="Q64" s="81">
        <f t="shared" si="23"/>
        <v>0</v>
      </c>
      <c r="R64" s="81">
        <f t="shared" si="24"/>
        <v>0</v>
      </c>
      <c r="S64" s="81">
        <f t="shared" si="40"/>
        <v>0</v>
      </c>
      <c r="T64" s="281">
        <f t="shared" si="56"/>
        <v>0</v>
      </c>
      <c r="U64" s="120"/>
      <c r="V64" s="195">
        <f t="shared" si="55"/>
        <v>0</v>
      </c>
    </row>
    <row r="65" spans="1:22" ht="54.75" customHeight="1" x14ac:dyDescent="0.25">
      <c r="A65" s="14"/>
      <c r="B65" s="20" t="s">
        <v>64</v>
      </c>
      <c r="C65" s="721">
        <v>0</v>
      </c>
      <c r="D65" s="272"/>
      <c r="E65" s="272"/>
      <c r="F65" s="272"/>
      <c r="G65" s="272"/>
      <c r="H65" s="272"/>
      <c r="I65" s="272"/>
      <c r="J65" s="272"/>
      <c r="K65" s="272"/>
      <c r="L65" s="593">
        <f t="shared" si="37"/>
        <v>0</v>
      </c>
      <c r="M65" s="593">
        <f t="shared" si="38"/>
        <v>0</v>
      </c>
      <c r="N65" s="593">
        <f t="shared" si="39"/>
        <v>0</v>
      </c>
      <c r="O65" s="272"/>
      <c r="P65" s="81">
        <f t="shared" si="22"/>
        <v>0</v>
      </c>
      <c r="Q65" s="81">
        <f t="shared" si="23"/>
        <v>0</v>
      </c>
      <c r="R65" s="81">
        <f t="shared" si="24"/>
        <v>0</v>
      </c>
      <c r="S65" s="81">
        <f t="shared" si="40"/>
        <v>0</v>
      </c>
      <c r="T65" s="281">
        <f t="shared" si="56"/>
        <v>0</v>
      </c>
      <c r="U65" s="120"/>
      <c r="V65" s="195">
        <f t="shared" si="55"/>
        <v>0</v>
      </c>
    </row>
    <row r="66" spans="1:22" s="42" customFormat="1" ht="12.75" customHeight="1" x14ac:dyDescent="0.25">
      <c r="A66" s="38" t="s">
        <v>65</v>
      </c>
      <c r="B66" s="39" t="s">
        <v>66</v>
      </c>
      <c r="C66" s="275">
        <f>+C67+C69</f>
        <v>300000</v>
      </c>
      <c r="D66" s="275">
        <f>+D67+D69</f>
        <v>300000</v>
      </c>
      <c r="E66" s="275">
        <f>+E67+E69</f>
        <v>300000</v>
      </c>
      <c r="F66" s="275">
        <f>+F67+F69</f>
        <v>0</v>
      </c>
      <c r="G66" s="275"/>
      <c r="H66" s="275">
        <f>+H67+H69</f>
        <v>0</v>
      </c>
      <c r="I66" s="275">
        <f t="shared" ref="I66:J66" si="57">+I67+I69</f>
        <v>0</v>
      </c>
      <c r="J66" s="275">
        <f t="shared" si="57"/>
        <v>0</v>
      </c>
      <c r="K66" s="275"/>
      <c r="L66" s="593">
        <f t="shared" si="37"/>
        <v>0</v>
      </c>
      <c r="M66" s="593">
        <f t="shared" si="38"/>
        <v>0</v>
      </c>
      <c r="N66" s="593">
        <f t="shared" si="39"/>
        <v>0</v>
      </c>
      <c r="O66" s="275"/>
      <c r="P66" s="275">
        <f t="shared" si="22"/>
        <v>0</v>
      </c>
      <c r="Q66" s="275">
        <f t="shared" si="23"/>
        <v>0</v>
      </c>
      <c r="R66" s="275">
        <f t="shared" si="24"/>
        <v>0</v>
      </c>
      <c r="S66" s="275">
        <f t="shared" si="40"/>
        <v>0</v>
      </c>
      <c r="T66" s="281">
        <f t="shared" si="56"/>
        <v>0</v>
      </c>
      <c r="U66" s="120"/>
      <c r="V66" s="195">
        <f t="shared" si="55"/>
        <v>0</v>
      </c>
    </row>
    <row r="67" spans="1:22" ht="12.75" customHeight="1" x14ac:dyDescent="0.25">
      <c r="A67" s="14" t="s">
        <v>67</v>
      </c>
      <c r="B67" s="20" t="s">
        <v>68</v>
      </c>
      <c r="C67" s="721">
        <v>300000</v>
      </c>
      <c r="D67" s="272">
        <v>300000</v>
      </c>
      <c r="E67" s="272">
        <v>300000</v>
      </c>
      <c r="F67" s="272">
        <v>0</v>
      </c>
      <c r="G67" s="272"/>
      <c r="H67" s="272">
        <v>0</v>
      </c>
      <c r="I67" s="272">
        <v>0</v>
      </c>
      <c r="J67" s="272">
        <v>0</v>
      </c>
      <c r="K67" s="272"/>
      <c r="L67" s="593">
        <f t="shared" si="37"/>
        <v>0</v>
      </c>
      <c r="M67" s="593">
        <f t="shared" si="38"/>
        <v>0</v>
      </c>
      <c r="N67" s="593">
        <f t="shared" si="39"/>
        <v>0</v>
      </c>
      <c r="O67" s="272"/>
      <c r="P67" s="81">
        <f t="shared" si="22"/>
        <v>0</v>
      </c>
      <c r="Q67" s="81">
        <f t="shared" si="23"/>
        <v>0</v>
      </c>
      <c r="R67" s="81">
        <f t="shared" si="24"/>
        <v>0</v>
      </c>
      <c r="S67" s="81">
        <f t="shared" si="40"/>
        <v>0</v>
      </c>
      <c r="T67" s="281">
        <f t="shared" si="56"/>
        <v>0</v>
      </c>
      <c r="U67" s="120"/>
      <c r="V67" s="195">
        <f t="shared" si="55"/>
        <v>0</v>
      </c>
    </row>
    <row r="68" spans="1:22" ht="24" customHeight="1" x14ac:dyDescent="0.25">
      <c r="A68" s="14"/>
      <c r="B68" s="20" t="s">
        <v>69</v>
      </c>
      <c r="C68" s="721"/>
      <c r="D68" s="272"/>
      <c r="E68" s="272"/>
      <c r="F68" s="272"/>
      <c r="G68" s="272"/>
      <c r="H68" s="272"/>
      <c r="I68" s="272"/>
      <c r="J68" s="272"/>
      <c r="K68" s="272"/>
      <c r="L68" s="593">
        <f t="shared" si="37"/>
        <v>0</v>
      </c>
      <c r="M68" s="593">
        <f t="shared" si="38"/>
        <v>0</v>
      </c>
      <c r="N68" s="593">
        <f t="shared" si="39"/>
        <v>0</v>
      </c>
      <c r="O68" s="272"/>
      <c r="P68" s="81">
        <f t="shared" si="22"/>
        <v>0</v>
      </c>
      <c r="Q68" s="81">
        <f t="shared" si="23"/>
        <v>0</v>
      </c>
      <c r="R68" s="81">
        <f t="shared" si="24"/>
        <v>0</v>
      </c>
      <c r="S68" s="81">
        <f t="shared" si="40"/>
        <v>0</v>
      </c>
      <c r="T68" s="281">
        <f t="shared" si="56"/>
        <v>0</v>
      </c>
      <c r="U68" s="120"/>
      <c r="V68" s="195">
        <f t="shared" si="55"/>
        <v>0</v>
      </c>
    </row>
    <row r="69" spans="1:22" ht="12.75" customHeight="1" x14ac:dyDescent="0.25">
      <c r="A69" s="14" t="s">
        <v>70</v>
      </c>
      <c r="B69" s="20" t="s">
        <v>98</v>
      </c>
      <c r="C69" s="721">
        <v>0</v>
      </c>
      <c r="D69" s="272">
        <v>0</v>
      </c>
      <c r="E69" s="272">
        <v>0</v>
      </c>
      <c r="F69" s="272">
        <v>0</v>
      </c>
      <c r="G69" s="272"/>
      <c r="H69" s="272">
        <v>0</v>
      </c>
      <c r="I69" s="272">
        <v>0</v>
      </c>
      <c r="J69" s="272">
        <v>0</v>
      </c>
      <c r="K69" s="272"/>
      <c r="L69" s="593">
        <f t="shared" si="37"/>
        <v>0</v>
      </c>
      <c r="M69" s="593">
        <f t="shared" si="38"/>
        <v>0</v>
      </c>
      <c r="N69" s="593">
        <f t="shared" si="39"/>
        <v>0</v>
      </c>
      <c r="O69" s="272"/>
      <c r="P69" s="81">
        <f t="shared" si="22"/>
        <v>0</v>
      </c>
      <c r="Q69" s="81">
        <f t="shared" si="23"/>
        <v>0</v>
      </c>
      <c r="R69" s="81">
        <f t="shared" si="24"/>
        <v>0</v>
      </c>
      <c r="S69" s="81">
        <f t="shared" si="40"/>
        <v>0</v>
      </c>
      <c r="T69" s="281">
        <f t="shared" si="56"/>
        <v>0</v>
      </c>
      <c r="U69" s="120"/>
      <c r="V69" s="195">
        <f t="shared" si="55"/>
        <v>0</v>
      </c>
    </row>
    <row r="70" spans="1:22" ht="26.25" customHeight="1" x14ac:dyDescent="0.25">
      <c r="A70" s="14"/>
      <c r="B70" s="20" t="s">
        <v>71</v>
      </c>
      <c r="C70" s="721"/>
      <c r="D70" s="272"/>
      <c r="E70" s="272"/>
      <c r="F70" s="272"/>
      <c r="G70" s="272"/>
      <c r="H70" s="272"/>
      <c r="I70" s="272"/>
      <c r="J70" s="272"/>
      <c r="K70" s="272"/>
      <c r="L70" s="593">
        <f t="shared" si="37"/>
        <v>0</v>
      </c>
      <c r="M70" s="593">
        <f t="shared" si="38"/>
        <v>0</v>
      </c>
      <c r="N70" s="593">
        <f t="shared" si="39"/>
        <v>0</v>
      </c>
      <c r="O70" s="272"/>
      <c r="P70" s="81">
        <f t="shared" si="22"/>
        <v>0</v>
      </c>
      <c r="Q70" s="81">
        <f t="shared" si="23"/>
        <v>0</v>
      </c>
      <c r="R70" s="81">
        <f t="shared" si="24"/>
        <v>0</v>
      </c>
      <c r="S70" s="81">
        <f t="shared" si="40"/>
        <v>0</v>
      </c>
      <c r="T70" s="281">
        <f t="shared" si="56"/>
        <v>0</v>
      </c>
      <c r="U70" s="120"/>
      <c r="V70" s="195">
        <f t="shared" si="55"/>
        <v>0</v>
      </c>
    </row>
    <row r="71" spans="1:22" s="42" customFormat="1" ht="12.75" customHeight="1" x14ac:dyDescent="0.25">
      <c r="A71" s="38" t="s">
        <v>72</v>
      </c>
      <c r="B71" s="39" t="s">
        <v>73</v>
      </c>
      <c r="C71" s="275">
        <f>SUM(C72:C81)</f>
        <v>2610000</v>
      </c>
      <c r="D71" s="275">
        <f t="shared" ref="D71:J71" si="58">SUM(D72:D81)</f>
        <v>2610000</v>
      </c>
      <c r="E71" s="275">
        <f t="shared" si="58"/>
        <v>2610000</v>
      </c>
      <c r="F71" s="275">
        <f t="shared" si="58"/>
        <v>2610000</v>
      </c>
      <c r="G71" s="275"/>
      <c r="H71" s="275">
        <f t="shared" si="58"/>
        <v>1101233</v>
      </c>
      <c r="I71" s="275">
        <f t="shared" si="58"/>
        <v>1512815</v>
      </c>
      <c r="J71" s="275">
        <f t="shared" si="58"/>
        <v>2124254</v>
      </c>
      <c r="K71" s="275"/>
      <c r="L71" s="594">
        <f t="shared" si="37"/>
        <v>0.42192835249042143</v>
      </c>
      <c r="M71" s="594">
        <f t="shared" si="38"/>
        <v>0.57962260536398469</v>
      </c>
      <c r="N71" s="594">
        <f t="shared" si="39"/>
        <v>0.81389042145593871</v>
      </c>
      <c r="O71" s="275"/>
      <c r="P71" s="275">
        <f t="shared" si="22"/>
        <v>0</v>
      </c>
      <c r="Q71" s="275">
        <f t="shared" si="23"/>
        <v>0</v>
      </c>
      <c r="R71" s="275">
        <f t="shared" si="24"/>
        <v>0</v>
      </c>
      <c r="S71" s="275">
        <f t="shared" si="40"/>
        <v>0</v>
      </c>
      <c r="V71" s="195">
        <f t="shared" si="55"/>
        <v>0</v>
      </c>
    </row>
    <row r="72" spans="1:22" ht="12.75" customHeight="1" x14ac:dyDescent="0.25">
      <c r="A72" s="14" t="s">
        <v>74</v>
      </c>
      <c r="B72" s="20" t="s">
        <v>75</v>
      </c>
      <c r="C72" s="721">
        <v>2000000</v>
      </c>
      <c r="D72" s="272">
        <v>2000000</v>
      </c>
      <c r="E72" s="272">
        <v>2000000</v>
      </c>
      <c r="F72" s="272">
        <v>2000000</v>
      </c>
      <c r="G72" s="272"/>
      <c r="H72" s="272">
        <v>856696</v>
      </c>
      <c r="I72" s="272">
        <v>1236502</v>
      </c>
      <c r="J72" s="272">
        <v>1833732</v>
      </c>
      <c r="K72" s="272"/>
      <c r="L72" s="593">
        <f t="shared" si="37"/>
        <v>0.42834800000000001</v>
      </c>
      <c r="M72" s="593">
        <f t="shared" si="38"/>
        <v>0.618251</v>
      </c>
      <c r="N72" s="593">
        <f t="shared" si="39"/>
        <v>0.91686599999999996</v>
      </c>
      <c r="O72" s="272"/>
      <c r="P72" s="81">
        <f t="shared" si="22"/>
        <v>0</v>
      </c>
      <c r="Q72" s="81">
        <f t="shared" si="23"/>
        <v>0</v>
      </c>
      <c r="R72" s="81">
        <f t="shared" si="24"/>
        <v>0</v>
      </c>
      <c r="S72" s="81">
        <f t="shared" si="40"/>
        <v>0</v>
      </c>
      <c r="T72" s="281">
        <f t="shared" ref="T72:T81" si="59">IF(C72=0,0,+S72/C72)</f>
        <v>0</v>
      </c>
      <c r="U72" s="120"/>
      <c r="V72" s="195">
        <f t="shared" si="55"/>
        <v>0</v>
      </c>
    </row>
    <row r="73" spans="1:22" ht="12.75" customHeight="1" x14ac:dyDescent="0.25">
      <c r="A73" s="14"/>
      <c r="B73" s="20" t="s">
        <v>76</v>
      </c>
      <c r="C73" s="721">
        <v>0</v>
      </c>
      <c r="D73" s="272"/>
      <c r="E73" s="272"/>
      <c r="F73" s="272"/>
      <c r="G73" s="272"/>
      <c r="H73" s="272"/>
      <c r="I73" s="272"/>
      <c r="J73" s="272"/>
      <c r="K73" s="272"/>
      <c r="L73" s="593">
        <f t="shared" si="37"/>
        <v>0</v>
      </c>
      <c r="M73" s="593">
        <f t="shared" si="38"/>
        <v>0</v>
      </c>
      <c r="N73" s="593">
        <f t="shared" si="39"/>
        <v>0</v>
      </c>
      <c r="O73" s="272"/>
      <c r="P73" s="81">
        <f t="shared" si="22"/>
        <v>0</v>
      </c>
      <c r="Q73" s="81">
        <f t="shared" si="23"/>
        <v>0</v>
      </c>
      <c r="R73" s="81">
        <f t="shared" si="24"/>
        <v>0</v>
      </c>
      <c r="S73" s="81">
        <f t="shared" si="40"/>
        <v>0</v>
      </c>
      <c r="T73" s="281">
        <f t="shared" si="59"/>
        <v>0</v>
      </c>
      <c r="U73" s="120"/>
      <c r="V73" s="195">
        <f t="shared" si="55"/>
        <v>0</v>
      </c>
    </row>
    <row r="74" spans="1:22" ht="12.75" customHeight="1" x14ac:dyDescent="0.25">
      <c r="A74" s="14" t="s">
        <v>77</v>
      </c>
      <c r="B74" s="20" t="s">
        <v>78</v>
      </c>
      <c r="C74" s="721">
        <v>600000</v>
      </c>
      <c r="D74" s="272">
        <v>600000</v>
      </c>
      <c r="E74" s="272">
        <v>600000</v>
      </c>
      <c r="F74" s="272">
        <v>600000</v>
      </c>
      <c r="G74" s="272"/>
      <c r="H74" s="272">
        <v>242000</v>
      </c>
      <c r="I74" s="272">
        <v>273000</v>
      </c>
      <c r="J74" s="272">
        <v>286000</v>
      </c>
      <c r="K74" s="272"/>
      <c r="L74" s="593">
        <f t="shared" si="37"/>
        <v>0.40333333333333332</v>
      </c>
      <c r="M74" s="593">
        <f t="shared" si="38"/>
        <v>0.45500000000000002</v>
      </c>
      <c r="N74" s="593">
        <f t="shared" si="39"/>
        <v>0.47666666666666668</v>
      </c>
      <c r="O74" s="272"/>
      <c r="P74" s="81">
        <f t="shared" si="22"/>
        <v>0</v>
      </c>
      <c r="Q74" s="81">
        <f t="shared" si="23"/>
        <v>0</v>
      </c>
      <c r="R74" s="81">
        <f t="shared" si="24"/>
        <v>0</v>
      </c>
      <c r="S74" s="81">
        <f t="shared" si="40"/>
        <v>0</v>
      </c>
      <c r="T74" s="281">
        <f t="shared" si="59"/>
        <v>0</v>
      </c>
      <c r="U74" s="120"/>
      <c r="V74" s="195">
        <f t="shared" si="55"/>
        <v>0</v>
      </c>
    </row>
    <row r="75" spans="1:22" ht="12.75" customHeight="1" x14ac:dyDescent="0.25">
      <c r="A75" s="14"/>
      <c r="B75" s="20" t="s">
        <v>99</v>
      </c>
      <c r="C75" s="721"/>
      <c r="D75" s="272"/>
      <c r="E75" s="272"/>
      <c r="F75" s="272"/>
      <c r="G75" s="272"/>
      <c r="H75" s="272"/>
      <c r="I75" s="272"/>
      <c r="J75" s="272"/>
      <c r="K75" s="272"/>
      <c r="L75" s="593">
        <f t="shared" si="37"/>
        <v>0</v>
      </c>
      <c r="M75" s="593">
        <f t="shared" si="38"/>
        <v>0</v>
      </c>
      <c r="N75" s="593">
        <f t="shared" si="39"/>
        <v>0</v>
      </c>
      <c r="O75" s="272"/>
      <c r="P75" s="81">
        <f t="shared" si="22"/>
        <v>0</v>
      </c>
      <c r="Q75" s="81">
        <f t="shared" si="23"/>
        <v>0</v>
      </c>
      <c r="R75" s="81">
        <f t="shared" si="24"/>
        <v>0</v>
      </c>
      <c r="S75" s="81">
        <f t="shared" si="40"/>
        <v>0</v>
      </c>
      <c r="T75" s="281">
        <f t="shared" si="59"/>
        <v>0</v>
      </c>
      <c r="U75" s="120"/>
      <c r="V75" s="195">
        <f t="shared" si="55"/>
        <v>0</v>
      </c>
    </row>
    <row r="76" spans="1:22" ht="12.75" customHeight="1" x14ac:dyDescent="0.25">
      <c r="A76" s="14" t="s">
        <v>79</v>
      </c>
      <c r="B76" s="20" t="s">
        <v>80</v>
      </c>
      <c r="C76" s="721"/>
      <c r="D76" s="272"/>
      <c r="E76" s="272"/>
      <c r="F76" s="272"/>
      <c r="G76" s="272"/>
      <c r="H76" s="272"/>
      <c r="I76" s="272"/>
      <c r="J76" s="272"/>
      <c r="K76" s="272"/>
      <c r="L76" s="593">
        <f t="shared" si="37"/>
        <v>0</v>
      </c>
      <c r="M76" s="593">
        <f t="shared" si="38"/>
        <v>0</v>
      </c>
      <c r="N76" s="593">
        <f t="shared" si="39"/>
        <v>0</v>
      </c>
      <c r="O76" s="272"/>
      <c r="P76" s="81">
        <f t="shared" si="22"/>
        <v>0</v>
      </c>
      <c r="Q76" s="81">
        <f t="shared" si="23"/>
        <v>0</v>
      </c>
      <c r="R76" s="81">
        <f t="shared" si="24"/>
        <v>0</v>
      </c>
      <c r="S76" s="81">
        <f t="shared" si="40"/>
        <v>0</v>
      </c>
      <c r="T76" s="281">
        <f t="shared" si="59"/>
        <v>0</v>
      </c>
      <c r="U76" s="120"/>
      <c r="V76" s="195">
        <f t="shared" si="55"/>
        <v>0</v>
      </c>
    </row>
    <row r="77" spans="1:22" ht="30.75" customHeight="1" x14ac:dyDescent="0.25">
      <c r="A77" s="14"/>
      <c r="B77" s="20" t="s">
        <v>104</v>
      </c>
      <c r="C77" s="721"/>
      <c r="D77" s="272"/>
      <c r="E77" s="272"/>
      <c r="F77" s="272"/>
      <c r="G77" s="272"/>
      <c r="H77" s="272"/>
      <c r="I77" s="272"/>
      <c r="J77" s="272"/>
      <c r="K77" s="272"/>
      <c r="L77" s="593">
        <f t="shared" si="37"/>
        <v>0</v>
      </c>
      <c r="M77" s="593">
        <f t="shared" si="38"/>
        <v>0</v>
      </c>
      <c r="N77" s="593">
        <f t="shared" si="39"/>
        <v>0</v>
      </c>
      <c r="O77" s="272"/>
      <c r="P77" s="81">
        <f t="shared" si="22"/>
        <v>0</v>
      </c>
      <c r="Q77" s="81">
        <f t="shared" si="23"/>
        <v>0</v>
      </c>
      <c r="R77" s="81">
        <f t="shared" si="24"/>
        <v>0</v>
      </c>
      <c r="S77" s="81">
        <f t="shared" si="40"/>
        <v>0</v>
      </c>
      <c r="T77" s="281">
        <f t="shared" si="59"/>
        <v>0</v>
      </c>
      <c r="U77" s="120"/>
      <c r="V77" s="195">
        <f t="shared" si="55"/>
        <v>0</v>
      </c>
    </row>
    <row r="78" spans="1:22" ht="12.75" customHeight="1" x14ac:dyDescent="0.25">
      <c r="A78" s="14" t="s">
        <v>82</v>
      </c>
      <c r="B78" s="20" t="s">
        <v>83</v>
      </c>
      <c r="C78" s="721"/>
      <c r="D78" s="272"/>
      <c r="E78" s="272"/>
      <c r="F78" s="272"/>
      <c r="G78" s="272"/>
      <c r="H78" s="272"/>
      <c r="I78" s="272"/>
      <c r="J78" s="272"/>
      <c r="K78" s="272"/>
      <c r="L78" s="593">
        <f t="shared" si="37"/>
        <v>0</v>
      </c>
      <c r="M78" s="593">
        <f t="shared" si="38"/>
        <v>0</v>
      </c>
      <c r="N78" s="593">
        <f t="shared" si="39"/>
        <v>0</v>
      </c>
      <c r="O78" s="272"/>
      <c r="P78" s="81">
        <f t="shared" si="22"/>
        <v>0</v>
      </c>
      <c r="Q78" s="81">
        <f t="shared" si="23"/>
        <v>0</v>
      </c>
      <c r="R78" s="81">
        <f t="shared" si="24"/>
        <v>0</v>
      </c>
      <c r="S78" s="81">
        <f t="shared" si="40"/>
        <v>0</v>
      </c>
      <c r="T78" s="281">
        <f t="shared" si="59"/>
        <v>0</v>
      </c>
      <c r="U78" s="120"/>
      <c r="V78" s="195">
        <f t="shared" si="55"/>
        <v>0</v>
      </c>
    </row>
    <row r="79" spans="1:22" ht="12.75" customHeight="1" x14ac:dyDescent="0.25">
      <c r="A79" s="14"/>
      <c r="B79" s="20" t="s">
        <v>84</v>
      </c>
      <c r="C79" s="721"/>
      <c r="D79" s="272"/>
      <c r="E79" s="272"/>
      <c r="F79" s="272"/>
      <c r="G79" s="272"/>
      <c r="H79" s="272"/>
      <c r="I79" s="272"/>
      <c r="J79" s="272"/>
      <c r="K79" s="272"/>
      <c r="L79" s="593">
        <f t="shared" si="37"/>
        <v>0</v>
      </c>
      <c r="M79" s="593">
        <f t="shared" si="38"/>
        <v>0</v>
      </c>
      <c r="N79" s="593">
        <f t="shared" si="39"/>
        <v>0</v>
      </c>
      <c r="O79" s="272"/>
      <c r="P79" s="81">
        <f t="shared" si="22"/>
        <v>0</v>
      </c>
      <c r="Q79" s="81">
        <f t="shared" si="23"/>
        <v>0</v>
      </c>
      <c r="R79" s="81">
        <f t="shared" si="24"/>
        <v>0</v>
      </c>
      <c r="S79" s="81">
        <f t="shared" si="40"/>
        <v>0</v>
      </c>
      <c r="T79" s="281">
        <f t="shared" si="59"/>
        <v>0</v>
      </c>
      <c r="U79" s="120"/>
      <c r="V79" s="195">
        <f t="shared" si="55"/>
        <v>0</v>
      </c>
    </row>
    <row r="80" spans="1:22" ht="12.75" customHeight="1" x14ac:dyDescent="0.25">
      <c r="A80" s="14" t="s">
        <v>85</v>
      </c>
      <c r="B80" s="20" t="s">
        <v>86</v>
      </c>
      <c r="C80" s="721">
        <v>10000</v>
      </c>
      <c r="D80" s="272">
        <v>10000</v>
      </c>
      <c r="E80" s="272">
        <v>10000</v>
      </c>
      <c r="F80" s="272">
        <v>10000</v>
      </c>
      <c r="G80" s="272"/>
      <c r="H80" s="272">
        <v>2537</v>
      </c>
      <c r="I80" s="272">
        <v>3313</v>
      </c>
      <c r="J80" s="272">
        <v>4522</v>
      </c>
      <c r="K80" s="272"/>
      <c r="L80" s="593">
        <f t="shared" si="37"/>
        <v>0.25369999999999998</v>
      </c>
      <c r="M80" s="593">
        <f t="shared" si="38"/>
        <v>0.33129999999999998</v>
      </c>
      <c r="N80" s="593">
        <f t="shared" si="39"/>
        <v>0.45219999999999999</v>
      </c>
      <c r="O80" s="272"/>
      <c r="P80" s="81">
        <f t="shared" si="22"/>
        <v>0</v>
      </c>
      <c r="Q80" s="81">
        <f t="shared" si="23"/>
        <v>0</v>
      </c>
      <c r="R80" s="81">
        <f t="shared" si="24"/>
        <v>0</v>
      </c>
      <c r="S80" s="81">
        <f t="shared" si="40"/>
        <v>0</v>
      </c>
      <c r="T80" s="281">
        <f t="shared" si="59"/>
        <v>0</v>
      </c>
      <c r="U80" s="120"/>
      <c r="V80" s="195">
        <f t="shared" si="55"/>
        <v>0</v>
      </c>
    </row>
    <row r="81" spans="1:24" ht="56.25" customHeight="1" x14ac:dyDescent="0.25">
      <c r="A81" s="14"/>
      <c r="B81" s="20" t="s">
        <v>90</v>
      </c>
      <c r="C81" s="721"/>
      <c r="D81" s="272"/>
      <c r="E81" s="272"/>
      <c r="F81" s="272"/>
      <c r="G81" s="272"/>
      <c r="H81" s="272"/>
      <c r="I81" s="272"/>
      <c r="J81" s="272"/>
      <c r="K81" s="272"/>
      <c r="L81" s="593">
        <f t="shared" si="37"/>
        <v>0</v>
      </c>
      <c r="M81" s="593">
        <f t="shared" si="38"/>
        <v>0</v>
      </c>
      <c r="N81" s="593">
        <f t="shared" si="39"/>
        <v>0</v>
      </c>
      <c r="O81" s="272"/>
      <c r="P81" s="81">
        <f t="shared" si="22"/>
        <v>0</v>
      </c>
      <c r="Q81" s="81">
        <f t="shared" si="23"/>
        <v>0</v>
      </c>
      <c r="R81" s="81">
        <f t="shared" si="24"/>
        <v>0</v>
      </c>
      <c r="S81" s="81">
        <f t="shared" si="40"/>
        <v>0</v>
      </c>
      <c r="T81" s="281">
        <f t="shared" si="59"/>
        <v>0</v>
      </c>
      <c r="U81" s="120"/>
      <c r="V81" s="195">
        <f t="shared" si="55"/>
        <v>0</v>
      </c>
    </row>
    <row r="82" spans="1:24" ht="12.75" customHeight="1" x14ac:dyDescent="0.25">
      <c r="A82" s="283"/>
      <c r="B82" s="284"/>
      <c r="C82" s="722"/>
      <c r="D82" s="285"/>
      <c r="E82" s="285"/>
      <c r="F82" s="285"/>
      <c r="G82" s="285"/>
      <c r="H82" s="285"/>
      <c r="I82" s="285"/>
      <c r="J82" s="285"/>
      <c r="K82" s="285"/>
      <c r="L82" s="609">
        <f t="shared" si="37"/>
        <v>0</v>
      </c>
      <c r="M82" s="609">
        <f t="shared" si="38"/>
        <v>0</v>
      </c>
      <c r="N82" s="609">
        <f t="shared" si="39"/>
        <v>0</v>
      </c>
      <c r="O82" s="285"/>
      <c r="P82" s="286"/>
      <c r="Q82" s="286"/>
      <c r="R82" s="286"/>
      <c r="S82" s="286">
        <f t="shared" si="40"/>
        <v>0</v>
      </c>
      <c r="T82" s="287"/>
      <c r="U82" s="288"/>
      <c r="V82" s="195"/>
    </row>
    <row r="83" spans="1:24" s="42" customFormat="1" ht="12.75" customHeight="1" x14ac:dyDescent="0.25">
      <c r="A83" s="4" t="s">
        <v>154</v>
      </c>
      <c r="B83" s="3" t="s">
        <v>155</v>
      </c>
      <c r="C83" s="277">
        <f>SUM(C84:C85)</f>
        <v>300000</v>
      </c>
      <c r="D83" s="277">
        <f t="shared" ref="D83:F83" si="60">SUM(D84:D85)</f>
        <v>300000</v>
      </c>
      <c r="E83" s="277">
        <f t="shared" si="60"/>
        <v>300000</v>
      </c>
      <c r="F83" s="277">
        <f t="shared" si="60"/>
        <v>726240</v>
      </c>
      <c r="G83" s="277"/>
      <c r="H83" s="277">
        <f t="shared" ref="H83:J83" si="61">SUM(H84:H85)</f>
        <v>0</v>
      </c>
      <c r="I83" s="277">
        <f t="shared" si="61"/>
        <v>0</v>
      </c>
      <c r="J83" s="277">
        <f t="shared" si="61"/>
        <v>726240</v>
      </c>
      <c r="K83" s="277"/>
      <c r="L83" s="590">
        <f t="shared" si="37"/>
        <v>0</v>
      </c>
      <c r="M83" s="590">
        <f t="shared" si="38"/>
        <v>0</v>
      </c>
      <c r="N83" s="590">
        <f t="shared" si="39"/>
        <v>2.4207999999999998</v>
      </c>
      <c r="O83" s="277"/>
      <c r="P83" s="277">
        <f t="shared" ref="P83:P88" si="62">+(D83-C83)*P$10</f>
        <v>0</v>
      </c>
      <c r="Q83" s="277">
        <f t="shared" ref="Q83:Q88" si="63">+(E83-D83)*Q$10</f>
        <v>0</v>
      </c>
      <c r="R83" s="277">
        <f t="shared" ref="R83:R88" si="64">+(F83-E83)*R$10</f>
        <v>0</v>
      </c>
      <c r="S83" s="277">
        <f t="shared" si="40"/>
        <v>0</v>
      </c>
      <c r="T83" s="282">
        <f t="shared" ref="T83:T88" si="65">IF(C83=0,0,+S83/C83)</f>
        <v>0</v>
      </c>
      <c r="U83" s="120"/>
      <c r="V83" s="195">
        <f t="shared" ref="V83:V88" si="66">+S83-E83+C83</f>
        <v>0</v>
      </c>
    </row>
    <row r="84" spans="1:24" ht="12.75" customHeight="1" x14ac:dyDescent="0.25">
      <c r="A84" s="14"/>
      <c r="B84" s="20"/>
      <c r="C84" s="273">
        <v>300000</v>
      </c>
      <c r="D84" s="272">
        <v>300000</v>
      </c>
      <c r="E84" s="272">
        <v>300000</v>
      </c>
      <c r="F84" s="272">
        <v>726240</v>
      </c>
      <c r="G84" s="272"/>
      <c r="H84" s="272">
        <v>0</v>
      </c>
      <c r="I84" s="300">
        <v>0</v>
      </c>
      <c r="J84" s="272">
        <v>726240</v>
      </c>
      <c r="K84" s="272"/>
      <c r="L84" s="599">
        <f t="shared" si="37"/>
        <v>0</v>
      </c>
      <c r="M84" s="599">
        <f t="shared" si="38"/>
        <v>0</v>
      </c>
      <c r="N84" s="599">
        <f t="shared" si="39"/>
        <v>2.4207999999999998</v>
      </c>
      <c r="O84" s="272"/>
      <c r="P84" s="81">
        <f t="shared" si="62"/>
        <v>0</v>
      </c>
      <c r="Q84" s="81">
        <f t="shared" si="63"/>
        <v>0</v>
      </c>
      <c r="R84" s="81">
        <f t="shared" si="64"/>
        <v>0</v>
      </c>
      <c r="S84" s="81">
        <f t="shared" si="40"/>
        <v>0</v>
      </c>
      <c r="T84" s="281">
        <f t="shared" si="65"/>
        <v>0</v>
      </c>
      <c r="U84" s="120"/>
      <c r="V84" s="195">
        <f t="shared" si="66"/>
        <v>0</v>
      </c>
    </row>
    <row r="85" spans="1:24" ht="12.75" hidden="1" customHeight="1" x14ac:dyDescent="0.25">
      <c r="A85" s="14"/>
      <c r="B85" s="20"/>
      <c r="C85" s="273"/>
      <c r="D85" s="272"/>
      <c r="E85" s="272"/>
      <c r="F85" s="272"/>
      <c r="G85" s="272"/>
      <c r="H85" s="272"/>
      <c r="I85" s="272"/>
      <c r="J85" s="272"/>
      <c r="K85" s="272"/>
      <c r="L85" s="592">
        <f t="shared" si="37"/>
        <v>0</v>
      </c>
      <c r="M85" s="592">
        <f t="shared" si="38"/>
        <v>0</v>
      </c>
      <c r="N85" s="592">
        <f t="shared" si="39"/>
        <v>0</v>
      </c>
      <c r="O85" s="272"/>
      <c r="P85" s="81">
        <f t="shared" si="62"/>
        <v>0</v>
      </c>
      <c r="Q85" s="81">
        <f t="shared" si="63"/>
        <v>0</v>
      </c>
      <c r="R85" s="81">
        <f t="shared" si="64"/>
        <v>0</v>
      </c>
      <c r="S85" s="81">
        <f t="shared" si="40"/>
        <v>0</v>
      </c>
      <c r="T85" s="281">
        <f t="shared" si="65"/>
        <v>0</v>
      </c>
      <c r="U85" s="120"/>
      <c r="V85" s="195">
        <f t="shared" si="66"/>
        <v>0</v>
      </c>
    </row>
    <row r="86" spans="1:24" s="42" customFormat="1" ht="12.75" customHeight="1" x14ac:dyDescent="0.25">
      <c r="A86" s="4" t="s">
        <v>169</v>
      </c>
      <c r="B86" s="3" t="s">
        <v>170</v>
      </c>
      <c r="C86" s="277">
        <f>SUM(C87:C88)</f>
        <v>0</v>
      </c>
      <c r="D86" s="277">
        <f t="shared" ref="D86:F86" si="67">SUM(D87:D88)</f>
        <v>0</v>
      </c>
      <c r="E86" s="277">
        <f t="shared" si="67"/>
        <v>0</v>
      </c>
      <c r="F86" s="277">
        <f t="shared" si="67"/>
        <v>0</v>
      </c>
      <c r="G86" s="277"/>
      <c r="H86" s="277">
        <f t="shared" ref="H86:J86" si="68">SUM(H87:H88)</f>
        <v>0</v>
      </c>
      <c r="I86" s="277">
        <f t="shared" si="68"/>
        <v>0</v>
      </c>
      <c r="J86" s="277">
        <f t="shared" si="68"/>
        <v>0</v>
      </c>
      <c r="K86" s="277"/>
      <c r="L86" s="590">
        <f t="shared" si="37"/>
        <v>0</v>
      </c>
      <c r="M86" s="590">
        <f t="shared" si="38"/>
        <v>0</v>
      </c>
      <c r="N86" s="590">
        <f t="shared" si="39"/>
        <v>0</v>
      </c>
      <c r="O86" s="277"/>
      <c r="P86" s="277">
        <f t="shared" si="62"/>
        <v>0</v>
      </c>
      <c r="Q86" s="277">
        <f t="shared" si="63"/>
        <v>0</v>
      </c>
      <c r="R86" s="277">
        <f t="shared" si="64"/>
        <v>0</v>
      </c>
      <c r="S86" s="277">
        <f t="shared" si="40"/>
        <v>0</v>
      </c>
      <c r="T86" s="282">
        <f t="shared" si="65"/>
        <v>0</v>
      </c>
      <c r="U86" s="120"/>
      <c r="V86" s="195">
        <f t="shared" si="66"/>
        <v>0</v>
      </c>
    </row>
    <row r="87" spans="1:24" ht="12.75" customHeight="1" x14ac:dyDescent="0.25">
      <c r="A87" s="14"/>
      <c r="B87" s="20"/>
      <c r="C87" s="273"/>
      <c r="D87" s="272"/>
      <c r="E87" s="272"/>
      <c r="F87" s="272"/>
      <c r="G87" s="272"/>
      <c r="H87" s="272"/>
      <c r="I87" s="300"/>
      <c r="J87" s="272"/>
      <c r="K87" s="272"/>
      <c r="L87" s="599">
        <f t="shared" si="37"/>
        <v>0</v>
      </c>
      <c r="M87" s="599">
        <f t="shared" si="38"/>
        <v>0</v>
      </c>
      <c r="N87" s="599">
        <f t="shared" si="39"/>
        <v>0</v>
      </c>
      <c r="O87" s="272"/>
      <c r="P87" s="81">
        <f t="shared" si="62"/>
        <v>0</v>
      </c>
      <c r="Q87" s="81">
        <f t="shared" si="63"/>
        <v>0</v>
      </c>
      <c r="R87" s="81">
        <f t="shared" si="64"/>
        <v>0</v>
      </c>
      <c r="S87" s="81">
        <f t="shared" si="40"/>
        <v>0</v>
      </c>
      <c r="T87" s="281">
        <f t="shared" si="65"/>
        <v>0</v>
      </c>
      <c r="U87" s="120"/>
      <c r="V87" s="195">
        <f t="shared" si="66"/>
        <v>0</v>
      </c>
    </row>
    <row r="88" spans="1:24" ht="12.75" hidden="1" customHeight="1" x14ac:dyDescent="0.25">
      <c r="A88" s="14"/>
      <c r="B88" s="20"/>
      <c r="C88" s="273"/>
      <c r="D88" s="272"/>
      <c r="E88" s="272"/>
      <c r="F88" s="272"/>
      <c r="G88" s="272"/>
      <c r="H88" s="272"/>
      <c r="I88" s="272"/>
      <c r="J88" s="272"/>
      <c r="K88" s="272"/>
      <c r="L88" s="592">
        <f t="shared" si="37"/>
        <v>0</v>
      </c>
      <c r="M88" s="592">
        <f t="shared" si="38"/>
        <v>0</v>
      </c>
      <c r="N88" s="592">
        <f t="shared" si="39"/>
        <v>0</v>
      </c>
      <c r="O88" s="272"/>
      <c r="P88" s="81">
        <f t="shared" si="62"/>
        <v>0</v>
      </c>
      <c r="Q88" s="81">
        <f t="shared" si="63"/>
        <v>0</v>
      </c>
      <c r="R88" s="81">
        <f t="shared" si="64"/>
        <v>0</v>
      </c>
      <c r="S88" s="81">
        <f t="shared" si="40"/>
        <v>0</v>
      </c>
      <c r="T88" s="281">
        <f t="shared" si="65"/>
        <v>0</v>
      </c>
      <c r="U88" s="120"/>
      <c r="V88" s="195">
        <f t="shared" si="66"/>
        <v>0</v>
      </c>
    </row>
    <row r="89" spans="1:24" ht="21" customHeight="1" x14ac:dyDescent="0.25">
      <c r="A89" s="481"/>
      <c r="B89" s="471" t="s">
        <v>371</v>
      </c>
      <c r="C89" s="472">
        <f>C13+C29+C32+C83+C86</f>
        <v>78123000</v>
      </c>
      <c r="D89" s="472">
        <f t="shared" ref="D89:J89" si="69">D13+D29+D32+D83+D86</f>
        <v>78123000</v>
      </c>
      <c r="E89" s="472">
        <f t="shared" si="69"/>
        <v>78123000</v>
      </c>
      <c r="F89" s="472">
        <f t="shared" si="69"/>
        <v>78123000</v>
      </c>
      <c r="G89" s="472"/>
      <c r="H89" s="472">
        <f t="shared" si="69"/>
        <v>36621235</v>
      </c>
      <c r="I89" s="472">
        <f t="shared" si="69"/>
        <v>55164510</v>
      </c>
      <c r="J89" s="472">
        <f t="shared" si="69"/>
        <v>76356642</v>
      </c>
      <c r="K89" s="474"/>
      <c r="L89" s="596">
        <f t="shared" si="37"/>
        <v>0.46876380835349385</v>
      </c>
      <c r="M89" s="596">
        <f t="shared" si="38"/>
        <v>0.70612380476940206</v>
      </c>
      <c r="N89" s="596">
        <f t="shared" si="39"/>
        <v>0.97739003878499287</v>
      </c>
      <c r="O89" s="474"/>
      <c r="P89" s="472">
        <f t="shared" si="22"/>
        <v>0</v>
      </c>
      <c r="Q89" s="472">
        <f t="shared" si="23"/>
        <v>0</v>
      </c>
      <c r="R89" s="472">
        <f t="shared" si="24"/>
        <v>0</v>
      </c>
      <c r="S89" s="472">
        <f t="shared" si="40"/>
        <v>0</v>
      </c>
      <c r="T89" s="475">
        <f t="shared" ref="T89:T102" si="70">IF(C89=0,0,+S89/C89)</f>
        <v>0</v>
      </c>
      <c r="U89" s="479"/>
      <c r="V89" s="480">
        <f t="shared" si="55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05"/>
      <c r="M90" s="605"/>
      <c r="N90" s="605"/>
      <c r="O90" s="98"/>
      <c r="P90" s="98"/>
      <c r="Q90" s="98"/>
      <c r="R90" s="98"/>
      <c r="S90" s="98"/>
      <c r="T90" s="98"/>
      <c r="U90" s="22"/>
      <c r="V90" s="195">
        <f t="shared" si="55"/>
        <v>0</v>
      </c>
      <c r="W90" s="122"/>
      <c r="X90" s="122"/>
    </row>
    <row r="91" spans="1:24" ht="10.35" customHeight="1" x14ac:dyDescent="0.25">
      <c r="A91" s="466"/>
      <c r="B91" s="466"/>
      <c r="C91" s="467"/>
      <c r="D91" s="468"/>
      <c r="E91" s="468"/>
      <c r="F91" s="468"/>
      <c r="G91" s="468"/>
      <c r="H91" s="468"/>
      <c r="I91" s="468"/>
      <c r="J91" s="468"/>
      <c r="K91" s="468"/>
      <c r="L91" s="606"/>
      <c r="M91" s="606"/>
      <c r="N91" s="606"/>
      <c r="O91" s="468"/>
      <c r="P91" s="468"/>
      <c r="Q91" s="468"/>
      <c r="R91" s="468"/>
      <c r="S91" s="468"/>
      <c r="T91" s="468"/>
      <c r="U91" s="469"/>
      <c r="V91" s="470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05"/>
      <c r="M92" s="605"/>
      <c r="N92" s="605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4" s="42" customFormat="1" ht="12.75" customHeight="1" x14ac:dyDescent="0.25">
      <c r="A93" s="4" t="s">
        <v>237</v>
      </c>
      <c r="B93" s="3" t="s">
        <v>238</v>
      </c>
      <c r="C93" s="277">
        <f>SUM(C94:C94)</f>
        <v>0</v>
      </c>
      <c r="D93" s="277">
        <f>SUM(D94:D94)</f>
        <v>0</v>
      </c>
      <c r="E93" s="277">
        <f>SUM(E94:E94)</f>
        <v>0</v>
      </c>
      <c r="F93" s="277">
        <f>SUM(F94:F94)</f>
        <v>0</v>
      </c>
      <c r="G93" s="277"/>
      <c r="H93" s="277">
        <f>SUM(H94:H94)</f>
        <v>0</v>
      </c>
      <c r="I93" s="277">
        <f>SUM(I94:I94)</f>
        <v>0</v>
      </c>
      <c r="J93" s="277">
        <f>SUM(J94:J94)</f>
        <v>0</v>
      </c>
      <c r="K93" s="277"/>
      <c r="L93" s="590">
        <f t="shared" ref="L93:L102" si="71">IF(H93&gt;0,H93/C93,0)</f>
        <v>0</v>
      </c>
      <c r="M93" s="590">
        <f t="shared" ref="M93:M102" si="72">IF(I93&gt;0,I93/D93,0)</f>
        <v>0</v>
      </c>
      <c r="N93" s="590">
        <f t="shared" ref="N93:N102" si="73">IF(J93&gt;0,J93/E93,0)</f>
        <v>0</v>
      </c>
      <c r="O93" s="277"/>
      <c r="P93" s="277">
        <f t="shared" ref="P93:P94" si="74">+(D93-C93)*P$10</f>
        <v>0</v>
      </c>
      <c r="Q93" s="277">
        <f t="shared" ref="Q93:Q94" si="75">+(E93-D93)*Q$10</f>
        <v>0</v>
      </c>
      <c r="R93" s="277">
        <f t="shared" ref="R93:R94" si="76">+(F93-E93)*R$10</f>
        <v>0</v>
      </c>
      <c r="S93" s="277">
        <f t="shared" ref="S93:S102" si="77">+P93*P$10+Q93*Q$10+R93*R$10</f>
        <v>0</v>
      </c>
      <c r="T93" s="282">
        <f t="shared" ref="T93:T94" si="78">IF(C93=0,0,+S93/C93)</f>
        <v>0</v>
      </c>
      <c r="U93" s="120"/>
      <c r="V93" s="195">
        <f t="shared" ref="V93:V94" si="79">+S93-E93+C93</f>
        <v>0</v>
      </c>
    </row>
    <row r="94" spans="1:24" ht="12.75" customHeight="1" x14ac:dyDescent="0.25">
      <c r="A94" s="14"/>
      <c r="B94" s="20"/>
      <c r="C94" s="273"/>
      <c r="D94" s="272"/>
      <c r="E94" s="272"/>
      <c r="F94" s="272"/>
      <c r="G94" s="272"/>
      <c r="H94" s="272"/>
      <c r="I94" s="300"/>
      <c r="J94" s="272"/>
      <c r="K94" s="272"/>
      <c r="L94" s="599">
        <f t="shared" si="71"/>
        <v>0</v>
      </c>
      <c r="M94" s="599">
        <f t="shared" si="72"/>
        <v>0</v>
      </c>
      <c r="N94" s="599">
        <f t="shared" si="73"/>
        <v>0</v>
      </c>
      <c r="O94" s="272"/>
      <c r="P94" s="81">
        <f t="shared" si="74"/>
        <v>0</v>
      </c>
      <c r="Q94" s="81">
        <f t="shared" si="75"/>
        <v>0</v>
      </c>
      <c r="R94" s="81">
        <f t="shared" si="76"/>
        <v>0</v>
      </c>
      <c r="S94" s="81">
        <f t="shared" si="77"/>
        <v>0</v>
      </c>
      <c r="T94" s="281">
        <f t="shared" si="78"/>
        <v>0</v>
      </c>
      <c r="U94" s="120"/>
      <c r="V94" s="195">
        <f t="shared" si="79"/>
        <v>0</v>
      </c>
    </row>
    <row r="95" spans="1:24" s="42" customFormat="1" ht="12.75" customHeight="1" x14ac:dyDescent="0.25">
      <c r="A95" s="4" t="s">
        <v>278</v>
      </c>
      <c r="B95" s="3" t="s">
        <v>279</v>
      </c>
      <c r="C95" s="277">
        <f>SUM(C96:C98)</f>
        <v>4110000</v>
      </c>
      <c r="D95" s="277">
        <f>SUM(D96:D98)</f>
        <v>4110000</v>
      </c>
      <c r="E95" s="277">
        <f>SUM(E96:E98)</f>
        <v>4110000</v>
      </c>
      <c r="F95" s="277">
        <f>SUM(F96:F98)</f>
        <v>4110000</v>
      </c>
      <c r="G95" s="277"/>
      <c r="H95" s="277">
        <f>SUM(H96:H98)</f>
        <v>1848067</v>
      </c>
      <c r="I95" s="277">
        <f>+I96+I97+I98</f>
        <v>2946484</v>
      </c>
      <c r="J95" s="277">
        <f>+J96+J97+J98</f>
        <v>4421197</v>
      </c>
      <c r="K95" s="277"/>
      <c r="L95" s="590">
        <f t="shared" si="71"/>
        <v>0.44965133819951336</v>
      </c>
      <c r="M95" s="590">
        <f t="shared" si="72"/>
        <v>0.71690608272506084</v>
      </c>
      <c r="N95" s="590">
        <f t="shared" si="73"/>
        <v>1.0757170316301703</v>
      </c>
      <c r="O95" s="277"/>
      <c r="P95" s="277">
        <f t="shared" si="22"/>
        <v>0</v>
      </c>
      <c r="Q95" s="277">
        <f t="shared" si="23"/>
        <v>0</v>
      </c>
      <c r="R95" s="277">
        <f t="shared" si="24"/>
        <v>0</v>
      </c>
      <c r="S95" s="277">
        <f t="shared" si="77"/>
        <v>0</v>
      </c>
      <c r="T95" s="282">
        <f t="shared" si="70"/>
        <v>0</v>
      </c>
      <c r="U95" s="120"/>
      <c r="V95" s="195">
        <f t="shared" si="55"/>
        <v>0</v>
      </c>
    </row>
    <row r="96" spans="1:24" ht="27" customHeight="1" x14ac:dyDescent="0.25">
      <c r="A96" s="482" t="s">
        <v>477</v>
      </c>
      <c r="B96" s="20" t="s">
        <v>290</v>
      </c>
      <c r="C96" s="273">
        <f>200000+3500000</f>
        <v>3700000</v>
      </c>
      <c r="D96" s="273">
        <v>3700000</v>
      </c>
      <c r="E96" s="273">
        <v>3700000</v>
      </c>
      <c r="F96" s="273">
        <v>3700000</v>
      </c>
      <c r="G96" s="273"/>
      <c r="H96" s="272">
        <f>63000+1677912</f>
        <v>1740912</v>
      </c>
      <c r="I96" s="272">
        <f>97000+2677742</f>
        <v>2774742</v>
      </c>
      <c r="J96" s="272">
        <f>121500+4053935</f>
        <v>4175435</v>
      </c>
      <c r="K96" s="273"/>
      <c r="L96" s="599">
        <f t="shared" si="71"/>
        <v>0.47051675675675675</v>
      </c>
      <c r="M96" s="599">
        <f t="shared" si="72"/>
        <v>0.74993027027027026</v>
      </c>
      <c r="N96" s="599">
        <f t="shared" si="73"/>
        <v>1.128495945945946</v>
      </c>
      <c r="O96" s="273"/>
      <c r="P96" s="81">
        <f t="shared" si="22"/>
        <v>0</v>
      </c>
      <c r="Q96" s="81">
        <f t="shared" si="23"/>
        <v>0</v>
      </c>
      <c r="R96" s="81">
        <f t="shared" si="24"/>
        <v>0</v>
      </c>
      <c r="S96" s="81">
        <f t="shared" si="77"/>
        <v>0</v>
      </c>
      <c r="T96" s="281">
        <f t="shared" si="70"/>
        <v>0</v>
      </c>
      <c r="U96" s="120"/>
      <c r="V96" s="195">
        <f t="shared" si="55"/>
        <v>0</v>
      </c>
    </row>
    <row r="97" spans="1:22" ht="12.75" customHeight="1" x14ac:dyDescent="0.25">
      <c r="A97" s="14" t="s">
        <v>292</v>
      </c>
      <c r="B97" s="20" t="s">
        <v>293</v>
      </c>
      <c r="C97" s="273">
        <v>400000</v>
      </c>
      <c r="D97" s="273">
        <v>400000</v>
      </c>
      <c r="E97" s="273">
        <v>400000</v>
      </c>
      <c r="F97" s="273">
        <v>400000</v>
      </c>
      <c r="G97" s="273"/>
      <c r="H97" s="272">
        <v>105225</v>
      </c>
      <c r="I97" s="272">
        <v>168906</v>
      </c>
      <c r="J97" s="272">
        <v>242177</v>
      </c>
      <c r="K97" s="273"/>
      <c r="L97" s="599">
        <f t="shared" si="71"/>
        <v>0.26306249999999998</v>
      </c>
      <c r="M97" s="599">
        <f t="shared" si="72"/>
        <v>0.422265</v>
      </c>
      <c r="N97" s="599">
        <f t="shared" si="73"/>
        <v>0.60544249999999999</v>
      </c>
      <c r="O97" s="273"/>
      <c r="P97" s="81">
        <f t="shared" si="22"/>
        <v>0</v>
      </c>
      <c r="Q97" s="81">
        <f t="shared" si="23"/>
        <v>0</v>
      </c>
      <c r="R97" s="81">
        <f t="shared" si="24"/>
        <v>0</v>
      </c>
      <c r="S97" s="81">
        <f t="shared" si="77"/>
        <v>0</v>
      </c>
      <c r="T97" s="281">
        <f t="shared" si="70"/>
        <v>0</v>
      </c>
      <c r="U97" s="120"/>
      <c r="V97" s="195">
        <f t="shared" si="55"/>
        <v>0</v>
      </c>
    </row>
    <row r="98" spans="1:22" ht="26.4" customHeight="1" x14ac:dyDescent="0.25">
      <c r="A98" s="482" t="s">
        <v>475</v>
      </c>
      <c r="B98" s="482" t="s">
        <v>456</v>
      </c>
      <c r="C98" s="273">
        <v>10000</v>
      </c>
      <c r="D98" s="273">
        <f>3000+7000</f>
        <v>10000</v>
      </c>
      <c r="E98" s="273">
        <v>10000</v>
      </c>
      <c r="F98" s="273">
        <v>10000</v>
      </c>
      <c r="G98" s="273"/>
      <c r="H98" s="272">
        <f>99+1831</f>
        <v>1930</v>
      </c>
      <c r="I98" s="272">
        <f>165+2671</f>
        <v>2836</v>
      </c>
      <c r="J98" s="272">
        <f>207+3378</f>
        <v>3585</v>
      </c>
      <c r="K98" s="273"/>
      <c r="L98" s="599">
        <f t="shared" si="71"/>
        <v>0.193</v>
      </c>
      <c r="M98" s="599">
        <f t="shared" si="72"/>
        <v>0.28360000000000002</v>
      </c>
      <c r="N98" s="599">
        <f t="shared" si="73"/>
        <v>0.35849999999999999</v>
      </c>
      <c r="O98" s="273"/>
      <c r="P98" s="81">
        <f t="shared" si="22"/>
        <v>0</v>
      </c>
      <c r="Q98" s="81">
        <f t="shared" si="23"/>
        <v>0</v>
      </c>
      <c r="R98" s="81">
        <f t="shared" si="24"/>
        <v>0</v>
      </c>
      <c r="S98" s="81">
        <f t="shared" si="77"/>
        <v>0</v>
      </c>
      <c r="T98" s="281">
        <f t="shared" si="70"/>
        <v>0</v>
      </c>
      <c r="U98" s="120"/>
      <c r="V98" s="195">
        <f t="shared" si="55"/>
        <v>0</v>
      </c>
    </row>
    <row r="99" spans="1:22" s="42" customFormat="1" ht="12.75" customHeight="1" x14ac:dyDescent="0.25">
      <c r="A99" s="4" t="s">
        <v>327</v>
      </c>
      <c r="B99" s="3" t="s">
        <v>328</v>
      </c>
      <c r="C99" s="277">
        <f>SUM(C100:C101)</f>
        <v>74013000</v>
      </c>
      <c r="D99" s="277">
        <f t="shared" ref="D99:J99" si="80">SUM(D100:D101)</f>
        <v>74013000</v>
      </c>
      <c r="E99" s="277">
        <f t="shared" si="80"/>
        <v>74013000</v>
      </c>
      <c r="F99" s="277">
        <f t="shared" si="80"/>
        <v>74013000</v>
      </c>
      <c r="G99" s="277"/>
      <c r="H99" s="277">
        <f t="shared" si="80"/>
        <v>39215178</v>
      </c>
      <c r="I99" s="277">
        <f t="shared" si="80"/>
        <v>55095060</v>
      </c>
      <c r="J99" s="277">
        <f t="shared" si="80"/>
        <v>72942653</v>
      </c>
      <c r="K99" s="277"/>
      <c r="L99" s="590">
        <f t="shared" si="71"/>
        <v>0.52984175752908269</v>
      </c>
      <c r="M99" s="590">
        <f t="shared" si="72"/>
        <v>0.74439706538040618</v>
      </c>
      <c r="N99" s="590">
        <f t="shared" si="73"/>
        <v>0.98553839190412496</v>
      </c>
      <c r="O99" s="277"/>
      <c r="P99" s="277">
        <f t="shared" si="22"/>
        <v>0</v>
      </c>
      <c r="Q99" s="277">
        <f t="shared" si="23"/>
        <v>0</v>
      </c>
      <c r="R99" s="277">
        <f t="shared" si="24"/>
        <v>0</v>
      </c>
      <c r="S99" s="277">
        <f t="shared" si="77"/>
        <v>0</v>
      </c>
      <c r="T99" s="282">
        <f t="shared" si="70"/>
        <v>0</v>
      </c>
      <c r="U99" s="120"/>
      <c r="V99" s="195">
        <f t="shared" si="55"/>
        <v>0</v>
      </c>
    </row>
    <row r="100" spans="1:22" ht="12.75" customHeight="1" x14ac:dyDescent="0.25">
      <c r="A100" s="14" t="s">
        <v>353</v>
      </c>
      <c r="B100" s="20" t="s">
        <v>378</v>
      </c>
      <c r="C100" s="273">
        <f>+C105</f>
        <v>72679378</v>
      </c>
      <c r="D100" s="272">
        <v>72679378</v>
      </c>
      <c r="E100" s="272">
        <v>72679378</v>
      </c>
      <c r="F100" s="272">
        <v>72679378</v>
      </c>
      <c r="G100" s="272"/>
      <c r="H100" s="272">
        <v>37881556</v>
      </c>
      <c r="I100" s="300">
        <v>53761438</v>
      </c>
      <c r="J100" s="272">
        <v>71609031</v>
      </c>
      <c r="K100" s="272"/>
      <c r="L100" s="599">
        <f t="shared" si="71"/>
        <v>0.52121464220566116</v>
      </c>
      <c r="M100" s="599">
        <f t="shared" si="72"/>
        <v>0.73970690833375041</v>
      </c>
      <c r="N100" s="599">
        <f t="shared" si="73"/>
        <v>0.98527303026726509</v>
      </c>
      <c r="O100" s="272"/>
      <c r="P100" s="81">
        <f t="shared" si="22"/>
        <v>0</v>
      </c>
      <c r="Q100" s="81">
        <f t="shared" si="23"/>
        <v>0</v>
      </c>
      <c r="R100" s="81">
        <f t="shared" si="24"/>
        <v>0</v>
      </c>
      <c r="S100" s="81">
        <f t="shared" si="77"/>
        <v>0</v>
      </c>
      <c r="T100" s="281">
        <f t="shared" si="70"/>
        <v>0</v>
      </c>
      <c r="U100" s="120"/>
      <c r="V100" s="195">
        <f t="shared" si="55"/>
        <v>0</v>
      </c>
    </row>
    <row r="101" spans="1:22" ht="12.75" customHeight="1" x14ac:dyDescent="0.25">
      <c r="A101" s="14" t="s">
        <v>341</v>
      </c>
      <c r="B101" s="20" t="s">
        <v>342</v>
      </c>
      <c r="C101" s="564">
        <v>1333622</v>
      </c>
      <c r="D101" s="272">
        <v>1333622</v>
      </c>
      <c r="E101" s="272">
        <v>1333622</v>
      </c>
      <c r="F101" s="272">
        <v>1333622</v>
      </c>
      <c r="G101" s="272"/>
      <c r="H101" s="272">
        <v>1333622</v>
      </c>
      <c r="I101" s="272">
        <v>1333622</v>
      </c>
      <c r="J101" s="272">
        <v>1333622</v>
      </c>
      <c r="K101" s="272"/>
      <c r="L101" s="592">
        <f t="shared" si="71"/>
        <v>1</v>
      </c>
      <c r="M101" s="592">
        <f t="shared" si="72"/>
        <v>1</v>
      </c>
      <c r="N101" s="592">
        <f t="shared" si="73"/>
        <v>1</v>
      </c>
      <c r="O101" s="272"/>
      <c r="P101" s="81">
        <f t="shared" si="22"/>
        <v>0</v>
      </c>
      <c r="Q101" s="81">
        <f t="shared" si="23"/>
        <v>0</v>
      </c>
      <c r="R101" s="81">
        <f t="shared" si="24"/>
        <v>0</v>
      </c>
      <c r="S101" s="81">
        <f t="shared" si="77"/>
        <v>0</v>
      </c>
      <c r="T101" s="281">
        <f t="shared" si="70"/>
        <v>0</v>
      </c>
      <c r="U101" s="120"/>
      <c r="V101" s="195">
        <f t="shared" si="55"/>
        <v>0</v>
      </c>
    </row>
    <row r="102" spans="1:22" ht="20.25" customHeight="1" x14ac:dyDescent="0.25">
      <c r="A102" s="473"/>
      <c r="B102" s="471" t="s">
        <v>370</v>
      </c>
      <c r="C102" s="472">
        <f>+C95+C99+C93</f>
        <v>78123000</v>
      </c>
      <c r="D102" s="472">
        <f>+D95+D99+D93</f>
        <v>78123000</v>
      </c>
      <c r="E102" s="472">
        <f>+E95+E99+E93</f>
        <v>78123000</v>
      </c>
      <c r="F102" s="472">
        <f>+F95+F99+F93</f>
        <v>78123000</v>
      </c>
      <c r="G102" s="472"/>
      <c r="H102" s="472">
        <f>+H95+H99+H93</f>
        <v>41063245</v>
      </c>
      <c r="I102" s="472">
        <f>+I95+I99+I93</f>
        <v>58041544</v>
      </c>
      <c r="J102" s="472">
        <f>+J95+J99+J93</f>
        <v>77363850</v>
      </c>
      <c r="K102" s="474"/>
      <c r="L102" s="596">
        <f t="shared" si="71"/>
        <v>0.52562299194859385</v>
      </c>
      <c r="M102" s="596">
        <f t="shared" si="72"/>
        <v>0.74295078274003812</v>
      </c>
      <c r="N102" s="596">
        <f t="shared" si="73"/>
        <v>0.99028263123535964</v>
      </c>
      <c r="O102" s="474"/>
      <c r="P102" s="478">
        <f t="shared" ref="P102:R102" si="81">+(D102-C102)*P$10</f>
        <v>0</v>
      </c>
      <c r="Q102" s="478">
        <f t="shared" si="81"/>
        <v>0</v>
      </c>
      <c r="R102" s="478">
        <f t="shared" si="81"/>
        <v>0</v>
      </c>
      <c r="S102" s="478">
        <f t="shared" si="77"/>
        <v>0</v>
      </c>
      <c r="T102" s="475">
        <f t="shared" si="70"/>
        <v>0</v>
      </c>
      <c r="U102" s="476"/>
      <c r="V102" s="477">
        <f t="shared" si="55"/>
        <v>0</v>
      </c>
    </row>
    <row r="103" spans="1:22" ht="12.75" customHeight="1" x14ac:dyDescent="0.25">
      <c r="C103" s="276"/>
      <c r="D103" s="276"/>
      <c r="E103" s="276"/>
      <c r="F103" s="276"/>
      <c r="G103" s="276"/>
      <c r="H103" s="276"/>
      <c r="I103" s="276"/>
      <c r="J103" s="276"/>
      <c r="K103" s="276"/>
      <c r="L103" s="610"/>
      <c r="M103" s="610"/>
      <c r="N103" s="610"/>
      <c r="O103" s="276"/>
      <c r="P103" s="280"/>
      <c r="Q103" s="280"/>
      <c r="R103" s="280"/>
      <c r="S103" s="280"/>
    </row>
    <row r="104" spans="1:22" ht="12.75" customHeight="1" x14ac:dyDescent="0.25">
      <c r="C104" s="276"/>
      <c r="D104" s="276"/>
      <c r="E104" s="276"/>
      <c r="F104" s="276"/>
      <c r="G104" s="276"/>
      <c r="H104" s="276"/>
      <c r="I104" s="276"/>
      <c r="J104" s="276"/>
      <c r="K104" s="276"/>
      <c r="L104" s="605"/>
      <c r="M104" s="605"/>
      <c r="N104" s="605"/>
      <c r="O104" s="276"/>
      <c r="P104" s="280"/>
      <c r="Q104" s="280"/>
      <c r="R104" s="280"/>
      <c r="S104" s="280"/>
    </row>
    <row r="105" spans="1:22" ht="12.75" customHeight="1" x14ac:dyDescent="0.25">
      <c r="C105" s="276">
        <f>+C89-C95-C101</f>
        <v>72679378</v>
      </c>
      <c r="D105" s="276"/>
      <c r="E105" s="276"/>
      <c r="F105" s="276"/>
      <c r="G105" s="276"/>
      <c r="H105" s="276"/>
      <c r="I105" s="276"/>
      <c r="J105" s="276"/>
      <c r="K105" s="276"/>
      <c r="L105" s="605"/>
      <c r="M105" s="605"/>
      <c r="N105" s="605"/>
      <c r="O105" s="276"/>
      <c r="P105" s="280"/>
      <c r="Q105" s="280"/>
      <c r="R105" s="280"/>
      <c r="S105" s="280"/>
    </row>
    <row r="106" spans="1:22" ht="12.75" customHeight="1" x14ac:dyDescent="0.25">
      <c r="C106" s="276"/>
      <c r="D106" s="276"/>
      <c r="E106" s="276"/>
      <c r="F106" s="276"/>
      <c r="G106" s="276"/>
      <c r="H106" s="276"/>
      <c r="I106" s="276"/>
      <c r="J106" s="276"/>
      <c r="K106" s="276"/>
      <c r="L106" s="605"/>
      <c r="M106" s="605"/>
      <c r="N106" s="605"/>
      <c r="O106" s="276"/>
      <c r="P106" s="280"/>
      <c r="Q106" s="280"/>
      <c r="R106" s="280"/>
      <c r="S106" s="280"/>
    </row>
    <row r="107" spans="1:22" ht="12.75" customHeight="1" x14ac:dyDescent="0.25">
      <c r="A107" s="59"/>
      <c r="B107" s="59" t="s">
        <v>464</v>
      </c>
      <c r="C107" s="276" t="e">
        <f>+#REF!</f>
        <v>#REF!</v>
      </c>
      <c r="D107" s="276"/>
      <c r="E107" s="276"/>
      <c r="F107" s="276"/>
      <c r="G107" s="276"/>
      <c r="H107" s="276"/>
      <c r="I107" s="276"/>
      <c r="J107" s="276"/>
      <c r="K107" s="276"/>
      <c r="L107" s="605"/>
      <c r="M107" s="605"/>
      <c r="N107" s="605"/>
      <c r="O107" s="276"/>
      <c r="P107" s="98"/>
      <c r="Q107" s="98"/>
      <c r="R107" s="98"/>
      <c r="S107" s="98"/>
    </row>
    <row r="108" spans="1:22" ht="12.75" customHeight="1" x14ac:dyDescent="0.25">
      <c r="B108" s="715" t="s">
        <v>482</v>
      </c>
      <c r="C108" s="98"/>
      <c r="D108" s="98"/>
      <c r="E108" s="98"/>
      <c r="F108" s="98"/>
      <c r="G108" s="98"/>
      <c r="H108" s="98"/>
      <c r="I108" s="98"/>
      <c r="J108" s="98"/>
      <c r="K108" s="98"/>
      <c r="O108" s="98"/>
      <c r="P108" s="98"/>
      <c r="Q108" s="98"/>
      <c r="R108" s="98"/>
      <c r="S108" s="98"/>
    </row>
  </sheetData>
  <mergeCells count="5">
    <mergeCell ref="C9:F9"/>
    <mergeCell ref="H9:N9"/>
    <mergeCell ref="P9:T9"/>
    <mergeCell ref="H10:J10"/>
    <mergeCell ref="L10:N10"/>
  </mergeCells>
  <phoneticPr fontId="3" type="noConversion"/>
  <printOptions horizontalCentered="1"/>
  <pageMargins left="0" right="0" top="0.59055118110236227" bottom="0" header="0.51181102362204722" footer="0.51181102362204722"/>
  <pageSetup paperSize="9" scale="53" fitToHeight="0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13</vt:i4>
      </vt:variant>
    </vt:vector>
  </HeadingPairs>
  <TitlesOfParts>
    <vt:vector size="25" baseType="lpstr">
      <vt:lpstr>kiadási segédtábla</vt:lpstr>
      <vt:lpstr>bevételi segédtábla</vt:lpstr>
      <vt:lpstr>egységenkénti segédtábla</vt:lpstr>
      <vt:lpstr>1. Sülysáp összesen</vt:lpstr>
      <vt:lpstr> 2. Önk. Bevételek</vt:lpstr>
      <vt:lpstr>3. Önk. Kiadások</vt:lpstr>
      <vt:lpstr>4. Dr Gáspár HSZK</vt:lpstr>
      <vt:lpstr>5. Csicsergő</vt:lpstr>
      <vt:lpstr>6. Gólyahír</vt:lpstr>
      <vt:lpstr>7. Polg.Hiv.</vt:lpstr>
      <vt:lpstr>8. WAMKK</vt:lpstr>
      <vt:lpstr>9. Közp. Konyha</vt:lpstr>
      <vt:lpstr>'egységenkénti segédtábla'!Nyomtatási_cím</vt:lpstr>
      <vt:lpstr>' 2. Önk. Bevételek'!Nyomtatási_terület</vt:lpstr>
      <vt:lpstr>'1. Sülysáp összesen'!Nyomtatási_terület</vt:lpstr>
      <vt:lpstr>'3. Önk. Kiadások'!Nyomtatási_terület</vt:lpstr>
      <vt:lpstr>'4. Dr Gáspár HSZK'!Nyomtatási_terület</vt:lpstr>
      <vt:lpstr>'5. Csicsergő'!Nyomtatási_terület</vt:lpstr>
      <vt:lpstr>'6. Gólyahír'!Nyomtatási_terület</vt:lpstr>
      <vt:lpstr>'7. Polg.Hiv.'!Nyomtatási_terület</vt:lpstr>
      <vt:lpstr>'8. WAMKK'!Nyomtatási_terület</vt:lpstr>
      <vt:lpstr>'9. Közp. Konyha'!Nyomtatási_terület</vt:lpstr>
      <vt:lpstr>'bevételi segédtábla'!Nyomtatási_terület</vt:lpstr>
      <vt:lpstr>'egységenkénti segédtábla'!Nyomtatási_terület</vt:lpstr>
      <vt:lpstr>'kiadási segédtábla'!Nyomtatási_terület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Jegyzo</cp:lastModifiedBy>
  <cp:lastPrinted>2022-05-20T11:08:16Z</cp:lastPrinted>
  <dcterms:created xsi:type="dcterms:W3CDTF">2014-01-15T07:36:54Z</dcterms:created>
  <dcterms:modified xsi:type="dcterms:W3CDTF">2022-05-22T09:06:56Z</dcterms:modified>
</cp:coreProperties>
</file>