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HIVATAL-TK\TESTÜLETI ANYAGOK\Testületi 2020-07-09\"/>
    </mc:Choice>
  </mc:AlternateContent>
  <bookViews>
    <workbookView xWindow="0" yWindow="0" windowWidth="23040" windowHeight="8796" tabRatio="865" firstSheet="1" activeTab="4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2. Önk. Bevételek" sheetId="10" r:id="rId5"/>
    <sheet name="3. Önk. Kiadások" sheetId="9" r:id="rId6"/>
    <sheet name="4. Dr Gáspár HSZK" sheetId="2" r:id="rId7"/>
    <sheet name="5. Csicsergő" sheetId="3" r:id="rId8"/>
    <sheet name="6. Gólyahír" sheetId="4" r:id="rId9"/>
    <sheet name="7. Polg.Hiv." sheetId="5" r:id="rId10"/>
    <sheet name="8. WAMKK" sheetId="6" r:id="rId11"/>
    <sheet name="9. Közp. Konyha" sheetId="7" r:id="rId12"/>
    <sheet name="10.Tám kieg és kötött felh" sheetId="23" r:id="rId13"/>
    <sheet name="11.Tám. szoc., ált., köznev." sheetId="24" r:id="rId14"/>
    <sheet name="12. Mérleg Önk." sheetId="25" r:id="rId15"/>
    <sheet name="13. Konsz. mérleg" sheetId="26" r:id="rId16"/>
    <sheet name="14. Eszközváltozás kimutatás" sheetId="27" r:id="rId17"/>
    <sheet name="15. Vagyonkimutatás Konsz" sheetId="28" r:id="rId18"/>
    <sheet name="16. Eredménykimutatás Önk" sheetId="29" r:id="rId19"/>
    <sheet name="17. Konsz. eredménykim." sheetId="31" r:id="rId20"/>
    <sheet name="18.Konsz. maradványkimutat" sheetId="32" r:id="rId21"/>
    <sheet name="19. Kölcsön és hiteláll." sheetId="33" r:id="rId22"/>
    <sheet name="20_Adósságáll" sheetId="34" r:id="rId23"/>
    <sheet name="21_Pénzeszközök változása" sheetId="35" r:id="rId24"/>
    <sheet name="22_Működési mérleg" sheetId="36" r:id="rId25"/>
    <sheet name="23_Felhalm. mérleg" sheetId="37" r:id="rId26"/>
    <sheet name="24_Beruházások és felújítások" sheetId="38" r:id="rId27"/>
    <sheet name="25. Közvetett támogatások" sheetId="30" r:id="rId28"/>
    <sheet name="26. Uniós projektek" sheetId="39" r:id="rId29"/>
    <sheet name="27. Intézményi létszámadatok" sheetId="40" r:id="rId30"/>
    <sheet name="28_Részesedések" sheetId="45" r:id="rId31"/>
    <sheet name="29. Köt. és önként fel. I." sheetId="41" r:id="rId32"/>
    <sheet name="30. Köt, önként fel. II." sheetId="42" r:id="rId33"/>
  </sheets>
  <externalReferences>
    <externalReference r:id="rId34"/>
  </externalReferences>
  <definedNames>
    <definedName name="_xlnm.Print_Titles" localSheetId="2">'egységenkénti segédtábla'!$7:$10</definedName>
    <definedName name="_xlnm.Print_Area" localSheetId="3">'1. Sülysáp összesen'!$A$1:$V$41</definedName>
    <definedName name="_xlnm.Print_Area" localSheetId="4">'2. Önk. Bevételek'!$A$1:$V$96</definedName>
    <definedName name="_xlnm.Print_Area" localSheetId="23">'21_Pénzeszközök változása'!$A$1:$F$22</definedName>
    <definedName name="_xlnm.Print_Area" localSheetId="5">'3. Önk. Kiadások'!$A$1:$V$168</definedName>
    <definedName name="_xlnm.Print_Area" localSheetId="6">'4. Dr Gáspár HSZK'!$A$1:$V$102</definedName>
    <definedName name="_xlnm.Print_Area" localSheetId="7">'5. Csicsergő'!$A$1:$V$102</definedName>
    <definedName name="_xlnm.Print_Area" localSheetId="8">'6. Gólyahír'!$A$1:$V$102</definedName>
    <definedName name="_xlnm.Print_Area" localSheetId="9">'7. Polg.Hiv.'!$A$1:$V$102</definedName>
    <definedName name="_xlnm.Print_Area" localSheetId="10">'8. WAMKK'!$A$1:$V$102</definedName>
    <definedName name="_xlnm.Print_Area" localSheetId="11">'9. Közp. Konyha'!$A$1:$V$102</definedName>
    <definedName name="_xlnm.Print_Area" localSheetId="1">'bevételi segédtábla'!$A$1:$V$145</definedName>
    <definedName name="_xlnm.Print_Area" localSheetId="2">'egységenkénti segédtábla'!$A$1:$T$197</definedName>
    <definedName name="_xlnm.Print_Area" localSheetId="0">'kiadási segédtábla'!$A$1:$V$146</definedName>
  </definedNames>
  <calcPr calcId="152511"/>
</workbook>
</file>

<file path=xl/calcChain.xml><?xml version="1.0" encoding="utf-8"?>
<calcChain xmlns="http://schemas.openxmlformats.org/spreadsheetml/2006/main">
  <c r="F12" i="45" l="1"/>
  <c r="D11" i="45" l="1"/>
  <c r="D10" i="45"/>
  <c r="D9" i="45"/>
  <c r="D6" i="45"/>
  <c r="D7" i="45"/>
  <c r="E12" i="45"/>
  <c r="C15" i="40" l="1"/>
  <c r="B15" i="40"/>
  <c r="D15" i="40"/>
  <c r="C17" i="39"/>
  <c r="C16" i="39"/>
  <c r="C15" i="39"/>
  <c r="C14" i="39"/>
  <c r="C13" i="39"/>
  <c r="I12" i="39"/>
  <c r="C12" i="39"/>
  <c r="I11" i="39"/>
  <c r="C11" i="39"/>
  <c r="B10" i="41" l="1"/>
  <c r="B9" i="41"/>
  <c r="B11" i="42"/>
  <c r="B10" i="42"/>
  <c r="E48" i="42"/>
  <c r="E46" i="42"/>
  <c r="B58" i="42"/>
  <c r="AD68" i="42"/>
  <c r="AE68" i="42"/>
  <c r="AF68" i="42"/>
  <c r="AD69" i="42"/>
  <c r="AE69" i="42"/>
  <c r="AF69" i="42"/>
  <c r="AD70" i="42"/>
  <c r="AE70" i="42"/>
  <c r="AF70" i="42"/>
  <c r="AF67" i="42"/>
  <c r="AE67" i="42"/>
  <c r="AD67" i="42"/>
  <c r="AF66" i="42"/>
  <c r="AE66" i="42"/>
  <c r="AD66" i="42"/>
  <c r="AD61" i="42"/>
  <c r="AE61" i="42"/>
  <c r="AF61" i="42"/>
  <c r="AD62" i="42"/>
  <c r="AE62" i="42"/>
  <c r="AF62" i="42"/>
  <c r="AD63" i="42"/>
  <c r="AE63" i="42"/>
  <c r="AF63" i="42"/>
  <c r="AD64" i="42"/>
  <c r="AE64" i="42"/>
  <c r="AF64" i="42"/>
  <c r="AE60" i="42"/>
  <c r="AD60" i="42"/>
  <c r="AF59" i="42"/>
  <c r="AE59" i="42"/>
  <c r="AD59" i="42"/>
  <c r="AE53" i="42"/>
  <c r="AF53" i="42"/>
  <c r="AE54" i="42"/>
  <c r="AF54" i="42"/>
  <c r="AE55" i="42"/>
  <c r="AF55" i="42"/>
  <c r="AE56" i="42"/>
  <c r="AF56" i="42"/>
  <c r="AE57" i="42"/>
  <c r="AF57" i="42"/>
  <c r="AF52" i="42"/>
  <c r="AE52" i="42"/>
  <c r="AD55" i="42"/>
  <c r="AD56" i="42"/>
  <c r="AD57" i="42"/>
  <c r="AD54" i="42"/>
  <c r="AD53" i="42"/>
  <c r="AD52" i="42"/>
  <c r="AE43" i="42"/>
  <c r="AF43" i="42"/>
  <c r="AE44" i="42"/>
  <c r="AF44" i="42"/>
  <c r="AE45" i="42"/>
  <c r="AF45" i="42"/>
  <c r="AE46" i="42"/>
  <c r="AF46" i="42"/>
  <c r="AE47" i="42"/>
  <c r="AF47" i="42"/>
  <c r="AE48" i="42"/>
  <c r="AF48" i="42"/>
  <c r="AE49" i="42"/>
  <c r="AF49" i="42"/>
  <c r="AE50" i="42"/>
  <c r="AF50" i="42"/>
  <c r="AD44" i="42"/>
  <c r="AD45" i="42"/>
  <c r="AD46" i="42"/>
  <c r="AD47" i="42"/>
  <c r="AD48" i="42"/>
  <c r="AD49" i="42"/>
  <c r="AD50" i="42"/>
  <c r="AD43" i="42"/>
  <c r="Z65" i="42"/>
  <c r="AB58" i="42"/>
  <c r="AB60" i="42" s="1"/>
  <c r="AA58" i="42"/>
  <c r="Z58" i="42"/>
  <c r="AB51" i="42"/>
  <c r="AA51" i="42"/>
  <c r="Z51" i="42"/>
  <c r="V65" i="42"/>
  <c r="X58" i="42"/>
  <c r="X60" i="42" s="1"/>
  <c r="W58" i="42"/>
  <c r="V58" i="42"/>
  <c r="X51" i="42"/>
  <c r="W51" i="42"/>
  <c r="V51" i="42"/>
  <c r="R65" i="42"/>
  <c r="T58" i="42"/>
  <c r="T60" i="42" s="1"/>
  <c r="S58" i="42"/>
  <c r="R58" i="42"/>
  <c r="T51" i="42"/>
  <c r="S51" i="42"/>
  <c r="R51" i="42"/>
  <c r="N65" i="42"/>
  <c r="P58" i="42"/>
  <c r="P60" i="42" s="1"/>
  <c r="O58" i="42"/>
  <c r="N58" i="42"/>
  <c r="P51" i="42"/>
  <c r="O51" i="42"/>
  <c r="N51" i="42"/>
  <c r="J65" i="42"/>
  <c r="L60" i="42"/>
  <c r="L58" i="42"/>
  <c r="K58" i="42"/>
  <c r="J58" i="42"/>
  <c r="L51" i="42"/>
  <c r="K51" i="42"/>
  <c r="J51" i="42"/>
  <c r="AF36" i="42"/>
  <c r="AE36" i="42"/>
  <c r="AD36" i="42"/>
  <c r="AF35" i="42"/>
  <c r="AE35" i="42"/>
  <c r="AD35" i="42"/>
  <c r="AF34" i="42"/>
  <c r="AE34" i="42"/>
  <c r="AD34" i="42"/>
  <c r="AF33" i="42"/>
  <c r="AE33" i="42"/>
  <c r="AD33" i="42"/>
  <c r="AF30" i="42"/>
  <c r="AE30" i="42"/>
  <c r="AD30" i="42"/>
  <c r="AF29" i="42"/>
  <c r="AE29" i="42"/>
  <c r="AD29" i="42"/>
  <c r="AF28" i="42"/>
  <c r="AE28" i="42"/>
  <c r="AD28" i="42"/>
  <c r="AD25" i="42"/>
  <c r="AE25" i="42"/>
  <c r="AF25" i="42"/>
  <c r="AF24" i="42"/>
  <c r="AE24" i="42"/>
  <c r="AD24" i="42"/>
  <c r="AD21" i="42"/>
  <c r="AE21" i="42"/>
  <c r="AF21" i="42"/>
  <c r="AD22" i="42"/>
  <c r="AE22" i="42"/>
  <c r="AF22" i="42"/>
  <c r="AF20" i="42"/>
  <c r="AE20" i="42"/>
  <c r="AD20" i="42"/>
  <c r="AE8" i="42"/>
  <c r="AF8" i="42"/>
  <c r="AE9" i="42"/>
  <c r="AF9" i="42"/>
  <c r="AE10" i="42"/>
  <c r="AF10" i="42"/>
  <c r="AE11" i="42"/>
  <c r="AF11" i="42"/>
  <c r="AE12" i="42"/>
  <c r="AF12" i="42"/>
  <c r="AE13" i="42"/>
  <c r="AF13" i="42"/>
  <c r="AE14" i="42"/>
  <c r="AF14" i="42"/>
  <c r="AE15" i="42"/>
  <c r="AF15" i="42"/>
  <c r="AE16" i="42"/>
  <c r="AF16" i="42"/>
  <c r="AE17" i="42"/>
  <c r="AF17" i="42"/>
  <c r="AE18" i="42"/>
  <c r="AF18" i="42"/>
  <c r="AD9" i="42"/>
  <c r="AD10" i="42"/>
  <c r="AD11" i="42"/>
  <c r="AD12" i="42"/>
  <c r="AD13" i="42"/>
  <c r="AD14" i="42"/>
  <c r="AD15" i="42"/>
  <c r="AD16" i="42"/>
  <c r="AD17" i="42"/>
  <c r="AD18" i="42"/>
  <c r="AD8" i="42"/>
  <c r="AF19" i="42" l="1"/>
  <c r="U18" i="42"/>
  <c r="U17" i="42"/>
  <c r="U16" i="42"/>
  <c r="U15" i="42"/>
  <c r="U14" i="42"/>
  <c r="U13" i="42"/>
  <c r="U12" i="42"/>
  <c r="U11" i="42"/>
  <c r="U19" i="42" s="1"/>
  <c r="U10" i="42"/>
  <c r="U9" i="42"/>
  <c r="U8" i="42"/>
  <c r="Q18" i="42"/>
  <c r="Q17" i="42"/>
  <c r="Q16" i="42"/>
  <c r="Q15" i="42"/>
  <c r="Q14" i="42"/>
  <c r="Q13" i="42"/>
  <c r="Q12" i="42"/>
  <c r="Q11" i="42"/>
  <c r="Q10" i="42"/>
  <c r="Q19" i="42" s="1"/>
  <c r="Q9" i="42"/>
  <c r="Q8" i="42"/>
  <c r="M18" i="42"/>
  <c r="M17" i="42"/>
  <c r="M16" i="42"/>
  <c r="M15" i="42"/>
  <c r="M14" i="42"/>
  <c r="M13" i="42"/>
  <c r="M12" i="42"/>
  <c r="M11" i="42"/>
  <c r="M10" i="42"/>
  <c r="M9" i="42"/>
  <c r="M8" i="42"/>
  <c r="I18" i="42"/>
  <c r="I17" i="42"/>
  <c r="I16" i="42"/>
  <c r="I15" i="42"/>
  <c r="I14" i="42"/>
  <c r="I13" i="42"/>
  <c r="I12" i="42"/>
  <c r="I11" i="42"/>
  <c r="I10" i="42"/>
  <c r="I9" i="42"/>
  <c r="I8" i="42"/>
  <c r="I19" i="42" s="1"/>
  <c r="E18" i="42"/>
  <c r="E17" i="42"/>
  <c r="E16" i="42"/>
  <c r="E15" i="42"/>
  <c r="E14" i="42"/>
  <c r="E13" i="42"/>
  <c r="E12" i="42"/>
  <c r="E11" i="42"/>
  <c r="E10" i="42"/>
  <c r="E9" i="42"/>
  <c r="E8" i="42"/>
  <c r="Y18" i="42"/>
  <c r="Y17" i="42"/>
  <c r="Y16" i="42"/>
  <c r="Y15" i="42"/>
  <c r="Y14" i="42"/>
  <c r="Y13" i="42"/>
  <c r="Y12" i="42"/>
  <c r="Y11" i="42"/>
  <c r="Y10" i="42"/>
  <c r="Y9" i="42"/>
  <c r="Y8" i="42"/>
  <c r="AF71" i="42"/>
  <c r="AE71" i="42"/>
  <c r="AD71" i="42"/>
  <c r="AG70" i="42"/>
  <c r="AG69" i="42"/>
  <c r="AG68" i="42"/>
  <c r="AG67" i="42"/>
  <c r="AG66" i="42"/>
  <c r="AD65" i="42"/>
  <c r="AG65" i="42" s="1"/>
  <c r="AG64" i="42"/>
  <c r="AG63" i="42"/>
  <c r="AG62" i="42"/>
  <c r="AG61" i="42"/>
  <c r="AG59" i="42"/>
  <c r="AF58" i="42"/>
  <c r="AE58" i="42"/>
  <c r="AD58" i="42"/>
  <c r="AG57" i="42"/>
  <c r="AG56" i="42"/>
  <c r="AG55" i="42"/>
  <c r="AG54" i="42"/>
  <c r="AG53" i="42"/>
  <c r="AG52" i="42"/>
  <c r="AF51" i="42"/>
  <c r="AE51" i="42"/>
  <c r="AD51" i="42"/>
  <c r="AG50" i="42"/>
  <c r="AG49" i="42"/>
  <c r="AG48" i="42"/>
  <c r="AG47" i="42"/>
  <c r="AG46" i="42"/>
  <c r="AG45" i="42"/>
  <c r="AG44" i="42"/>
  <c r="AG43" i="42"/>
  <c r="AF37" i="42"/>
  <c r="AE37" i="42"/>
  <c r="AD37" i="42"/>
  <c r="AG35" i="42"/>
  <c r="AG34" i="42"/>
  <c r="AG33" i="42"/>
  <c r="AF31" i="42"/>
  <c r="AE31" i="42"/>
  <c r="AD31" i="42"/>
  <c r="AG30" i="42"/>
  <c r="AG29" i="42"/>
  <c r="AG28" i="42"/>
  <c r="AF26" i="42"/>
  <c r="AE26" i="42"/>
  <c r="AD26" i="42"/>
  <c r="AG25" i="42"/>
  <c r="AG26" i="42" s="1"/>
  <c r="AF23" i="42"/>
  <c r="AE23" i="42"/>
  <c r="AE32" i="42" s="1"/>
  <c r="AD23" i="42"/>
  <c r="AD32" i="42" s="1"/>
  <c r="AG22" i="42"/>
  <c r="AG21" i="42"/>
  <c r="AG23" i="42" s="1"/>
  <c r="AB71" i="42"/>
  <c r="AA71" i="42"/>
  <c r="Z71" i="42"/>
  <c r="AC70" i="42"/>
  <c r="AC69" i="42"/>
  <c r="AC68" i="42"/>
  <c r="AC67" i="42"/>
  <c r="AC66" i="42"/>
  <c r="AC71" i="42" s="1"/>
  <c r="AC64" i="42"/>
  <c r="AC63" i="42"/>
  <c r="AC62" i="42"/>
  <c r="AC61" i="42"/>
  <c r="AC65" i="42"/>
  <c r="AC59" i="42"/>
  <c r="AC57" i="42"/>
  <c r="AC56" i="42"/>
  <c r="AC55" i="42"/>
  <c r="AC54" i="42"/>
  <c r="AC53" i="42"/>
  <c r="AC52" i="42"/>
  <c r="AC58" i="42" s="1"/>
  <c r="AB72" i="42"/>
  <c r="AA72" i="42"/>
  <c r="Z72" i="42"/>
  <c r="AC50" i="42"/>
  <c r="AC49" i="42"/>
  <c r="AC48" i="42"/>
  <c r="AC47" i="42"/>
  <c r="AC46" i="42"/>
  <c r="AC45" i="42"/>
  <c r="AC44" i="42"/>
  <c r="AC43" i="42"/>
  <c r="AB37" i="42"/>
  <c r="AA37" i="42"/>
  <c r="Z37" i="42"/>
  <c r="AC35" i="42"/>
  <c r="AC34" i="42"/>
  <c r="AC33" i="42"/>
  <c r="AB31" i="42"/>
  <c r="AA31" i="42"/>
  <c r="Z31" i="42"/>
  <c r="AC30" i="42"/>
  <c r="AC29" i="42"/>
  <c r="AC28" i="42"/>
  <c r="AC31" i="42" s="1"/>
  <c r="AB26" i="42"/>
  <c r="AA26" i="42"/>
  <c r="Z26" i="42"/>
  <c r="AC25" i="42"/>
  <c r="AC26" i="42" s="1"/>
  <c r="AB23" i="42"/>
  <c r="AB32" i="42" s="1"/>
  <c r="AA23" i="42"/>
  <c r="AA32" i="42" s="1"/>
  <c r="Z23" i="42"/>
  <c r="Z32" i="42" s="1"/>
  <c r="AC22" i="42"/>
  <c r="AC21" i="42"/>
  <c r="AB19" i="42"/>
  <c r="AB38" i="42" s="1"/>
  <c r="AA19" i="42"/>
  <c r="Z19" i="42"/>
  <c r="AC18" i="42"/>
  <c r="AC17" i="42"/>
  <c r="AC16" i="42"/>
  <c r="AC15" i="42"/>
  <c r="AC14" i="42"/>
  <c r="AC13" i="42"/>
  <c r="AC12" i="42"/>
  <c r="AC11" i="42"/>
  <c r="AC10" i="42"/>
  <c r="AC9" i="42"/>
  <c r="AC8" i="42"/>
  <c r="X72" i="42"/>
  <c r="X71" i="42"/>
  <c r="W71" i="42"/>
  <c r="W72" i="42" s="1"/>
  <c r="V71" i="42"/>
  <c r="Y70" i="42"/>
  <c r="Y69" i="42"/>
  <c r="Y68" i="42"/>
  <c r="Y67" i="42"/>
  <c r="Y66" i="42"/>
  <c r="Y71" i="42" s="1"/>
  <c r="Y64" i="42"/>
  <c r="Y63" i="42"/>
  <c r="Y62" i="42"/>
  <c r="Y61" i="42"/>
  <c r="Y59" i="42"/>
  <c r="Y60" i="42"/>
  <c r="Y57" i="42"/>
  <c r="Y56" i="42"/>
  <c r="Y55" i="42"/>
  <c r="Y54" i="42"/>
  <c r="Y53" i="42"/>
  <c r="Y52" i="42"/>
  <c r="Y50" i="42"/>
  <c r="Y49" i="42"/>
  <c r="Y48" i="42"/>
  <c r="Y47" i="42"/>
  <c r="Y46" i="42"/>
  <c r="Y45" i="42"/>
  <c r="Y44" i="42"/>
  <c r="Y51" i="42" s="1"/>
  <c r="Y43" i="42"/>
  <c r="X37" i="42"/>
  <c r="W37" i="42"/>
  <c r="V37" i="42"/>
  <c r="Y35" i="42"/>
  <c r="Y34" i="42"/>
  <c r="Y33" i="42"/>
  <c r="X31" i="42"/>
  <c r="W31" i="42"/>
  <c r="V31" i="42"/>
  <c r="Y30" i="42"/>
  <c r="Y29" i="42"/>
  <c r="Y28" i="42"/>
  <c r="Y31" i="42" s="1"/>
  <c r="X26" i="42"/>
  <c r="W26" i="42"/>
  <c r="V26" i="42"/>
  <c r="Y25" i="42"/>
  <c r="Y26" i="42" s="1"/>
  <c r="X23" i="42"/>
  <c r="X32" i="42" s="1"/>
  <c r="W23" i="42"/>
  <c r="W32" i="42" s="1"/>
  <c r="V23" i="42"/>
  <c r="V32" i="42" s="1"/>
  <c r="Y22" i="42"/>
  <c r="Y21" i="42"/>
  <c r="Y23" i="42" s="1"/>
  <c r="X19" i="42"/>
  <c r="W19" i="42"/>
  <c r="V19" i="42"/>
  <c r="V38" i="42" s="1"/>
  <c r="T71" i="42"/>
  <c r="S71" i="42"/>
  <c r="R71" i="42"/>
  <c r="R72" i="42" s="1"/>
  <c r="U70" i="42"/>
  <c r="U69" i="42"/>
  <c r="U68" i="42"/>
  <c r="U67" i="42"/>
  <c r="U66" i="42"/>
  <c r="U71" i="42" s="1"/>
  <c r="U65" i="42"/>
  <c r="U64" i="42"/>
  <c r="U63" i="42"/>
  <c r="U62" i="42"/>
  <c r="U61" i="42"/>
  <c r="U59" i="42"/>
  <c r="U60" i="42"/>
  <c r="U57" i="42"/>
  <c r="U56" i="42"/>
  <c r="U55" i="42"/>
  <c r="U54" i="42"/>
  <c r="U53" i="42"/>
  <c r="U58" i="42" s="1"/>
  <c r="U52" i="42"/>
  <c r="T72" i="42"/>
  <c r="S72" i="42"/>
  <c r="U50" i="42"/>
  <c r="U49" i="42"/>
  <c r="U48" i="42"/>
  <c r="U47" i="42"/>
  <c r="U46" i="42"/>
  <c r="U45" i="42"/>
  <c r="U44" i="42"/>
  <c r="U43" i="42"/>
  <c r="T37" i="42"/>
  <c r="S37" i="42"/>
  <c r="R37" i="42"/>
  <c r="U35" i="42"/>
  <c r="U34" i="42"/>
  <c r="U33" i="42"/>
  <c r="R32" i="42"/>
  <c r="T31" i="42"/>
  <c r="S31" i="42"/>
  <c r="R31" i="42"/>
  <c r="U30" i="42"/>
  <c r="U29" i="42"/>
  <c r="U28" i="42"/>
  <c r="U31" i="42" s="1"/>
  <c r="T26" i="42"/>
  <c r="S26" i="42"/>
  <c r="R26" i="42"/>
  <c r="U25" i="42"/>
  <c r="U26" i="42" s="1"/>
  <c r="T23" i="42"/>
  <c r="T32" i="42" s="1"/>
  <c r="S23" i="42"/>
  <c r="S32" i="42" s="1"/>
  <c r="R23" i="42"/>
  <c r="U22" i="42"/>
  <c r="U21" i="42"/>
  <c r="T19" i="42"/>
  <c r="T38" i="42" s="1"/>
  <c r="S19" i="42"/>
  <c r="R19" i="42"/>
  <c r="R38" i="42" s="1"/>
  <c r="P71" i="42"/>
  <c r="O71" i="42"/>
  <c r="N71" i="42"/>
  <c r="N72" i="42" s="1"/>
  <c r="Q70" i="42"/>
  <c r="Q69" i="42"/>
  <c r="Q68" i="42"/>
  <c r="Q67" i="42"/>
  <c r="Q66" i="42"/>
  <c r="Q71" i="42" s="1"/>
  <c r="Q65" i="42"/>
  <c r="Q64" i="42"/>
  <c r="Q63" i="42"/>
  <c r="Q62" i="42"/>
  <c r="Q61" i="42"/>
  <c r="Q59" i="42"/>
  <c r="Q60" i="42"/>
  <c r="Q57" i="42"/>
  <c r="Q56" i="42"/>
  <c r="Q55" i="42"/>
  <c r="Q54" i="42"/>
  <c r="Q53" i="42"/>
  <c r="Q58" i="42" s="1"/>
  <c r="Q52" i="42"/>
  <c r="P72" i="42"/>
  <c r="O72" i="42"/>
  <c r="Q50" i="42"/>
  <c r="Q49" i="42"/>
  <c r="Q48" i="42"/>
  <c r="Q47" i="42"/>
  <c r="Q46" i="42"/>
  <c r="Q45" i="42"/>
  <c r="Q44" i="42"/>
  <c r="Q43" i="42"/>
  <c r="P37" i="42"/>
  <c r="O37" i="42"/>
  <c r="N37" i="42"/>
  <c r="Q35" i="42"/>
  <c r="Q34" i="42"/>
  <c r="Q33" i="42"/>
  <c r="P31" i="42"/>
  <c r="O31" i="42"/>
  <c r="N31" i="42"/>
  <c r="Q30" i="42"/>
  <c r="Q29" i="42"/>
  <c r="Q28" i="42"/>
  <c r="Q31" i="42" s="1"/>
  <c r="P26" i="42"/>
  <c r="O26" i="42"/>
  <c r="N26" i="42"/>
  <c r="Q25" i="42"/>
  <c r="Q26" i="42" s="1"/>
  <c r="P23" i="42"/>
  <c r="P32" i="42" s="1"/>
  <c r="O23" i="42"/>
  <c r="O32" i="42" s="1"/>
  <c r="N23" i="42"/>
  <c r="N32" i="42" s="1"/>
  <c r="Q22" i="42"/>
  <c r="Q21" i="42"/>
  <c r="Q23" i="42" s="1"/>
  <c r="Q32" i="42" s="1"/>
  <c r="P19" i="42"/>
  <c r="P38" i="42" s="1"/>
  <c r="O19" i="42"/>
  <c r="N19" i="42"/>
  <c r="L71" i="42"/>
  <c r="K71" i="42"/>
  <c r="J71" i="42"/>
  <c r="M70" i="42"/>
  <c r="M69" i="42"/>
  <c r="M68" i="42"/>
  <c r="M67" i="42"/>
  <c r="M66" i="42"/>
  <c r="M65" i="42"/>
  <c r="M64" i="42"/>
  <c r="M63" i="42"/>
  <c r="M62" i="42"/>
  <c r="M61" i="42"/>
  <c r="M59" i="42"/>
  <c r="M60" i="42"/>
  <c r="M57" i="42"/>
  <c r="M56" i="42"/>
  <c r="M55" i="42"/>
  <c r="M54" i="42"/>
  <c r="M53" i="42"/>
  <c r="M52" i="42"/>
  <c r="L72" i="42"/>
  <c r="K72" i="42"/>
  <c r="M50" i="42"/>
  <c r="M49" i="42"/>
  <c r="M48" i="42"/>
  <c r="M47" i="42"/>
  <c r="M46" i="42"/>
  <c r="M45" i="42"/>
  <c r="M44" i="42"/>
  <c r="M43" i="42"/>
  <c r="L37" i="42"/>
  <c r="K37" i="42"/>
  <c r="J37" i="42"/>
  <c r="M35" i="42"/>
  <c r="M34" i="42"/>
  <c r="M33" i="42"/>
  <c r="L31" i="42"/>
  <c r="K31" i="42"/>
  <c r="J31" i="42"/>
  <c r="M30" i="42"/>
  <c r="M29" i="42"/>
  <c r="M28" i="42"/>
  <c r="M31" i="42" s="1"/>
  <c r="L26" i="42"/>
  <c r="K26" i="42"/>
  <c r="J26" i="42"/>
  <c r="M25" i="42"/>
  <c r="M26" i="42" s="1"/>
  <c r="L23" i="42"/>
  <c r="L32" i="42" s="1"/>
  <c r="K23" i="42"/>
  <c r="K32" i="42" s="1"/>
  <c r="K38" i="42" s="1"/>
  <c r="J23" i="42"/>
  <c r="J32" i="42" s="1"/>
  <c r="M22" i="42"/>
  <c r="M21" i="42"/>
  <c r="L19" i="42"/>
  <c r="K19" i="42"/>
  <c r="J19" i="42"/>
  <c r="J38" i="42" s="1"/>
  <c r="H71" i="42"/>
  <c r="G71" i="42"/>
  <c r="F71" i="42"/>
  <c r="I70" i="42"/>
  <c r="I69" i="42"/>
  <c r="I68" i="42"/>
  <c r="I67" i="42"/>
  <c r="I66" i="42"/>
  <c r="I71" i="42" s="1"/>
  <c r="F65" i="42"/>
  <c r="I65" i="42" s="1"/>
  <c r="I64" i="42"/>
  <c r="I63" i="42"/>
  <c r="I62" i="42"/>
  <c r="I61" i="42"/>
  <c r="I59" i="42"/>
  <c r="H58" i="42"/>
  <c r="H60" i="42" s="1"/>
  <c r="I60" i="42" s="1"/>
  <c r="G58" i="42"/>
  <c r="F58" i="42"/>
  <c r="I57" i="42"/>
  <c r="I56" i="42"/>
  <c r="I55" i="42"/>
  <c r="I54" i="42"/>
  <c r="I53" i="42"/>
  <c r="I52" i="42"/>
  <c r="H51" i="42"/>
  <c r="H72" i="42" s="1"/>
  <c r="G51" i="42"/>
  <c r="G72" i="42" s="1"/>
  <c r="F51" i="42"/>
  <c r="I50" i="42"/>
  <c r="I49" i="42"/>
  <c r="I48" i="42"/>
  <c r="I47" i="42"/>
  <c r="I46" i="42"/>
  <c r="I45" i="42"/>
  <c r="I44" i="42"/>
  <c r="I43" i="42"/>
  <c r="H37" i="42"/>
  <c r="G37" i="42"/>
  <c r="F37" i="42"/>
  <c r="I35" i="42"/>
  <c r="I34" i="42"/>
  <c r="I33" i="42"/>
  <c r="H31" i="42"/>
  <c r="G31" i="42"/>
  <c r="F31" i="42"/>
  <c r="I30" i="42"/>
  <c r="I31" i="42" s="1"/>
  <c r="I29" i="42"/>
  <c r="I28" i="42"/>
  <c r="H26" i="42"/>
  <c r="G26" i="42"/>
  <c r="F26" i="42"/>
  <c r="I25" i="42"/>
  <c r="I26" i="42" s="1"/>
  <c r="H23" i="42"/>
  <c r="H32" i="42" s="1"/>
  <c r="G23" i="42"/>
  <c r="G32" i="42" s="1"/>
  <c r="F23" i="42"/>
  <c r="F32" i="42" s="1"/>
  <c r="I22" i="42"/>
  <c r="I21" i="42"/>
  <c r="H19" i="42"/>
  <c r="H38" i="42" s="1"/>
  <c r="G19" i="42"/>
  <c r="F19" i="42"/>
  <c r="D71" i="42"/>
  <c r="C71" i="42"/>
  <c r="B71" i="42"/>
  <c r="E70" i="42"/>
  <c r="E69" i="42"/>
  <c r="E68" i="42"/>
  <c r="E67" i="42"/>
  <c r="E66" i="42"/>
  <c r="E64" i="42"/>
  <c r="E63" i="42"/>
  <c r="E62" i="42"/>
  <c r="E61" i="42"/>
  <c r="D60" i="42"/>
  <c r="AF60" i="42" s="1"/>
  <c r="B65" i="42"/>
  <c r="E65" i="42" s="1"/>
  <c r="E59" i="42"/>
  <c r="D58" i="42"/>
  <c r="C58" i="42"/>
  <c r="E57" i="42"/>
  <c r="E56" i="42"/>
  <c r="E55" i="42"/>
  <c r="E54" i="42"/>
  <c r="E53" i="42"/>
  <c r="E52" i="42"/>
  <c r="D51" i="42"/>
  <c r="C51" i="42"/>
  <c r="B51" i="42"/>
  <c r="E50" i="42"/>
  <c r="E49" i="42"/>
  <c r="E47" i="42"/>
  <c r="E45" i="42"/>
  <c r="E44" i="42"/>
  <c r="E43" i="42"/>
  <c r="D37" i="42"/>
  <c r="C37" i="42"/>
  <c r="B37" i="42"/>
  <c r="E35" i="42"/>
  <c r="E37" i="42" s="1"/>
  <c r="E34" i="42"/>
  <c r="E33" i="42"/>
  <c r="D31" i="42"/>
  <c r="C31" i="42"/>
  <c r="B31" i="42"/>
  <c r="E30" i="42"/>
  <c r="E31" i="42" s="1"/>
  <c r="E29" i="42"/>
  <c r="E28" i="42"/>
  <c r="D26" i="42"/>
  <c r="C26" i="42"/>
  <c r="B26" i="42"/>
  <c r="E25" i="42"/>
  <c r="E26" i="42" s="1"/>
  <c r="D23" i="42"/>
  <c r="D32" i="42" s="1"/>
  <c r="C23" i="42"/>
  <c r="C32" i="42" s="1"/>
  <c r="B23" i="42"/>
  <c r="B32" i="42" s="1"/>
  <c r="E22" i="42"/>
  <c r="E21" i="42"/>
  <c r="D19" i="42"/>
  <c r="C19" i="42"/>
  <c r="B19" i="42"/>
  <c r="B38" i="42" s="1"/>
  <c r="D36" i="41"/>
  <c r="C36" i="41"/>
  <c r="B36" i="41"/>
  <c r="E34" i="41"/>
  <c r="E33" i="41"/>
  <c r="E32" i="41"/>
  <c r="E36" i="41" s="1"/>
  <c r="D31" i="41"/>
  <c r="D30" i="41"/>
  <c r="C30" i="41"/>
  <c r="B30" i="41"/>
  <c r="E29" i="41"/>
  <c r="E28" i="41"/>
  <c r="E30" i="41" s="1"/>
  <c r="E27" i="41"/>
  <c r="D25" i="41"/>
  <c r="C25" i="41"/>
  <c r="B25" i="41"/>
  <c r="E24" i="41"/>
  <c r="E25" i="41" s="1"/>
  <c r="D22" i="41"/>
  <c r="E21" i="41"/>
  <c r="C22" i="41"/>
  <c r="C31" i="41" s="1"/>
  <c r="B22" i="41"/>
  <c r="B31" i="41" s="1"/>
  <c r="D18" i="41"/>
  <c r="D37" i="41" s="1"/>
  <c r="C18" i="41"/>
  <c r="B18" i="41"/>
  <c r="E17" i="41"/>
  <c r="E16" i="41"/>
  <c r="E15" i="41"/>
  <c r="E14" i="41"/>
  <c r="E13" i="41"/>
  <c r="E12" i="41"/>
  <c r="E11" i="41"/>
  <c r="E10" i="41"/>
  <c r="E9" i="41"/>
  <c r="E8" i="41"/>
  <c r="E7" i="41"/>
  <c r="AD72" i="42" l="1"/>
  <c r="E71" i="42"/>
  <c r="B72" i="42"/>
  <c r="C72" i="42"/>
  <c r="E58" i="42"/>
  <c r="AG60" i="42"/>
  <c r="D72" i="42"/>
  <c r="E51" i="42"/>
  <c r="AG71" i="42"/>
  <c r="AF72" i="42"/>
  <c r="AE72" i="42"/>
  <c r="AG58" i="42"/>
  <c r="AG51" i="42"/>
  <c r="AC51" i="42"/>
  <c r="AC72" i="42" s="1"/>
  <c r="Y58" i="42"/>
  <c r="U51" i="42"/>
  <c r="U72" i="42" s="1"/>
  <c r="Q51" i="42"/>
  <c r="Q72" i="42" s="1"/>
  <c r="M58" i="42"/>
  <c r="M71" i="42"/>
  <c r="M51" i="42"/>
  <c r="M72" i="42" s="1"/>
  <c r="J72" i="42"/>
  <c r="I58" i="42"/>
  <c r="F72" i="42"/>
  <c r="I51" i="42"/>
  <c r="I72" i="42" s="1"/>
  <c r="AG37" i="42"/>
  <c r="AF32" i="42"/>
  <c r="AG31" i="42"/>
  <c r="AF38" i="42"/>
  <c r="AC37" i="42"/>
  <c r="AC23" i="42"/>
  <c r="AC32" i="42" s="1"/>
  <c r="Y37" i="42"/>
  <c r="Y32" i="42"/>
  <c r="AG9" i="42"/>
  <c r="W38" i="42"/>
  <c r="U37" i="42"/>
  <c r="U23" i="42"/>
  <c r="Q37" i="42"/>
  <c r="AG18" i="42"/>
  <c r="AG15" i="42"/>
  <c r="AG10" i="42"/>
  <c r="M37" i="42"/>
  <c r="Q38" i="42"/>
  <c r="M23" i="42"/>
  <c r="M32" i="42" s="1"/>
  <c r="Y19" i="42"/>
  <c r="Y38" i="42" s="1"/>
  <c r="M19" i="42"/>
  <c r="I37" i="42"/>
  <c r="C38" i="42"/>
  <c r="E23" i="42"/>
  <c r="E32" i="42" s="1"/>
  <c r="I23" i="42"/>
  <c r="I32" i="42" s="1"/>
  <c r="I38" i="42" s="1"/>
  <c r="AG8" i="42"/>
  <c r="AG16" i="42"/>
  <c r="AG12" i="42"/>
  <c r="AG11" i="42"/>
  <c r="AG17" i="42"/>
  <c r="E19" i="42"/>
  <c r="AG14" i="42"/>
  <c r="AG13" i="42"/>
  <c r="AE19" i="42"/>
  <c r="AE38" i="42" s="1"/>
  <c r="S38" i="42"/>
  <c r="O38" i="42"/>
  <c r="G38" i="42"/>
  <c r="AD19" i="42"/>
  <c r="AD38" i="42" s="1"/>
  <c r="AC19" i="42"/>
  <c r="AG32" i="42"/>
  <c r="Z38" i="42"/>
  <c r="AA38" i="42"/>
  <c r="AC60" i="42"/>
  <c r="Y65" i="42"/>
  <c r="V72" i="42"/>
  <c r="X38" i="42"/>
  <c r="U32" i="42"/>
  <c r="U38" i="42" s="1"/>
  <c r="N38" i="42"/>
  <c r="L38" i="42"/>
  <c r="F38" i="42"/>
  <c r="D38" i="42"/>
  <c r="E60" i="42"/>
  <c r="E18" i="41"/>
  <c r="B37" i="41"/>
  <c r="C37" i="41"/>
  <c r="E20" i="41"/>
  <c r="E22" i="41" s="1"/>
  <c r="E31" i="41" s="1"/>
  <c r="E37" i="41" l="1"/>
  <c r="E72" i="42"/>
  <c r="AG72" i="42"/>
  <c r="Y72" i="42"/>
  <c r="AC38" i="42"/>
  <c r="M38" i="42"/>
  <c r="AG19" i="42"/>
  <c r="AG38" i="42" s="1"/>
  <c r="E38" i="42"/>
  <c r="G20" i="36" l="1"/>
  <c r="J19" i="34" l="1"/>
  <c r="K11" i="35"/>
  <c r="I11" i="35"/>
  <c r="I13" i="35" s="1"/>
  <c r="F13" i="32" l="1"/>
  <c r="E10" i="32"/>
  <c r="G10" i="32"/>
  <c r="F10" i="32"/>
  <c r="I13" i="32"/>
  <c r="I14" i="32" s="1"/>
  <c r="I15" i="32" s="1"/>
  <c r="I17" i="32" s="1"/>
  <c r="H13" i="32"/>
  <c r="H14" i="32" s="1"/>
  <c r="H15" i="32" s="1"/>
  <c r="H17" i="32" s="1"/>
  <c r="G13" i="32"/>
  <c r="E13" i="32"/>
  <c r="D13" i="32"/>
  <c r="D14" i="32" s="1"/>
  <c r="D15" i="32" s="1"/>
  <c r="D17" i="32" s="1"/>
  <c r="C13" i="32"/>
  <c r="C10" i="32"/>
  <c r="C14" i="32" s="1"/>
  <c r="C15" i="32" s="1"/>
  <c r="C17" i="32" s="1"/>
  <c r="I10" i="32"/>
  <c r="H10" i="32"/>
  <c r="F14" i="32" l="1"/>
  <c r="F15" i="32" s="1"/>
  <c r="F17" i="32" s="1"/>
  <c r="E14" i="32"/>
  <c r="E15" i="32" s="1"/>
  <c r="E17" i="32" s="1"/>
  <c r="G14" i="32"/>
  <c r="G15" i="32" s="1"/>
  <c r="G17" i="32" s="1"/>
  <c r="N16" i="2"/>
  <c r="P19" i="10" l="1"/>
  <c r="N28" i="11" l="1"/>
  <c r="N29" i="11"/>
  <c r="N30" i="11"/>
  <c r="N31" i="11"/>
  <c r="N32" i="11"/>
  <c r="N33" i="11"/>
  <c r="N34" i="11"/>
  <c r="N35" i="11"/>
  <c r="N36" i="11"/>
  <c r="N37" i="11"/>
  <c r="N27" i="11"/>
  <c r="M28" i="11"/>
  <c r="M29" i="11"/>
  <c r="M30" i="11"/>
  <c r="M31" i="11"/>
  <c r="M32" i="11"/>
  <c r="M33" i="11"/>
  <c r="M34" i="11"/>
  <c r="M35" i="11"/>
  <c r="M36" i="11"/>
  <c r="M37" i="11"/>
  <c r="M27" i="11"/>
  <c r="L28" i="11"/>
  <c r="L29" i="11"/>
  <c r="L30" i="11"/>
  <c r="L31" i="11"/>
  <c r="L32" i="11"/>
  <c r="L33" i="11"/>
  <c r="L34" i="11"/>
  <c r="L35" i="11"/>
  <c r="L36" i="11"/>
  <c r="L37" i="11"/>
  <c r="L27" i="11"/>
  <c r="M11" i="11"/>
  <c r="M12" i="11"/>
  <c r="M13" i="11"/>
  <c r="M14" i="11"/>
  <c r="M15" i="11"/>
  <c r="M16" i="11"/>
  <c r="M17" i="11"/>
  <c r="M18" i="11"/>
  <c r="M19" i="11"/>
  <c r="M10" i="11"/>
  <c r="L15" i="11"/>
  <c r="L11" i="11"/>
  <c r="L12" i="11"/>
  <c r="L13" i="11"/>
  <c r="L14" i="11"/>
  <c r="L16" i="11"/>
  <c r="L17" i="11"/>
  <c r="L18" i="11"/>
  <c r="L19" i="11"/>
  <c r="L10" i="11"/>
  <c r="N19" i="11"/>
  <c r="N11" i="11"/>
  <c r="N12" i="11"/>
  <c r="N13" i="11"/>
  <c r="N14" i="11"/>
  <c r="N15" i="11"/>
  <c r="N16" i="11"/>
  <c r="N17" i="11"/>
  <c r="N18" i="11"/>
  <c r="N10" i="11"/>
  <c r="D80" i="38" l="1"/>
  <c r="E113" i="38" s="1"/>
  <c r="E114" i="38"/>
  <c r="D107" i="38"/>
  <c r="D109" i="38" s="1"/>
  <c r="D78" i="38"/>
  <c r="D57" i="38"/>
  <c r="D47" i="38"/>
  <c r="D29" i="38"/>
  <c r="D25" i="38"/>
  <c r="D13" i="38"/>
  <c r="I1" i="9" l="1"/>
  <c r="J117" i="16"/>
  <c r="J118" i="16"/>
  <c r="J116" i="16"/>
  <c r="J115" i="16"/>
  <c r="J114" i="16"/>
  <c r="J113" i="16"/>
  <c r="F118" i="16"/>
  <c r="F117" i="16"/>
  <c r="F115" i="16"/>
  <c r="F114" i="16"/>
  <c r="F113" i="16"/>
  <c r="J112" i="16"/>
  <c r="F112" i="16"/>
  <c r="D20" i="37"/>
  <c r="C20" i="37"/>
  <c r="B20" i="37"/>
  <c r="H18" i="37"/>
  <c r="H23" i="37" s="1"/>
  <c r="G18" i="37"/>
  <c r="G23" i="37" s="1"/>
  <c r="F18" i="37"/>
  <c r="F23" i="37" s="1"/>
  <c r="F30" i="36" s="1"/>
  <c r="D18" i="37"/>
  <c r="C18" i="37"/>
  <c r="B18" i="37"/>
  <c r="B23" i="37" s="1"/>
  <c r="B30" i="36" s="1"/>
  <c r="F18" i="35"/>
  <c r="E18" i="35"/>
  <c r="D18" i="35"/>
  <c r="C18" i="35"/>
  <c r="B18" i="35"/>
  <c r="F15" i="35"/>
  <c r="E15" i="35"/>
  <c r="D15" i="35"/>
  <c r="C15" i="35"/>
  <c r="B15" i="35"/>
  <c r="F12" i="35"/>
  <c r="E12" i="35"/>
  <c r="D12" i="35"/>
  <c r="C12" i="35"/>
  <c r="B12" i="35"/>
  <c r="F9" i="35"/>
  <c r="E9" i="35"/>
  <c r="D9" i="35"/>
  <c r="C9" i="35"/>
  <c r="C21" i="35" s="1"/>
  <c r="B9" i="35"/>
  <c r="C19" i="37" l="1"/>
  <c r="D19" i="37"/>
  <c r="B19" i="37"/>
  <c r="B24" i="37"/>
  <c r="C23" i="37"/>
  <c r="D23" i="37"/>
  <c r="B21" i="35"/>
  <c r="F21" i="35"/>
  <c r="D21" i="35"/>
  <c r="E21" i="35"/>
  <c r="D22" i="36"/>
  <c r="C22" i="36"/>
  <c r="H22" i="36"/>
  <c r="G22" i="36"/>
  <c r="F22" i="36"/>
  <c r="B22" i="36"/>
  <c r="H20" i="36"/>
  <c r="H27" i="36" s="1"/>
  <c r="H30" i="36" s="1"/>
  <c r="F20" i="36"/>
  <c r="F27" i="36" s="1"/>
  <c r="D20" i="36"/>
  <c r="C20" i="36"/>
  <c r="B20" i="36"/>
  <c r="D27" i="36" l="1"/>
  <c r="C27" i="36"/>
  <c r="C30" i="36" s="1"/>
  <c r="G27" i="36"/>
  <c r="G30" i="36" s="1"/>
  <c r="D21" i="36"/>
  <c r="C21" i="36"/>
  <c r="D24" i="37"/>
  <c r="D30" i="36"/>
  <c r="C24" i="37"/>
  <c r="B21" i="36"/>
  <c r="D28" i="36"/>
  <c r="B27" i="36"/>
  <c r="C28" i="36" l="1"/>
  <c r="B28" i="36"/>
  <c r="G24" i="34" l="1"/>
  <c r="F24" i="34"/>
  <c r="E24" i="34"/>
  <c r="D24" i="34"/>
  <c r="C24" i="34"/>
  <c r="H23" i="34"/>
  <c r="I23" i="34" s="1"/>
  <c r="H22" i="34"/>
  <c r="G15" i="34"/>
  <c r="F15" i="34"/>
  <c r="F25" i="34" s="1"/>
  <c r="E15" i="34"/>
  <c r="E25" i="34" s="1"/>
  <c r="D15" i="34"/>
  <c r="D25" i="34" s="1"/>
  <c r="C15" i="34"/>
  <c r="C2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D14" i="33"/>
  <c r="F12" i="33"/>
  <c r="E12" i="33"/>
  <c r="D12" i="33"/>
  <c r="F10" i="33"/>
  <c r="F14" i="33" s="1"/>
  <c r="E10" i="33"/>
  <c r="E14" i="33" s="1"/>
  <c r="D10" i="33"/>
  <c r="G25" i="34" l="1"/>
  <c r="H15" i="34"/>
  <c r="H25" i="34" s="1"/>
  <c r="H24" i="34"/>
  <c r="I22" i="34"/>
  <c r="I24" i="34" s="1"/>
  <c r="I9" i="34"/>
  <c r="I15" i="34" s="1"/>
  <c r="I25" i="34" s="1"/>
  <c r="B13" i="30"/>
  <c r="J98" i="7" l="1"/>
  <c r="J23" i="7"/>
  <c r="J14" i="7" s="1"/>
  <c r="J71" i="7"/>
  <c r="J66" i="7"/>
  <c r="J48" i="7"/>
  <c r="J41" i="7"/>
  <c r="J33" i="7"/>
  <c r="J24" i="7"/>
  <c r="F99" i="5"/>
  <c r="F116" i="16" s="1"/>
  <c r="J13" i="7" l="1"/>
  <c r="J32" i="7"/>
  <c r="F23" i="7"/>
  <c r="C104" i="5"/>
  <c r="J99" i="5"/>
  <c r="J98" i="5"/>
  <c r="F98" i="5"/>
  <c r="J93" i="5"/>
  <c r="F93" i="5"/>
  <c r="J14" i="5"/>
  <c r="J13" i="5" s="1"/>
  <c r="J24" i="5"/>
  <c r="J16" i="5"/>
  <c r="F16" i="5"/>
  <c r="J95" i="3"/>
  <c r="F95" i="3"/>
  <c r="F98" i="3"/>
  <c r="J98" i="3"/>
  <c r="J67" i="3"/>
  <c r="J24" i="3" l="1"/>
  <c r="F24" i="3"/>
  <c r="J98" i="2"/>
  <c r="J23" i="2"/>
  <c r="J13" i="2"/>
  <c r="F23" i="2"/>
  <c r="J32" i="6"/>
  <c r="J24" i="6"/>
  <c r="J23" i="6"/>
  <c r="J98" i="6"/>
  <c r="F33" i="6"/>
  <c r="F32" i="6"/>
  <c r="J14" i="6"/>
  <c r="F13" i="6"/>
  <c r="F14" i="6"/>
  <c r="F23" i="6"/>
  <c r="J13" i="6" l="1"/>
  <c r="J98" i="4"/>
  <c r="J96" i="4"/>
  <c r="F98" i="4"/>
  <c r="J23" i="4"/>
  <c r="F23" i="4"/>
  <c r="J24" i="4"/>
  <c r="J13" i="4" s="1"/>
  <c r="F24" i="4"/>
  <c r="J14" i="4"/>
  <c r="F14" i="4"/>
  <c r="F80" i="10"/>
  <c r="F81" i="10"/>
  <c r="F87" i="10"/>
  <c r="J65" i="10"/>
  <c r="F65" i="10"/>
  <c r="F13" i="4" l="1"/>
  <c r="J43" i="10"/>
  <c r="F43" i="10"/>
  <c r="I26" i="10" l="1"/>
  <c r="H27" i="10"/>
  <c r="F26" i="10"/>
  <c r="E26" i="10"/>
  <c r="D26" i="10"/>
  <c r="C26" i="10"/>
  <c r="J135" i="9" l="1"/>
  <c r="I118" i="16" l="1"/>
  <c r="H118" i="16"/>
  <c r="H117" i="16"/>
  <c r="H116" i="16"/>
  <c r="H115" i="16"/>
  <c r="H114" i="16"/>
  <c r="H113" i="16"/>
  <c r="I117" i="16"/>
  <c r="I116" i="16"/>
  <c r="I115" i="16"/>
  <c r="I114" i="16"/>
  <c r="I113" i="16"/>
  <c r="I124" i="16" l="1"/>
  <c r="H124" i="16"/>
  <c r="I112" i="16"/>
  <c r="H112" i="16"/>
  <c r="I87" i="10" l="1"/>
  <c r="E87" i="10"/>
  <c r="I35" i="10"/>
  <c r="E65" i="10"/>
  <c r="I65" i="10"/>
  <c r="I43" i="10"/>
  <c r="E43" i="10"/>
  <c r="E37" i="10"/>
  <c r="I25" i="10"/>
  <c r="E25" i="10"/>
  <c r="E19" i="9"/>
  <c r="E20" i="9"/>
  <c r="I98" i="7" l="1"/>
  <c r="E19" i="7"/>
  <c r="E20" i="7"/>
  <c r="I98" i="5" l="1"/>
  <c r="I16" i="5"/>
  <c r="E16" i="5"/>
  <c r="I98" i="6"/>
  <c r="E19" i="6"/>
  <c r="E15" i="6"/>
  <c r="I98" i="4"/>
  <c r="I96" i="4"/>
  <c r="I19" i="4"/>
  <c r="E19" i="4"/>
  <c r="I98" i="2" l="1"/>
  <c r="I19" i="2"/>
  <c r="E19" i="2"/>
  <c r="E20" i="3"/>
  <c r="H98" i="7" l="1"/>
  <c r="L14" i="7"/>
  <c r="D20" i="7"/>
  <c r="D19" i="7"/>
  <c r="D15" i="7"/>
  <c r="D24" i="7"/>
  <c r="E24" i="7"/>
  <c r="F24" i="7"/>
  <c r="H24" i="7"/>
  <c r="I24" i="7"/>
  <c r="D14" i="7"/>
  <c r="E14" i="7"/>
  <c r="F14" i="7"/>
  <c r="F13" i="7" s="1"/>
  <c r="H14" i="7"/>
  <c r="I14" i="7"/>
  <c r="C24" i="7"/>
  <c r="C13" i="7" s="1"/>
  <c r="C14" i="7"/>
  <c r="H98" i="6"/>
  <c r="H13" i="6"/>
  <c r="E14" i="6"/>
  <c r="E13" i="6" s="1"/>
  <c r="D19" i="6"/>
  <c r="D15" i="6"/>
  <c r="D14" i="6" s="1"/>
  <c r="D13" i="6" s="1"/>
  <c r="D24" i="6"/>
  <c r="E24" i="6"/>
  <c r="F24" i="6"/>
  <c r="H24" i="6"/>
  <c r="I24" i="6"/>
  <c r="C24" i="6"/>
  <c r="I14" i="6"/>
  <c r="I13" i="6" s="1"/>
  <c r="H14" i="6"/>
  <c r="C14" i="6"/>
  <c r="C13" i="6" s="1"/>
  <c r="I13" i="7" l="1"/>
  <c r="M14" i="7"/>
  <c r="H13" i="7"/>
  <c r="D13" i="7"/>
  <c r="E13" i="7"/>
  <c r="H98" i="5"/>
  <c r="D36" i="5"/>
  <c r="I14" i="5"/>
  <c r="I24" i="5"/>
  <c r="H24" i="5"/>
  <c r="C13" i="5"/>
  <c r="H14" i="5"/>
  <c r="D24" i="5"/>
  <c r="E24" i="5"/>
  <c r="F24" i="5"/>
  <c r="C24" i="5"/>
  <c r="D14" i="5"/>
  <c r="D13" i="5" s="1"/>
  <c r="E14" i="5"/>
  <c r="F14" i="5"/>
  <c r="C14" i="5"/>
  <c r="H98" i="4"/>
  <c r="H96" i="4"/>
  <c r="D96" i="4"/>
  <c r="E14" i="4"/>
  <c r="E24" i="4"/>
  <c r="I24" i="4"/>
  <c r="I14" i="4"/>
  <c r="H14" i="4"/>
  <c r="H13" i="4"/>
  <c r="H24" i="4"/>
  <c r="D36" i="4"/>
  <c r="D24" i="4"/>
  <c r="D13" i="4" s="1"/>
  <c r="C24" i="4"/>
  <c r="C13" i="4"/>
  <c r="D14" i="4"/>
  <c r="C14" i="4"/>
  <c r="D26" i="4"/>
  <c r="D20" i="4"/>
  <c r="D19" i="4"/>
  <c r="H98" i="2"/>
  <c r="H13" i="5" l="1"/>
  <c r="F13" i="5"/>
  <c r="I13" i="5"/>
  <c r="E13" i="5"/>
  <c r="I13" i="4"/>
  <c r="E13" i="4"/>
  <c r="H98" i="3"/>
  <c r="H65" i="10"/>
  <c r="H47" i="10"/>
  <c r="H43" i="10"/>
  <c r="H42" i="10"/>
  <c r="H41" i="10"/>
  <c r="H40" i="10" s="1"/>
  <c r="H35" i="10"/>
  <c r="E35" i="10"/>
  <c r="H25" i="10"/>
  <c r="H87" i="10"/>
  <c r="H81" i="10" s="1"/>
  <c r="D87" i="10"/>
  <c r="D81" i="10" s="1"/>
  <c r="D59" i="10"/>
  <c r="D43" i="10"/>
  <c r="D37" i="10"/>
  <c r="D35" i="10"/>
  <c r="D25" i="10"/>
  <c r="D20" i="9"/>
  <c r="L23" i="9"/>
  <c r="E95" i="3" l="1"/>
  <c r="D95" i="3"/>
  <c r="C95" i="3"/>
  <c r="C36" i="5"/>
  <c r="C21" i="3"/>
  <c r="C15" i="5"/>
  <c r="C20" i="2"/>
  <c r="C20" i="5"/>
  <c r="C20" i="9"/>
  <c r="C20" i="7"/>
  <c r="C20" i="4"/>
  <c r="C15" i="9"/>
  <c r="C85" i="3" l="1"/>
  <c r="C63" i="3"/>
  <c r="C35" i="3"/>
  <c r="C15" i="2" l="1"/>
  <c r="C36" i="4" l="1"/>
  <c r="C59" i="10" l="1"/>
  <c r="C26" i="4" l="1"/>
  <c r="C19" i="4"/>
  <c r="C15" i="4"/>
  <c r="C30" i="6"/>
  <c r="C15" i="6"/>
  <c r="C15" i="7"/>
  <c r="C72" i="7" l="1"/>
  <c r="C107" i="4" l="1"/>
  <c r="C37" i="10"/>
  <c r="C77" i="10"/>
  <c r="C64" i="6"/>
  <c r="C49" i="6"/>
  <c r="C59" i="3" l="1"/>
  <c r="C50" i="3"/>
  <c r="C84" i="5"/>
  <c r="C35" i="10" l="1"/>
  <c r="C107" i="6"/>
  <c r="C96" i="4"/>
  <c r="C20" i="3"/>
  <c r="C107" i="2" l="1"/>
  <c r="D80" i="10" l="1"/>
  <c r="E81" i="10"/>
  <c r="E80" i="10" s="1"/>
  <c r="J87" i="10"/>
  <c r="N87" i="10" s="1"/>
  <c r="I81" i="10"/>
  <c r="I80" i="10" s="1"/>
  <c r="H80" i="10"/>
  <c r="J146" i="9"/>
  <c r="J145" i="9" s="1"/>
  <c r="I146" i="9"/>
  <c r="I145" i="9" s="1"/>
  <c r="H146" i="9"/>
  <c r="H145" i="9" s="1"/>
  <c r="D146" i="9"/>
  <c r="D145" i="9" s="1"/>
  <c r="E146" i="9"/>
  <c r="E145" i="9" s="1"/>
  <c r="J147" i="9"/>
  <c r="I147" i="9"/>
  <c r="H147" i="9"/>
  <c r="J153" i="9"/>
  <c r="I153" i="9"/>
  <c r="H153" i="9"/>
  <c r="D153" i="9"/>
  <c r="E153" i="9"/>
  <c r="C153" i="9"/>
  <c r="E147" i="9"/>
  <c r="D147" i="9"/>
  <c r="C147" i="9"/>
  <c r="N106" i="16"/>
  <c r="M106" i="16"/>
  <c r="L106" i="16"/>
  <c r="N105" i="16"/>
  <c r="M105" i="16"/>
  <c r="L105" i="16"/>
  <c r="N104" i="16"/>
  <c r="M104" i="16"/>
  <c r="L104" i="16"/>
  <c r="N103" i="16"/>
  <c r="M103" i="16"/>
  <c r="L103" i="16"/>
  <c r="N102" i="16"/>
  <c r="M102" i="16"/>
  <c r="L102" i="16"/>
  <c r="N101" i="16"/>
  <c r="M101" i="16"/>
  <c r="L101" i="16"/>
  <c r="N94" i="16"/>
  <c r="M94" i="16"/>
  <c r="L94" i="16"/>
  <c r="N93" i="16"/>
  <c r="M93" i="16"/>
  <c r="L93" i="16"/>
  <c r="N92" i="16"/>
  <c r="M92" i="16"/>
  <c r="L92" i="16"/>
  <c r="N91" i="16"/>
  <c r="M91" i="16"/>
  <c r="L91" i="16"/>
  <c r="N90" i="16"/>
  <c r="M90" i="16"/>
  <c r="L90" i="16"/>
  <c r="N89" i="16"/>
  <c r="M89" i="16"/>
  <c r="L89" i="16"/>
  <c r="N82" i="16"/>
  <c r="M82" i="16"/>
  <c r="L82" i="16"/>
  <c r="N81" i="16"/>
  <c r="M81" i="16"/>
  <c r="L81" i="16"/>
  <c r="N80" i="16"/>
  <c r="M80" i="16"/>
  <c r="L80" i="16"/>
  <c r="N79" i="16"/>
  <c r="M79" i="16"/>
  <c r="L79" i="16"/>
  <c r="N78" i="16"/>
  <c r="M78" i="16"/>
  <c r="L78" i="16"/>
  <c r="N77" i="16"/>
  <c r="M77" i="16"/>
  <c r="L77" i="16"/>
  <c r="N58" i="16"/>
  <c r="M58" i="16"/>
  <c r="L58" i="16"/>
  <c r="N57" i="16"/>
  <c r="M57" i="16"/>
  <c r="L57" i="16"/>
  <c r="N56" i="16"/>
  <c r="M56" i="16"/>
  <c r="L56" i="16"/>
  <c r="N55" i="16"/>
  <c r="M55" i="16"/>
  <c r="L55" i="16"/>
  <c r="N54" i="16"/>
  <c r="M54" i="16"/>
  <c r="L54" i="16"/>
  <c r="N53" i="16"/>
  <c r="M53" i="16"/>
  <c r="L53" i="16"/>
  <c r="N46" i="16"/>
  <c r="M46" i="16"/>
  <c r="L46" i="16"/>
  <c r="N45" i="16"/>
  <c r="M45" i="16"/>
  <c r="L45" i="16"/>
  <c r="N44" i="16"/>
  <c r="M44" i="16"/>
  <c r="L44" i="16"/>
  <c r="N43" i="16"/>
  <c r="M43" i="16"/>
  <c r="L43" i="16"/>
  <c r="N42" i="16"/>
  <c r="M42" i="16"/>
  <c r="L42" i="16"/>
  <c r="N41" i="16"/>
  <c r="M41" i="16"/>
  <c r="L41" i="16"/>
  <c r="S95" i="10"/>
  <c r="S94" i="10"/>
  <c r="S93" i="10"/>
  <c r="S92" i="10"/>
  <c r="S91" i="10"/>
  <c r="S74" i="10"/>
  <c r="S73" i="10"/>
  <c r="S71" i="10"/>
  <c r="S70" i="10"/>
  <c r="S68" i="10"/>
  <c r="S66" i="10"/>
  <c r="S49" i="10"/>
  <c r="S34" i="10"/>
  <c r="S32" i="10"/>
  <c r="S24" i="10"/>
  <c r="S23" i="10"/>
  <c r="N95" i="10"/>
  <c r="M95" i="10"/>
  <c r="L95" i="10"/>
  <c r="N94" i="10"/>
  <c r="M94" i="10"/>
  <c r="L94" i="10"/>
  <c r="N93" i="10"/>
  <c r="M93" i="10"/>
  <c r="L93" i="10"/>
  <c r="N92" i="10"/>
  <c r="M92" i="10"/>
  <c r="L92" i="10"/>
  <c r="N91" i="10"/>
  <c r="M91" i="10"/>
  <c r="L91" i="10"/>
  <c r="N90" i="10"/>
  <c r="M90" i="10"/>
  <c r="L90" i="10"/>
  <c r="N89" i="10"/>
  <c r="M89" i="10"/>
  <c r="L89" i="10"/>
  <c r="N88" i="10"/>
  <c r="M88" i="10"/>
  <c r="M87" i="10"/>
  <c r="N86" i="10"/>
  <c r="M86" i="10"/>
  <c r="L86" i="10"/>
  <c r="N85" i="10"/>
  <c r="M85" i="10"/>
  <c r="L85" i="10"/>
  <c r="N84" i="10"/>
  <c r="M84" i="10"/>
  <c r="L84" i="10"/>
  <c r="N83" i="10"/>
  <c r="M83" i="10"/>
  <c r="L83" i="10"/>
  <c r="N82" i="10"/>
  <c r="M82" i="10"/>
  <c r="L82" i="10"/>
  <c r="N79" i="10"/>
  <c r="M79" i="10"/>
  <c r="L79" i="10"/>
  <c r="N78" i="10"/>
  <c r="M78" i="10"/>
  <c r="L78" i="10"/>
  <c r="N77" i="10"/>
  <c r="M77" i="10"/>
  <c r="L77" i="10"/>
  <c r="N75" i="10"/>
  <c r="M75" i="10"/>
  <c r="L75" i="10"/>
  <c r="N74" i="10"/>
  <c r="M74" i="10"/>
  <c r="L74" i="10"/>
  <c r="N73" i="10"/>
  <c r="M73" i="10"/>
  <c r="L73" i="10"/>
  <c r="N72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6" i="10"/>
  <c r="M66" i="10"/>
  <c r="L66" i="10"/>
  <c r="N65" i="10"/>
  <c r="M65" i="10"/>
  <c r="L65" i="10"/>
  <c r="N64" i="10"/>
  <c r="M64" i="10"/>
  <c r="L64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9" i="10"/>
  <c r="M59" i="10"/>
  <c r="L59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53" i="10"/>
  <c r="M53" i="10"/>
  <c r="L53" i="10"/>
  <c r="N52" i="10"/>
  <c r="M52" i="10"/>
  <c r="L52" i="10"/>
  <c r="N51" i="10"/>
  <c r="M51" i="10"/>
  <c r="L51" i="10"/>
  <c r="N49" i="10"/>
  <c r="M49" i="10"/>
  <c r="L49" i="10"/>
  <c r="N48" i="10"/>
  <c r="M48" i="10"/>
  <c r="L48" i="10"/>
  <c r="N46" i="10"/>
  <c r="M46" i="10"/>
  <c r="L46" i="10"/>
  <c r="N45" i="10"/>
  <c r="M45" i="10"/>
  <c r="L45" i="10"/>
  <c r="N44" i="10"/>
  <c r="M44" i="10"/>
  <c r="L44" i="10"/>
  <c r="N43" i="10"/>
  <c r="N41" i="10"/>
  <c r="M41" i="10"/>
  <c r="L41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M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P160" i="9"/>
  <c r="Q160" i="9"/>
  <c r="T160" i="9"/>
  <c r="Q161" i="9"/>
  <c r="P162" i="9"/>
  <c r="Q162" i="9"/>
  <c r="S162" i="9" s="1"/>
  <c r="T162" i="9"/>
  <c r="P163" i="9"/>
  <c r="Q163" i="9"/>
  <c r="T163" i="9"/>
  <c r="P164" i="9"/>
  <c r="Q164" i="9"/>
  <c r="S164" i="9"/>
  <c r="T164" i="9"/>
  <c r="P165" i="9"/>
  <c r="S165" i="9" s="1"/>
  <c r="Q165" i="9"/>
  <c r="T165" i="9"/>
  <c r="P166" i="9"/>
  <c r="Q166" i="9"/>
  <c r="S166" i="9" s="1"/>
  <c r="T166" i="9"/>
  <c r="L162" i="9"/>
  <c r="M162" i="9"/>
  <c r="L163" i="9"/>
  <c r="M163" i="9"/>
  <c r="L164" i="9"/>
  <c r="M164" i="9"/>
  <c r="L165" i="9"/>
  <c r="M165" i="9"/>
  <c r="L166" i="9"/>
  <c r="M166" i="9"/>
  <c r="N161" i="9"/>
  <c r="M161" i="9"/>
  <c r="N160" i="9"/>
  <c r="M160" i="9"/>
  <c r="L160" i="9"/>
  <c r="N159" i="9"/>
  <c r="M159" i="9"/>
  <c r="L159" i="9"/>
  <c r="N158" i="9"/>
  <c r="M158" i="9"/>
  <c r="L158" i="9"/>
  <c r="N157" i="9"/>
  <c r="M157" i="9"/>
  <c r="L157" i="9"/>
  <c r="N156" i="9"/>
  <c r="M156" i="9"/>
  <c r="L156" i="9"/>
  <c r="N155" i="9"/>
  <c r="M155" i="9"/>
  <c r="L155" i="9"/>
  <c r="N154" i="9"/>
  <c r="M154" i="9"/>
  <c r="L154" i="9"/>
  <c r="N153" i="9"/>
  <c r="M153" i="9"/>
  <c r="L153" i="9"/>
  <c r="N152" i="9"/>
  <c r="M152" i="9"/>
  <c r="L152" i="9"/>
  <c r="N151" i="9"/>
  <c r="M151" i="9"/>
  <c r="L151" i="9"/>
  <c r="N150" i="9"/>
  <c r="M150" i="9"/>
  <c r="L150" i="9"/>
  <c r="N149" i="9"/>
  <c r="M149" i="9"/>
  <c r="L149" i="9"/>
  <c r="N148" i="9"/>
  <c r="M148" i="9"/>
  <c r="L148" i="9"/>
  <c r="N147" i="9"/>
  <c r="M147" i="9"/>
  <c r="L147" i="9"/>
  <c r="M146" i="9"/>
  <c r="N141" i="9"/>
  <c r="M141" i="9"/>
  <c r="L141" i="9"/>
  <c r="N140" i="9"/>
  <c r="M140" i="9"/>
  <c r="L140" i="9"/>
  <c r="N139" i="9"/>
  <c r="M139" i="9"/>
  <c r="L139" i="9"/>
  <c r="N138" i="9"/>
  <c r="M138" i="9"/>
  <c r="L138" i="9"/>
  <c r="N137" i="9"/>
  <c r="M137" i="9"/>
  <c r="L137" i="9"/>
  <c r="N136" i="9"/>
  <c r="M136" i="9"/>
  <c r="L136" i="9"/>
  <c r="N135" i="9"/>
  <c r="N133" i="9"/>
  <c r="M133" i="9"/>
  <c r="L133" i="9"/>
  <c r="N132" i="9"/>
  <c r="M132" i="9"/>
  <c r="L132" i="9"/>
  <c r="N131" i="9"/>
  <c r="M131" i="9"/>
  <c r="L131" i="9"/>
  <c r="N130" i="9"/>
  <c r="M130" i="9"/>
  <c r="N127" i="9"/>
  <c r="M127" i="9"/>
  <c r="L127" i="9"/>
  <c r="N126" i="9"/>
  <c r="M126" i="9"/>
  <c r="L126" i="9"/>
  <c r="N125" i="9"/>
  <c r="M125" i="9"/>
  <c r="L125" i="9"/>
  <c r="N124" i="9"/>
  <c r="M124" i="9"/>
  <c r="L124" i="9"/>
  <c r="N123" i="9"/>
  <c r="M123" i="9"/>
  <c r="L123" i="9"/>
  <c r="N122" i="9"/>
  <c r="M122" i="9"/>
  <c r="N121" i="9"/>
  <c r="M121" i="9"/>
  <c r="L121" i="9"/>
  <c r="N118" i="9"/>
  <c r="M118" i="9"/>
  <c r="L118" i="9"/>
  <c r="N117" i="9"/>
  <c r="M117" i="9"/>
  <c r="L117" i="9"/>
  <c r="N116" i="9"/>
  <c r="M116" i="9"/>
  <c r="N115" i="9"/>
  <c r="M115" i="9"/>
  <c r="L115" i="9"/>
  <c r="N114" i="9"/>
  <c r="M114" i="9"/>
  <c r="L114" i="9"/>
  <c r="N113" i="9"/>
  <c r="M113" i="9"/>
  <c r="L113" i="9"/>
  <c r="N112" i="9"/>
  <c r="M112" i="9"/>
  <c r="L112" i="9"/>
  <c r="N111" i="9"/>
  <c r="M111" i="9"/>
  <c r="L111" i="9"/>
  <c r="N110" i="9"/>
  <c r="M110" i="9"/>
  <c r="L110" i="9"/>
  <c r="N109" i="9"/>
  <c r="M109" i="9"/>
  <c r="L109" i="9"/>
  <c r="N108" i="9"/>
  <c r="M108" i="9"/>
  <c r="L108" i="9"/>
  <c r="N107" i="9"/>
  <c r="M107" i="9"/>
  <c r="L107" i="9"/>
  <c r="N92" i="9"/>
  <c r="M92" i="9"/>
  <c r="L92" i="9"/>
  <c r="N91" i="9"/>
  <c r="M91" i="9"/>
  <c r="L91" i="9"/>
  <c r="N90" i="9"/>
  <c r="M90" i="9"/>
  <c r="L90" i="9"/>
  <c r="N89" i="9"/>
  <c r="M89" i="9"/>
  <c r="L89" i="9"/>
  <c r="N88" i="9"/>
  <c r="M88" i="9"/>
  <c r="L88" i="9"/>
  <c r="N87" i="9"/>
  <c r="M87" i="9"/>
  <c r="L87" i="9"/>
  <c r="N86" i="9"/>
  <c r="M86" i="9"/>
  <c r="L86" i="9"/>
  <c r="N85" i="9"/>
  <c r="M85" i="9"/>
  <c r="L85" i="9"/>
  <c r="N84" i="9"/>
  <c r="M84" i="9"/>
  <c r="L84" i="9"/>
  <c r="N83" i="9"/>
  <c r="M83" i="9"/>
  <c r="L83" i="9"/>
  <c r="N82" i="9"/>
  <c r="M82" i="9"/>
  <c r="L82" i="9"/>
  <c r="N78" i="9"/>
  <c r="M78" i="9"/>
  <c r="L78" i="9"/>
  <c r="N77" i="9"/>
  <c r="M77" i="9"/>
  <c r="L77" i="9"/>
  <c r="N76" i="9"/>
  <c r="M76" i="9"/>
  <c r="L76" i="9"/>
  <c r="N75" i="9"/>
  <c r="M75" i="9"/>
  <c r="L75" i="9"/>
  <c r="N74" i="9"/>
  <c r="M74" i="9"/>
  <c r="L74" i="9"/>
  <c r="N72" i="9"/>
  <c r="M72" i="9"/>
  <c r="L72" i="9"/>
  <c r="N71" i="9"/>
  <c r="M71" i="9"/>
  <c r="L71" i="9"/>
  <c r="N70" i="9"/>
  <c r="M70" i="9"/>
  <c r="L70" i="9"/>
  <c r="N69" i="9"/>
  <c r="M69" i="9"/>
  <c r="L69" i="9"/>
  <c r="N68" i="9"/>
  <c r="M68" i="9"/>
  <c r="L68" i="9"/>
  <c r="N67" i="9"/>
  <c r="M67" i="9"/>
  <c r="L67" i="9"/>
  <c r="N66" i="9"/>
  <c r="M66" i="9"/>
  <c r="L66" i="9"/>
  <c r="N65" i="9"/>
  <c r="M65" i="9"/>
  <c r="L65" i="9"/>
  <c r="N64" i="9"/>
  <c r="M64" i="9"/>
  <c r="L64" i="9"/>
  <c r="N63" i="9"/>
  <c r="M63" i="9"/>
  <c r="L63" i="9"/>
  <c r="N62" i="9"/>
  <c r="M62" i="9"/>
  <c r="L62" i="9"/>
  <c r="N61" i="9"/>
  <c r="M61" i="9"/>
  <c r="L61" i="9"/>
  <c r="N60" i="9"/>
  <c r="M60" i="9"/>
  <c r="L60" i="9"/>
  <c r="N59" i="9"/>
  <c r="M59" i="9"/>
  <c r="L59" i="9"/>
  <c r="N58" i="9"/>
  <c r="M58" i="9"/>
  <c r="L58" i="9"/>
  <c r="N56" i="9"/>
  <c r="M56" i="9"/>
  <c r="L56" i="9"/>
  <c r="N54" i="9"/>
  <c r="M54" i="9"/>
  <c r="L54" i="9"/>
  <c r="N51" i="9"/>
  <c r="M51" i="9"/>
  <c r="L51" i="9"/>
  <c r="N47" i="9"/>
  <c r="M47" i="9"/>
  <c r="L47" i="9"/>
  <c r="N44" i="9"/>
  <c r="M44" i="9"/>
  <c r="L44" i="9"/>
  <c r="N43" i="9"/>
  <c r="M43" i="9"/>
  <c r="L43" i="9"/>
  <c r="N42" i="9"/>
  <c r="M42" i="9"/>
  <c r="L42" i="9"/>
  <c r="N41" i="9"/>
  <c r="M41" i="9"/>
  <c r="L41" i="9"/>
  <c r="N40" i="9"/>
  <c r="M40" i="9"/>
  <c r="L40" i="9"/>
  <c r="N36" i="9"/>
  <c r="M36" i="9"/>
  <c r="L36" i="9"/>
  <c r="N34" i="9"/>
  <c r="M34" i="9"/>
  <c r="L34" i="9"/>
  <c r="N33" i="9"/>
  <c r="M33" i="9"/>
  <c r="L33" i="9"/>
  <c r="N27" i="9"/>
  <c r="M27" i="9"/>
  <c r="L27" i="9"/>
  <c r="N26" i="9"/>
  <c r="M26" i="9"/>
  <c r="L26" i="9"/>
  <c r="N25" i="9"/>
  <c r="M25" i="9"/>
  <c r="L25" i="9"/>
  <c r="N24" i="9"/>
  <c r="M24" i="9"/>
  <c r="L24" i="9"/>
  <c r="N23" i="9"/>
  <c r="M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5" i="9"/>
  <c r="M15" i="9"/>
  <c r="L15" i="9"/>
  <c r="S140" i="9"/>
  <c r="S139" i="9"/>
  <c r="S138" i="9"/>
  <c r="S137" i="9"/>
  <c r="S136" i="9"/>
  <c r="S117" i="9"/>
  <c r="S114" i="9"/>
  <c r="S113" i="9"/>
  <c r="S111" i="9"/>
  <c r="S110" i="9"/>
  <c r="S109" i="9"/>
  <c r="S108" i="9"/>
  <c r="S103" i="9"/>
  <c r="S102" i="9"/>
  <c r="S101" i="9"/>
  <c r="S100" i="9"/>
  <c r="S99" i="9"/>
  <c r="S98" i="9"/>
  <c r="S97" i="9"/>
  <c r="S96" i="9"/>
  <c r="S95" i="9"/>
  <c r="S94" i="9"/>
  <c r="S93" i="9"/>
  <c r="S91" i="9"/>
  <c r="S90" i="9"/>
  <c r="S89" i="9"/>
  <c r="S88" i="9"/>
  <c r="S87" i="9"/>
  <c r="S86" i="9"/>
  <c r="S85" i="9"/>
  <c r="S84" i="9"/>
  <c r="S83" i="9"/>
  <c r="S79" i="9"/>
  <c r="S33" i="9"/>
  <c r="S24" i="9"/>
  <c r="S14" i="9"/>
  <c r="N101" i="4"/>
  <c r="M101" i="4"/>
  <c r="L101" i="4"/>
  <c r="N100" i="4"/>
  <c r="M100" i="4"/>
  <c r="L100" i="4"/>
  <c r="N98" i="4"/>
  <c r="M98" i="4"/>
  <c r="L98" i="4"/>
  <c r="N97" i="4"/>
  <c r="M97" i="4"/>
  <c r="L97" i="4"/>
  <c r="N96" i="4"/>
  <c r="M96" i="4"/>
  <c r="L96" i="4"/>
  <c r="N94" i="4"/>
  <c r="M94" i="4"/>
  <c r="L94" i="4"/>
  <c r="N93" i="4"/>
  <c r="M93" i="4"/>
  <c r="L93" i="4"/>
  <c r="N88" i="4"/>
  <c r="M88" i="4"/>
  <c r="L88" i="4"/>
  <c r="N87" i="4"/>
  <c r="M87" i="4"/>
  <c r="L87" i="4"/>
  <c r="N86" i="4"/>
  <c r="M86" i="4"/>
  <c r="L86" i="4"/>
  <c r="N85" i="4"/>
  <c r="M85" i="4"/>
  <c r="L85" i="4"/>
  <c r="N84" i="4"/>
  <c r="M84" i="4"/>
  <c r="L84" i="4"/>
  <c r="N82" i="4"/>
  <c r="M82" i="4"/>
  <c r="L82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M74" i="4"/>
  <c r="L74" i="4"/>
  <c r="N73" i="4"/>
  <c r="M73" i="4"/>
  <c r="L73" i="4"/>
  <c r="N72" i="4"/>
  <c r="M72" i="4"/>
  <c r="L72" i="4"/>
  <c r="N70" i="4"/>
  <c r="M70" i="4"/>
  <c r="L70" i="4"/>
  <c r="N69" i="4"/>
  <c r="M69" i="4"/>
  <c r="L69" i="4"/>
  <c r="N68" i="4"/>
  <c r="M68" i="4"/>
  <c r="L68" i="4"/>
  <c r="N67" i="4"/>
  <c r="M67" i="4"/>
  <c r="L67" i="4"/>
  <c r="N66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0" i="4"/>
  <c r="M30" i="4"/>
  <c r="L30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01" i="5"/>
  <c r="M101" i="5"/>
  <c r="L101" i="5"/>
  <c r="N100" i="5"/>
  <c r="M100" i="5"/>
  <c r="N98" i="5"/>
  <c r="M98" i="5"/>
  <c r="L98" i="5"/>
  <c r="N97" i="5"/>
  <c r="M97" i="5"/>
  <c r="L97" i="5"/>
  <c r="N96" i="5"/>
  <c r="M96" i="5"/>
  <c r="L96" i="5"/>
  <c r="N94" i="5"/>
  <c r="M94" i="5"/>
  <c r="L94" i="5"/>
  <c r="N93" i="5"/>
  <c r="N87" i="5"/>
  <c r="M87" i="5"/>
  <c r="L87" i="5"/>
  <c r="N86" i="5"/>
  <c r="M86" i="5"/>
  <c r="L86" i="5"/>
  <c r="N84" i="5"/>
  <c r="M84" i="5"/>
  <c r="L84" i="5"/>
  <c r="N82" i="5"/>
  <c r="M82" i="5"/>
  <c r="L82" i="5"/>
  <c r="N80" i="5"/>
  <c r="M80" i="5"/>
  <c r="L80" i="5"/>
  <c r="N74" i="5"/>
  <c r="M74" i="5"/>
  <c r="L74" i="5"/>
  <c r="N72" i="5"/>
  <c r="M72" i="5"/>
  <c r="L72" i="5"/>
  <c r="N69" i="5"/>
  <c r="M69" i="5"/>
  <c r="L69" i="5"/>
  <c r="N67" i="5"/>
  <c r="M67" i="5"/>
  <c r="L67" i="5"/>
  <c r="N64" i="5"/>
  <c r="M64" i="5"/>
  <c r="L64" i="5"/>
  <c r="N62" i="5"/>
  <c r="M62" i="5"/>
  <c r="L62" i="5"/>
  <c r="N60" i="5"/>
  <c r="M60" i="5"/>
  <c r="L60" i="5"/>
  <c r="N58" i="5"/>
  <c r="M58" i="5"/>
  <c r="L58" i="5"/>
  <c r="N56" i="5"/>
  <c r="M56" i="5"/>
  <c r="L56" i="5"/>
  <c r="N53" i="5"/>
  <c r="M53" i="5"/>
  <c r="L53" i="5"/>
  <c r="N49" i="5"/>
  <c r="M49" i="5"/>
  <c r="L49" i="5"/>
  <c r="N46" i="5"/>
  <c r="M46" i="5"/>
  <c r="L46" i="5"/>
  <c r="N45" i="5"/>
  <c r="M45" i="5"/>
  <c r="L45" i="5"/>
  <c r="N42" i="5"/>
  <c r="M42" i="5"/>
  <c r="L42" i="5"/>
  <c r="N36" i="5"/>
  <c r="M36" i="5"/>
  <c r="L36" i="5"/>
  <c r="N34" i="5"/>
  <c r="M34" i="5"/>
  <c r="L34" i="5"/>
  <c r="N30" i="5"/>
  <c r="M30" i="5"/>
  <c r="L30" i="5"/>
  <c r="N27" i="5"/>
  <c r="M27" i="5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01" i="6"/>
  <c r="M101" i="6"/>
  <c r="L101" i="6"/>
  <c r="N100" i="6"/>
  <c r="M100" i="6"/>
  <c r="N98" i="6"/>
  <c r="M98" i="6"/>
  <c r="L98" i="6"/>
  <c r="N97" i="6"/>
  <c r="M97" i="6"/>
  <c r="L97" i="6"/>
  <c r="N96" i="6"/>
  <c r="M96" i="6"/>
  <c r="L96" i="6"/>
  <c r="N94" i="6"/>
  <c r="M94" i="6"/>
  <c r="L94" i="6"/>
  <c r="M93" i="6"/>
  <c r="L93" i="6"/>
  <c r="N88" i="6"/>
  <c r="M88" i="6"/>
  <c r="L88" i="6"/>
  <c r="N87" i="6"/>
  <c r="M87" i="6"/>
  <c r="L87" i="6"/>
  <c r="N85" i="6"/>
  <c r="M85" i="6"/>
  <c r="L85" i="6"/>
  <c r="N84" i="6"/>
  <c r="M84" i="6"/>
  <c r="L84" i="6"/>
  <c r="N80" i="6"/>
  <c r="M80" i="6"/>
  <c r="L80" i="6"/>
  <c r="N79" i="6"/>
  <c r="M79" i="6"/>
  <c r="L79" i="6"/>
  <c r="N78" i="6"/>
  <c r="M78" i="6"/>
  <c r="L78" i="6"/>
  <c r="N77" i="6"/>
  <c r="M77" i="6"/>
  <c r="L77" i="6"/>
  <c r="N76" i="6"/>
  <c r="M76" i="6"/>
  <c r="L76" i="6"/>
  <c r="N75" i="6"/>
  <c r="M75" i="6"/>
  <c r="L75" i="6"/>
  <c r="N74" i="6"/>
  <c r="M74" i="6"/>
  <c r="L74" i="6"/>
  <c r="N73" i="6"/>
  <c r="M73" i="6"/>
  <c r="L73" i="6"/>
  <c r="N72" i="6"/>
  <c r="M72" i="6"/>
  <c r="L72" i="6"/>
  <c r="N70" i="6"/>
  <c r="M70" i="6"/>
  <c r="L70" i="6"/>
  <c r="N69" i="6"/>
  <c r="M69" i="6"/>
  <c r="L69" i="6"/>
  <c r="N68" i="6"/>
  <c r="M68" i="6"/>
  <c r="L68" i="6"/>
  <c r="N67" i="6"/>
  <c r="M67" i="6"/>
  <c r="L67" i="6"/>
  <c r="N65" i="6"/>
  <c r="M65" i="6"/>
  <c r="L65" i="6"/>
  <c r="N64" i="6"/>
  <c r="M64" i="6"/>
  <c r="L64" i="6"/>
  <c r="N63" i="6"/>
  <c r="M63" i="6"/>
  <c r="L63" i="6"/>
  <c r="N62" i="6"/>
  <c r="M62" i="6"/>
  <c r="L62" i="6"/>
  <c r="N61" i="6"/>
  <c r="M61" i="6"/>
  <c r="L61" i="6"/>
  <c r="N60" i="6"/>
  <c r="M60" i="6"/>
  <c r="L60" i="6"/>
  <c r="N59" i="6"/>
  <c r="M59" i="6"/>
  <c r="L59" i="6"/>
  <c r="N58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N47" i="6"/>
  <c r="M47" i="6"/>
  <c r="L47" i="6"/>
  <c r="N46" i="6"/>
  <c r="M46" i="6"/>
  <c r="L46" i="6"/>
  <c r="L43" i="6"/>
  <c r="M43" i="6"/>
  <c r="N43" i="6"/>
  <c r="L44" i="6"/>
  <c r="M44" i="6"/>
  <c r="N44" i="6"/>
  <c r="L45" i="6"/>
  <c r="M45" i="6"/>
  <c r="N45" i="6"/>
  <c r="L37" i="6"/>
  <c r="M37" i="6"/>
  <c r="N37" i="6"/>
  <c r="L38" i="6"/>
  <c r="M38" i="6"/>
  <c r="N38" i="6"/>
  <c r="L39" i="6"/>
  <c r="M39" i="6"/>
  <c r="N39" i="6"/>
  <c r="L40" i="6"/>
  <c r="M40" i="6"/>
  <c r="N40" i="6"/>
  <c r="Q47" i="6"/>
  <c r="P47" i="6"/>
  <c r="Q46" i="6"/>
  <c r="P46" i="6"/>
  <c r="Q45" i="6"/>
  <c r="P45" i="6"/>
  <c r="Q44" i="6"/>
  <c r="P44" i="6"/>
  <c r="Q43" i="6"/>
  <c r="P43" i="6"/>
  <c r="Q42" i="6"/>
  <c r="P42" i="6"/>
  <c r="N42" i="6"/>
  <c r="M42" i="6"/>
  <c r="L42" i="6"/>
  <c r="Q40" i="6"/>
  <c r="P40" i="6"/>
  <c r="Q39" i="6"/>
  <c r="P39" i="6"/>
  <c r="Q38" i="6"/>
  <c r="P38" i="6"/>
  <c r="Q37" i="6"/>
  <c r="P37" i="6"/>
  <c r="Q36" i="6"/>
  <c r="P36" i="6"/>
  <c r="N36" i="6"/>
  <c r="M36" i="6"/>
  <c r="L36" i="6"/>
  <c r="Q35" i="6"/>
  <c r="P35" i="6"/>
  <c r="N35" i="6"/>
  <c r="M35" i="6"/>
  <c r="L35" i="6"/>
  <c r="Q34" i="6"/>
  <c r="P34" i="6"/>
  <c r="N34" i="6"/>
  <c r="M34" i="6"/>
  <c r="L34" i="6"/>
  <c r="Q30" i="6"/>
  <c r="P30" i="6"/>
  <c r="N30" i="6"/>
  <c r="M30" i="6"/>
  <c r="L30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P15" i="6"/>
  <c r="Q15" i="6"/>
  <c r="P16" i="6"/>
  <c r="Q16" i="6"/>
  <c r="T16" i="6"/>
  <c r="P17" i="6"/>
  <c r="Q17" i="6"/>
  <c r="T17" i="6"/>
  <c r="P18" i="6"/>
  <c r="Q18" i="6"/>
  <c r="T18" i="6"/>
  <c r="P19" i="6"/>
  <c r="Q19" i="6"/>
  <c r="P20" i="6"/>
  <c r="Q20" i="6"/>
  <c r="P21" i="6"/>
  <c r="Q21" i="6"/>
  <c r="P22" i="6"/>
  <c r="Q22" i="6"/>
  <c r="T22" i="6"/>
  <c r="P23" i="6"/>
  <c r="Q23" i="6"/>
  <c r="N15" i="6"/>
  <c r="M15" i="6"/>
  <c r="L15" i="6"/>
  <c r="N14" i="6"/>
  <c r="M14" i="6"/>
  <c r="L14" i="6"/>
  <c r="N13" i="6"/>
  <c r="P31" i="7"/>
  <c r="L93" i="7"/>
  <c r="N84" i="7"/>
  <c r="M84" i="7"/>
  <c r="L84" i="7"/>
  <c r="N101" i="7"/>
  <c r="M101" i="7"/>
  <c r="L101" i="7"/>
  <c r="N100" i="7"/>
  <c r="M100" i="7"/>
  <c r="N98" i="7"/>
  <c r="M98" i="7"/>
  <c r="L98" i="7"/>
  <c r="N97" i="7"/>
  <c r="M97" i="7"/>
  <c r="L97" i="7"/>
  <c r="N96" i="7"/>
  <c r="M96" i="7"/>
  <c r="L96" i="7"/>
  <c r="N86" i="7"/>
  <c r="M86" i="7"/>
  <c r="L86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0" i="7"/>
  <c r="M70" i="7"/>
  <c r="L70" i="7"/>
  <c r="N69" i="7"/>
  <c r="M69" i="7"/>
  <c r="L69" i="7"/>
  <c r="N68" i="7"/>
  <c r="M68" i="7"/>
  <c r="L68" i="7"/>
  <c r="N67" i="7"/>
  <c r="M67" i="7"/>
  <c r="L67" i="7"/>
  <c r="N66" i="7"/>
  <c r="L51" i="7"/>
  <c r="M51" i="7"/>
  <c r="N51" i="7"/>
  <c r="L52" i="7"/>
  <c r="M52" i="7"/>
  <c r="N52" i="7"/>
  <c r="L53" i="7"/>
  <c r="M53" i="7"/>
  <c r="N5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N48" i="7"/>
  <c r="L49" i="7"/>
  <c r="M49" i="7"/>
  <c r="N49" i="7"/>
  <c r="L50" i="7"/>
  <c r="M50" i="7"/>
  <c r="N50" i="7"/>
  <c r="N42" i="7"/>
  <c r="M42" i="7"/>
  <c r="L42" i="7"/>
  <c r="N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N30" i="7"/>
  <c r="M30" i="7"/>
  <c r="L30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R57" i="17"/>
  <c r="Q57" i="17"/>
  <c r="P57" i="17"/>
  <c r="S57" i="17" s="1"/>
  <c r="T57" i="17" s="1"/>
  <c r="R56" i="17"/>
  <c r="Q56" i="17"/>
  <c r="P56" i="17"/>
  <c r="S56" i="17" s="1"/>
  <c r="R55" i="17"/>
  <c r="Q55" i="17"/>
  <c r="P55" i="17"/>
  <c r="S55" i="17" s="1"/>
  <c r="R53" i="17"/>
  <c r="Q53" i="17"/>
  <c r="P53" i="17"/>
  <c r="S53" i="17" s="1"/>
  <c r="R52" i="17"/>
  <c r="Q52" i="17"/>
  <c r="P52" i="17"/>
  <c r="S52" i="17" s="1"/>
  <c r="R51" i="17"/>
  <c r="Q51" i="17"/>
  <c r="P51" i="17"/>
  <c r="S51" i="17" s="1"/>
  <c r="S48" i="17"/>
  <c r="S47" i="17"/>
  <c r="S46" i="17"/>
  <c r="S44" i="17"/>
  <c r="P43" i="17"/>
  <c r="S43" i="17" s="1"/>
  <c r="P44" i="17"/>
  <c r="P46" i="17"/>
  <c r="P47" i="17"/>
  <c r="P48" i="17"/>
  <c r="R48" i="17"/>
  <c r="Q48" i="17"/>
  <c r="R47" i="17"/>
  <c r="Q47" i="17"/>
  <c r="R46" i="17"/>
  <c r="Q46" i="17"/>
  <c r="R44" i="17"/>
  <c r="Q44" i="17"/>
  <c r="R43" i="17"/>
  <c r="Q43" i="17"/>
  <c r="N192" i="17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M186" i="17"/>
  <c r="L186" i="17"/>
  <c r="N183" i="17"/>
  <c r="M183" i="17"/>
  <c r="L183" i="17"/>
  <c r="N182" i="17"/>
  <c r="M182" i="17"/>
  <c r="L182" i="17"/>
  <c r="N179" i="17"/>
  <c r="M179" i="17"/>
  <c r="L179" i="17"/>
  <c r="N178" i="17"/>
  <c r="M178" i="17"/>
  <c r="L178" i="17"/>
  <c r="N165" i="17"/>
  <c r="M165" i="17"/>
  <c r="L165" i="17"/>
  <c r="N164" i="17"/>
  <c r="M164" i="17"/>
  <c r="L164" i="17"/>
  <c r="N163" i="17"/>
  <c r="M163" i="17"/>
  <c r="L163" i="17"/>
  <c r="N161" i="17"/>
  <c r="M161" i="17"/>
  <c r="L161" i="17"/>
  <c r="N160" i="17"/>
  <c r="M160" i="17"/>
  <c r="L160" i="17"/>
  <c r="M159" i="17"/>
  <c r="L159" i="17"/>
  <c r="N156" i="17"/>
  <c r="M156" i="17"/>
  <c r="L156" i="17"/>
  <c r="N155" i="17"/>
  <c r="M155" i="17"/>
  <c r="L155" i="17"/>
  <c r="N152" i="17"/>
  <c r="M152" i="17"/>
  <c r="L152" i="17"/>
  <c r="N151" i="17"/>
  <c r="M151" i="17"/>
  <c r="L151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29" i="17"/>
  <c r="M129" i="17"/>
  <c r="L129" i="17"/>
  <c r="N128" i="17"/>
  <c r="M128" i="17"/>
  <c r="L128" i="17"/>
  <c r="N127" i="17"/>
  <c r="M127" i="17"/>
  <c r="L127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5" i="17"/>
  <c r="M105" i="17"/>
  <c r="L105" i="17"/>
  <c r="N102" i="17"/>
  <c r="M102" i="17"/>
  <c r="L102" i="17"/>
  <c r="N101" i="17"/>
  <c r="M101" i="17"/>
  <c r="L101" i="17"/>
  <c r="N100" i="17"/>
  <c r="M100" i="17"/>
  <c r="L100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0" i="17"/>
  <c r="M80" i="17"/>
  <c r="L80" i="17"/>
  <c r="N79" i="17"/>
  <c r="M79" i="17"/>
  <c r="L79" i="17"/>
  <c r="N78" i="17"/>
  <c r="M78" i="17"/>
  <c r="L78" i="17"/>
  <c r="N75" i="17"/>
  <c r="M75" i="17"/>
  <c r="L75" i="17"/>
  <c r="N74" i="17"/>
  <c r="M74" i="17"/>
  <c r="L74" i="17"/>
  <c r="N73" i="17"/>
  <c r="M73" i="17"/>
  <c r="L73" i="17"/>
  <c r="N71" i="17"/>
  <c r="M71" i="17"/>
  <c r="L71" i="17"/>
  <c r="N70" i="17"/>
  <c r="M70" i="17"/>
  <c r="L70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51" i="17"/>
  <c r="M51" i="17"/>
  <c r="L51" i="17"/>
  <c r="N48" i="17"/>
  <c r="M48" i="17"/>
  <c r="L48" i="17"/>
  <c r="N47" i="17"/>
  <c r="M47" i="17"/>
  <c r="L47" i="17"/>
  <c r="N46" i="17"/>
  <c r="M46" i="17"/>
  <c r="L46" i="17"/>
  <c r="N44" i="17"/>
  <c r="M44" i="17"/>
  <c r="L44" i="17"/>
  <c r="N43" i="17"/>
  <c r="M43" i="17"/>
  <c r="L43" i="17"/>
  <c r="N20" i="17"/>
  <c r="P93" i="9"/>
  <c r="P94" i="9"/>
  <c r="J81" i="10" l="1"/>
  <c r="J80" i="10" s="1"/>
  <c r="N146" i="9"/>
  <c r="S160" i="9"/>
  <c r="M81" i="10"/>
  <c r="S163" i="9"/>
  <c r="N81" i="10" l="1"/>
  <c r="I86" i="7"/>
  <c r="I71" i="7"/>
  <c r="I66" i="7"/>
  <c r="M66" i="7" s="1"/>
  <c r="I48" i="7"/>
  <c r="I41" i="7"/>
  <c r="M41" i="7" s="1"/>
  <c r="I33" i="7"/>
  <c r="M33" i="7" s="1"/>
  <c r="I32" i="7" l="1"/>
  <c r="M43" i="10"/>
  <c r="I40" i="10"/>
  <c r="E14" i="10"/>
  <c r="H71" i="7" l="1"/>
  <c r="H66" i="7"/>
  <c r="L66" i="7" s="1"/>
  <c r="H48" i="7"/>
  <c r="H41" i="7"/>
  <c r="L41" i="7" s="1"/>
  <c r="H33" i="7"/>
  <c r="D33" i="7"/>
  <c r="E33" i="7"/>
  <c r="F33" i="7"/>
  <c r="D41" i="7"/>
  <c r="E41" i="7"/>
  <c r="F41" i="7"/>
  <c r="D48" i="7"/>
  <c r="M48" i="7" s="1"/>
  <c r="E48" i="7"/>
  <c r="F48" i="7"/>
  <c r="D66" i="7"/>
  <c r="E66" i="7"/>
  <c r="F66" i="7"/>
  <c r="D71" i="7"/>
  <c r="M71" i="7" s="1"/>
  <c r="E71" i="7"/>
  <c r="N71" i="7" s="1"/>
  <c r="F71" i="7"/>
  <c r="D83" i="7"/>
  <c r="E83" i="7"/>
  <c r="F83" i="7"/>
  <c r="D32" i="7" l="1"/>
  <c r="F32" i="7"/>
  <c r="E32" i="7"/>
  <c r="H32" i="7"/>
  <c r="D32" i="9"/>
  <c r="C95" i="6" l="1"/>
  <c r="C43" i="10" l="1"/>
  <c r="C26" i="7" l="1"/>
  <c r="C19" i="7"/>
  <c r="C19" i="6" l="1"/>
  <c r="J1" i="6" l="1"/>
  <c r="C19" i="5" l="1"/>
  <c r="L122" i="9" l="1"/>
  <c r="L130" i="9"/>
  <c r="L116" i="9"/>
  <c r="C25" i="10" l="1"/>
  <c r="L25" i="10" s="1"/>
  <c r="C33" i="7" l="1"/>
  <c r="L33" i="7" s="1"/>
  <c r="C41" i="7"/>
  <c r="C48" i="7"/>
  <c r="L48" i="7" s="1"/>
  <c r="C66" i="7"/>
  <c r="C71" i="7"/>
  <c r="L71" i="7" s="1"/>
  <c r="C32" i="7" l="1"/>
  <c r="C83" i="6"/>
  <c r="C95" i="5"/>
  <c r="H93" i="5" l="1"/>
  <c r="L93" i="5" s="1"/>
  <c r="D67" i="3" l="1"/>
  <c r="E67" i="3"/>
  <c r="F67" i="3"/>
  <c r="C67" i="3"/>
  <c r="I135" i="9" l="1"/>
  <c r="M135" i="9" s="1"/>
  <c r="E135" i="9"/>
  <c r="E33" i="6" l="1"/>
  <c r="I99" i="5"/>
  <c r="M99" i="5" s="1"/>
  <c r="E99" i="5"/>
  <c r="I95" i="3"/>
  <c r="H95" i="3"/>
  <c r="N98" i="3"/>
  <c r="M98" i="3"/>
  <c r="L98" i="3"/>
  <c r="I67" i="3"/>
  <c r="H67" i="3"/>
  <c r="E34" i="3"/>
  <c r="N29" i="3"/>
  <c r="I83" i="2"/>
  <c r="D93" i="5" l="1"/>
  <c r="E93" i="5"/>
  <c r="H99" i="5"/>
  <c r="D99" i="5"/>
  <c r="H135" i="9"/>
  <c r="L135" i="9" s="1"/>
  <c r="D135" i="9"/>
  <c r="T82" i="5" l="1"/>
  <c r="I107" i="15"/>
  <c r="D107" i="15"/>
  <c r="C86" i="7"/>
  <c r="C107" i="15" s="1"/>
  <c r="D86" i="7"/>
  <c r="D181" i="17" s="1"/>
  <c r="L181" i="17" s="1"/>
  <c r="E86" i="7"/>
  <c r="E181" i="17" s="1"/>
  <c r="M181" i="17" s="1"/>
  <c r="F86" i="7"/>
  <c r="F181" i="17" s="1"/>
  <c r="N181" i="17" s="1"/>
  <c r="H86" i="7"/>
  <c r="J86" i="7"/>
  <c r="L88" i="7"/>
  <c r="M88" i="7"/>
  <c r="N88" i="7"/>
  <c r="T88" i="7"/>
  <c r="T85" i="7"/>
  <c r="J83" i="7"/>
  <c r="I83" i="7"/>
  <c r="H83" i="7"/>
  <c r="F180" i="17"/>
  <c r="N180" i="17" s="1"/>
  <c r="E180" i="17"/>
  <c r="D180" i="17"/>
  <c r="C83" i="7"/>
  <c r="C180" i="17" s="1"/>
  <c r="T94" i="7"/>
  <c r="T93" i="7"/>
  <c r="J93" i="7"/>
  <c r="I93" i="7"/>
  <c r="H93" i="7"/>
  <c r="H34" i="16" s="1"/>
  <c r="F93" i="7"/>
  <c r="F186" i="17" s="1"/>
  <c r="N186" i="17" s="1"/>
  <c r="E93" i="7"/>
  <c r="E34" i="16" s="1"/>
  <c r="M34" i="16" s="1"/>
  <c r="D93" i="7"/>
  <c r="D34" i="16" s="1"/>
  <c r="L34" i="16" s="1"/>
  <c r="C93" i="7"/>
  <c r="C34" i="16" s="1"/>
  <c r="V90" i="7"/>
  <c r="V90" i="6"/>
  <c r="F105" i="15"/>
  <c r="H106" i="15"/>
  <c r="C94" i="15"/>
  <c r="C153" i="17"/>
  <c r="J86" i="6"/>
  <c r="N86" i="6" s="1"/>
  <c r="I86" i="6"/>
  <c r="H86" i="6"/>
  <c r="F86" i="6"/>
  <c r="F106" i="15" s="1"/>
  <c r="E86" i="6"/>
  <c r="E106" i="15" s="1"/>
  <c r="D86" i="6"/>
  <c r="D154" i="17" s="1"/>
  <c r="L154" i="17" s="1"/>
  <c r="C86" i="6"/>
  <c r="C106" i="15" s="1"/>
  <c r="J83" i="6"/>
  <c r="N83" i="6" s="1"/>
  <c r="I83" i="6"/>
  <c r="H83" i="6"/>
  <c r="F83" i="6"/>
  <c r="F153" i="17" s="1"/>
  <c r="E83" i="6"/>
  <c r="E153" i="17" s="1"/>
  <c r="M153" i="17" s="1"/>
  <c r="D83" i="6"/>
  <c r="D153" i="17" s="1"/>
  <c r="T82" i="6"/>
  <c r="V90" i="5"/>
  <c r="C93" i="15"/>
  <c r="T88" i="5"/>
  <c r="N88" i="5"/>
  <c r="M88" i="5"/>
  <c r="L88" i="5"/>
  <c r="T87" i="5"/>
  <c r="J86" i="5"/>
  <c r="J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N85" i="5"/>
  <c r="M85" i="5"/>
  <c r="L85" i="5"/>
  <c r="J83" i="5"/>
  <c r="I83" i="5"/>
  <c r="H83" i="5"/>
  <c r="F83" i="5"/>
  <c r="F126" i="17" s="1"/>
  <c r="N126" i="17" s="1"/>
  <c r="E83" i="5"/>
  <c r="E93" i="15" s="1"/>
  <c r="D83" i="5"/>
  <c r="D93" i="15" s="1"/>
  <c r="C83" i="5"/>
  <c r="C126" i="17" s="1"/>
  <c r="D31" i="16"/>
  <c r="L31" i="16" s="1"/>
  <c r="T94" i="4"/>
  <c r="J93" i="4"/>
  <c r="I93" i="4"/>
  <c r="H93" i="4"/>
  <c r="H105" i="17" s="1"/>
  <c r="F93" i="4"/>
  <c r="E93" i="4"/>
  <c r="E31" i="16" s="1"/>
  <c r="M31" i="16" s="1"/>
  <c r="D93" i="4"/>
  <c r="D105" i="17" s="1"/>
  <c r="C93" i="4"/>
  <c r="T93" i="4" s="1"/>
  <c r="J86" i="4"/>
  <c r="I86" i="4"/>
  <c r="H86" i="4"/>
  <c r="F86" i="4"/>
  <c r="F100" i="17" s="1"/>
  <c r="D86" i="4"/>
  <c r="D104" i="15" s="1"/>
  <c r="C86" i="4"/>
  <c r="C104" i="15" s="1"/>
  <c r="J83" i="4"/>
  <c r="N83" i="4" s="1"/>
  <c r="I83" i="4"/>
  <c r="H83" i="4"/>
  <c r="L83" i="4" s="1"/>
  <c r="F83" i="4"/>
  <c r="F99" i="17" s="1"/>
  <c r="C83" i="4"/>
  <c r="C92" i="15" s="1"/>
  <c r="V90" i="4"/>
  <c r="F73" i="17"/>
  <c r="V91" i="3"/>
  <c r="N94" i="3"/>
  <c r="J93" i="3"/>
  <c r="N93" i="3" s="1"/>
  <c r="I93" i="3"/>
  <c r="I78" i="17" s="1"/>
  <c r="H93" i="3"/>
  <c r="H78" i="17" s="1"/>
  <c r="F93" i="3"/>
  <c r="F78" i="17" s="1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J34" i="16" l="1"/>
  <c r="N93" i="7"/>
  <c r="J126" i="17"/>
  <c r="N83" i="5"/>
  <c r="J106" i="15"/>
  <c r="J154" i="17"/>
  <c r="I34" i="16"/>
  <c r="M93" i="7"/>
  <c r="I154" i="17"/>
  <c r="M86" i="6"/>
  <c r="H154" i="17"/>
  <c r="L86" i="6"/>
  <c r="E154" i="17"/>
  <c r="M154" i="17" s="1"/>
  <c r="C154" i="17"/>
  <c r="F94" i="15"/>
  <c r="H153" i="17"/>
  <c r="L153" i="17" s="1"/>
  <c r="L83" i="6"/>
  <c r="I153" i="17"/>
  <c r="M83" i="6"/>
  <c r="H93" i="15"/>
  <c r="L83" i="5"/>
  <c r="I93" i="15"/>
  <c r="M83" i="5"/>
  <c r="I92" i="15"/>
  <c r="M83" i="4"/>
  <c r="P45" i="17"/>
  <c r="L45" i="17"/>
  <c r="Q45" i="17"/>
  <c r="M45" i="17"/>
  <c r="R45" i="17"/>
  <c r="N45" i="17"/>
  <c r="J95" i="15"/>
  <c r="N83" i="7"/>
  <c r="I95" i="15"/>
  <c r="M83" i="7"/>
  <c r="H180" i="17"/>
  <c r="L180" i="17" s="1"/>
  <c r="L83" i="7"/>
  <c r="J180" i="17"/>
  <c r="J92" i="15"/>
  <c r="I106" i="15"/>
  <c r="H186" i="17"/>
  <c r="H104" i="15"/>
  <c r="J94" i="15"/>
  <c r="C99" i="17"/>
  <c r="F154" i="17"/>
  <c r="N154" i="17" s="1"/>
  <c r="F90" i="15"/>
  <c r="D100" i="17"/>
  <c r="J153" i="17"/>
  <c r="N153" i="17" s="1"/>
  <c r="D106" i="15"/>
  <c r="J99" i="17"/>
  <c r="N99" i="17" s="1"/>
  <c r="I105" i="17"/>
  <c r="C95" i="15"/>
  <c r="J45" i="17"/>
  <c r="F46" i="17"/>
  <c r="C45" i="17"/>
  <c r="H46" i="17"/>
  <c r="F29" i="16"/>
  <c r="N29" i="16" s="1"/>
  <c r="E102" i="15"/>
  <c r="C46" i="17"/>
  <c r="D46" i="17"/>
  <c r="J46" i="17"/>
  <c r="J102" i="15"/>
  <c r="J90" i="15"/>
  <c r="C51" i="17"/>
  <c r="J29" i="16"/>
  <c r="H181" i="17"/>
  <c r="E107" i="15"/>
  <c r="J107" i="15"/>
  <c r="F95" i="15"/>
  <c r="I181" i="17"/>
  <c r="F107" i="15"/>
  <c r="C181" i="17"/>
  <c r="J181" i="17"/>
  <c r="H107" i="15"/>
  <c r="D186" i="17"/>
  <c r="I186" i="17"/>
  <c r="F34" i="16"/>
  <c r="N34" i="16" s="1"/>
  <c r="E186" i="17"/>
  <c r="J186" i="17"/>
  <c r="C186" i="17"/>
  <c r="I30" i="16"/>
  <c r="F30" i="16"/>
  <c r="N30" i="16" s="1"/>
  <c r="J78" i="17"/>
  <c r="C100" i="17"/>
  <c r="H100" i="17"/>
  <c r="C31" i="16"/>
  <c r="H92" i="15"/>
  <c r="F104" i="15"/>
  <c r="I100" i="17"/>
  <c r="I31" i="16"/>
  <c r="F92" i="15"/>
  <c r="J104" i="15"/>
  <c r="H99" i="17"/>
  <c r="J100" i="17"/>
  <c r="H31" i="16"/>
  <c r="I104" i="15"/>
  <c r="E105" i="17"/>
  <c r="J105" i="17"/>
  <c r="F105" i="17"/>
  <c r="F31" i="16"/>
  <c r="N31" i="16" s="1"/>
  <c r="C105" i="17"/>
  <c r="J31" i="16"/>
  <c r="E95" i="15"/>
  <c r="D90" i="15"/>
  <c r="I180" i="17"/>
  <c r="M180" i="17" s="1"/>
  <c r="I94" i="15"/>
  <c r="E94" i="15"/>
  <c r="I99" i="17"/>
  <c r="C73" i="17"/>
  <c r="H73" i="17"/>
  <c r="H30" i="16"/>
  <c r="D73" i="17"/>
  <c r="I73" i="17"/>
  <c r="J103" i="15"/>
  <c r="H103" i="15"/>
  <c r="J30" i="16"/>
  <c r="E90" i="15"/>
  <c r="H95" i="15"/>
  <c r="D95" i="15"/>
  <c r="H94" i="15"/>
  <c r="D94" i="15"/>
  <c r="H126" i="17"/>
  <c r="H90" i="15"/>
  <c r="C127" i="17"/>
  <c r="D126" i="17"/>
  <c r="L126" i="17" s="1"/>
  <c r="I105" i="15"/>
  <c r="D105" i="15"/>
  <c r="H127" i="17"/>
  <c r="F93" i="15"/>
  <c r="I126" i="17"/>
  <c r="J105" i="15"/>
  <c r="E105" i="15"/>
  <c r="T86" i="6"/>
  <c r="T87" i="6"/>
  <c r="T88" i="6"/>
  <c r="T85" i="6"/>
  <c r="J93" i="15"/>
  <c r="E126" i="17"/>
  <c r="M126" i="17" s="1"/>
  <c r="C105" i="15"/>
  <c r="D83" i="4"/>
  <c r="H51" i="17"/>
  <c r="I51" i="17"/>
  <c r="J51" i="17"/>
  <c r="L94" i="3"/>
  <c r="C93" i="3"/>
  <c r="E87" i="3"/>
  <c r="M88" i="3"/>
  <c r="L93" i="2"/>
  <c r="M94" i="2"/>
  <c r="D93" i="2"/>
  <c r="L83" i="2"/>
  <c r="L86" i="2"/>
  <c r="I86" i="2"/>
  <c r="L13" i="6"/>
  <c r="L13" i="4"/>
  <c r="N13" i="4"/>
  <c r="K13" i="4"/>
  <c r="E13" i="3"/>
  <c r="F13" i="3"/>
  <c r="H13" i="3"/>
  <c r="J13" i="3"/>
  <c r="F13" i="2"/>
  <c r="H13" i="2"/>
  <c r="C13" i="2"/>
  <c r="S45" i="17" l="1"/>
  <c r="D92" i="15"/>
  <c r="D99" i="17"/>
  <c r="L99" i="17" s="1"/>
  <c r="E73" i="17"/>
  <c r="E103" i="15"/>
  <c r="C30" i="16"/>
  <c r="C78" i="17"/>
  <c r="M86" i="2"/>
  <c r="I102" i="15"/>
  <c r="I46" i="17"/>
  <c r="M83" i="2"/>
  <c r="I45" i="17"/>
  <c r="I90" i="15"/>
  <c r="E83" i="4"/>
  <c r="E86" i="4"/>
  <c r="D29" i="16"/>
  <c r="L29" i="16" s="1"/>
  <c r="D51" i="17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H72" i="17"/>
  <c r="F72" i="17"/>
  <c r="N72" i="17" s="1"/>
  <c r="E72" i="17"/>
  <c r="D72" i="17"/>
  <c r="C72" i="17"/>
  <c r="J175" i="17"/>
  <c r="H175" i="17"/>
  <c r="F175" i="17"/>
  <c r="J148" i="17"/>
  <c r="H148" i="17"/>
  <c r="F148" i="17"/>
  <c r="E148" i="17"/>
  <c r="J121" i="17"/>
  <c r="H121" i="17"/>
  <c r="F121" i="17"/>
  <c r="E121" i="17"/>
  <c r="C121" i="17"/>
  <c r="J94" i="17"/>
  <c r="H94" i="17"/>
  <c r="F94" i="17"/>
  <c r="E94" i="17"/>
  <c r="D94" i="17"/>
  <c r="C94" i="17"/>
  <c r="J67" i="17"/>
  <c r="H67" i="17"/>
  <c r="F67" i="17"/>
  <c r="E67" i="17"/>
  <c r="J40" i="17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H194" i="17"/>
  <c r="F194" i="17"/>
  <c r="E194" i="17"/>
  <c r="D194" i="17"/>
  <c r="L194" i="17" s="1"/>
  <c r="C194" i="17"/>
  <c r="J167" i="17"/>
  <c r="I167" i="17"/>
  <c r="H167" i="17"/>
  <c r="F167" i="17"/>
  <c r="N167" i="17" s="1"/>
  <c r="E167" i="17"/>
  <c r="D167" i="17"/>
  <c r="L167" i="17" s="1"/>
  <c r="C167" i="17"/>
  <c r="J140" i="17"/>
  <c r="I140" i="17"/>
  <c r="H140" i="17"/>
  <c r="F140" i="17"/>
  <c r="E140" i="17"/>
  <c r="M140" i="17" s="1"/>
  <c r="D140" i="17"/>
  <c r="J113" i="17"/>
  <c r="I113" i="17"/>
  <c r="H113" i="17"/>
  <c r="F113" i="17"/>
  <c r="C113" i="17"/>
  <c r="J86" i="17"/>
  <c r="I86" i="17"/>
  <c r="H86" i="17"/>
  <c r="F86" i="17"/>
  <c r="N86" i="17" s="1"/>
  <c r="J59" i="17"/>
  <c r="I59" i="17"/>
  <c r="H59" i="17"/>
  <c r="F59" i="17"/>
  <c r="C59" i="17"/>
  <c r="J32" i="17"/>
  <c r="I32" i="17"/>
  <c r="H32" i="17"/>
  <c r="F32" i="17"/>
  <c r="E32" i="17"/>
  <c r="C135" i="17"/>
  <c r="C159" i="17"/>
  <c r="J132" i="17"/>
  <c r="H132" i="17"/>
  <c r="F132" i="17"/>
  <c r="E132" i="17"/>
  <c r="D132" i="17"/>
  <c r="G24" i="17"/>
  <c r="J1" i="17"/>
  <c r="C68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J124" i="16"/>
  <c r="F130" i="16"/>
  <c r="F129" i="16"/>
  <c r="F128" i="16"/>
  <c r="F127" i="16"/>
  <c r="N127" i="16" s="1"/>
  <c r="F126" i="16"/>
  <c r="N126" i="16" s="1"/>
  <c r="F125" i="16"/>
  <c r="F124" i="16"/>
  <c r="E130" i="16"/>
  <c r="D130" i="16"/>
  <c r="L130" i="16" s="1"/>
  <c r="E129" i="16"/>
  <c r="D129" i="16"/>
  <c r="L129" i="16" s="1"/>
  <c r="E128" i="16"/>
  <c r="M128" i="16" s="1"/>
  <c r="D128" i="16"/>
  <c r="E124" i="16"/>
  <c r="A132" i="16"/>
  <c r="C130" i="16"/>
  <c r="C129" i="16"/>
  <c r="C127" i="16"/>
  <c r="C125" i="16"/>
  <c r="A120" i="16"/>
  <c r="B99" i="16"/>
  <c r="A108" i="16"/>
  <c r="A96" i="16"/>
  <c r="B87" i="16"/>
  <c r="B75" i="16"/>
  <c r="B63" i="16"/>
  <c r="A84" i="16"/>
  <c r="A72" i="16"/>
  <c r="A36" i="16"/>
  <c r="A48" i="16"/>
  <c r="A60" i="16"/>
  <c r="B51" i="16"/>
  <c r="B39" i="16"/>
  <c r="J32" i="16"/>
  <c r="H32" i="16"/>
  <c r="D32" i="16"/>
  <c r="E32" i="16"/>
  <c r="F32" i="16"/>
  <c r="N32" i="16" s="1"/>
  <c r="C33" i="16"/>
  <c r="B27" i="16"/>
  <c r="J142" i="16"/>
  <c r="I142" i="16"/>
  <c r="H142" i="16"/>
  <c r="F142" i="16"/>
  <c r="E142" i="16"/>
  <c r="J141" i="16"/>
  <c r="I141" i="16"/>
  <c r="H141" i="16"/>
  <c r="F141" i="16"/>
  <c r="E141" i="16"/>
  <c r="D141" i="16"/>
  <c r="J140" i="16"/>
  <c r="I140" i="16"/>
  <c r="H140" i="16"/>
  <c r="F140" i="16"/>
  <c r="J139" i="16"/>
  <c r="I139" i="16"/>
  <c r="H139" i="16"/>
  <c r="F139" i="16"/>
  <c r="E139" i="16"/>
  <c r="D139" i="16"/>
  <c r="J138" i="16"/>
  <c r="I138" i="16"/>
  <c r="H138" i="16"/>
  <c r="F138" i="16"/>
  <c r="N138" i="16" s="1"/>
  <c r="J137" i="16"/>
  <c r="I137" i="16"/>
  <c r="H137" i="16"/>
  <c r="F137" i="16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R8" i="16"/>
  <c r="P8" i="16"/>
  <c r="J1" i="16"/>
  <c r="J40" i="10"/>
  <c r="N40" i="10" s="1"/>
  <c r="L40" i="10"/>
  <c r="D40" i="10"/>
  <c r="M40" i="10" s="1"/>
  <c r="E40" i="10"/>
  <c r="F40" i="10"/>
  <c r="C40" i="10"/>
  <c r="J25" i="10"/>
  <c r="N25" i="10" s="1"/>
  <c r="F25" i="10"/>
  <c r="J14" i="10"/>
  <c r="N14" i="10" s="1"/>
  <c r="I14" i="10"/>
  <c r="H14" i="10"/>
  <c r="F14" i="10"/>
  <c r="C14" i="10"/>
  <c r="S104" i="16" l="1"/>
  <c r="S94" i="16"/>
  <c r="S90" i="16"/>
  <c r="S80" i="16"/>
  <c r="S58" i="16"/>
  <c r="S54" i="16"/>
  <c r="S44" i="16"/>
  <c r="S39" i="16"/>
  <c r="S103" i="16"/>
  <c r="S93" i="16"/>
  <c r="S89" i="16"/>
  <c r="S79" i="16"/>
  <c r="S57" i="16"/>
  <c r="S53" i="16"/>
  <c r="S43" i="16"/>
  <c r="S106" i="16"/>
  <c r="S102" i="16"/>
  <c r="S92" i="16"/>
  <c r="S82" i="16"/>
  <c r="S78" i="16"/>
  <c r="S56" i="16"/>
  <c r="S46" i="16"/>
  <c r="S42" i="16"/>
  <c r="S105" i="16"/>
  <c r="S101" i="16"/>
  <c r="S91" i="16"/>
  <c r="S81" i="16"/>
  <c r="S77" i="16"/>
  <c r="S55" i="16"/>
  <c r="S45" i="16"/>
  <c r="S41" i="16"/>
  <c r="N130" i="16"/>
  <c r="N194" i="17"/>
  <c r="N142" i="16"/>
  <c r="N175" i="17"/>
  <c r="N140" i="16"/>
  <c r="N128" i="16"/>
  <c r="N140" i="17"/>
  <c r="N132" i="17"/>
  <c r="N121" i="17"/>
  <c r="N67" i="17"/>
  <c r="N137" i="16"/>
  <c r="N125" i="16"/>
  <c r="N40" i="17"/>
  <c r="N129" i="16"/>
  <c r="N141" i="16"/>
  <c r="N148" i="17"/>
  <c r="N139" i="16"/>
  <c r="N113" i="17"/>
  <c r="N94" i="17"/>
  <c r="N32" i="17"/>
  <c r="N124" i="16"/>
  <c r="M124" i="16"/>
  <c r="M142" i="16"/>
  <c r="M129" i="16"/>
  <c r="M167" i="17"/>
  <c r="L140" i="17"/>
  <c r="L32" i="16"/>
  <c r="L132" i="17"/>
  <c r="L139" i="16"/>
  <c r="L94" i="17"/>
  <c r="L72" i="17"/>
  <c r="P20" i="17"/>
  <c r="L20" i="17"/>
  <c r="M20" i="17"/>
  <c r="Q20" i="17"/>
  <c r="N59" i="17"/>
  <c r="C13" i="10"/>
  <c r="L14" i="10"/>
  <c r="M32" i="17"/>
  <c r="R32" i="17"/>
  <c r="M139" i="16"/>
  <c r="L141" i="16"/>
  <c r="M141" i="16"/>
  <c r="L128" i="16"/>
  <c r="E104" i="15"/>
  <c r="E100" i="17"/>
  <c r="E92" i="15"/>
  <c r="E99" i="17"/>
  <c r="M99" i="17" s="1"/>
  <c r="D30" i="16"/>
  <c r="L30" i="16" s="1"/>
  <c r="D78" i="17"/>
  <c r="E51" i="17"/>
  <c r="E29" i="16"/>
  <c r="M29" i="16" s="1"/>
  <c r="M93" i="3"/>
  <c r="E93" i="3"/>
  <c r="T94" i="2"/>
  <c r="A11" i="17"/>
  <c r="B105" i="17"/>
  <c r="B132" i="17" s="1"/>
  <c r="B159" i="17" s="1"/>
  <c r="B79" i="17"/>
  <c r="B106" i="17" s="1"/>
  <c r="B133" i="17" s="1"/>
  <c r="B160" i="17" s="1"/>
  <c r="B187" i="17" s="1"/>
  <c r="F132" i="16"/>
  <c r="H132" i="16"/>
  <c r="J132" i="16"/>
  <c r="H144" i="16"/>
  <c r="H21" i="16" s="1"/>
  <c r="I144" i="16"/>
  <c r="I21" i="16" s="1"/>
  <c r="J144" i="16"/>
  <c r="J21" i="16" s="1"/>
  <c r="F144" i="16"/>
  <c r="F48" i="4"/>
  <c r="C48" i="4"/>
  <c r="J48" i="4"/>
  <c r="N48" i="4" s="1"/>
  <c r="H48" i="4"/>
  <c r="L48" i="4" s="1"/>
  <c r="N132" i="16" l="1"/>
  <c r="F21" i="16"/>
  <c r="N21" i="16" s="1"/>
  <c r="N144" i="16"/>
  <c r="E30" i="16"/>
  <c r="M30" i="16" s="1"/>
  <c r="E78" i="17"/>
  <c r="T94" i="3"/>
  <c r="T93" i="2"/>
  <c r="B186" i="17"/>
  <c r="B84" i="17"/>
  <c r="B111" i="17" s="1"/>
  <c r="B138" i="17" s="1"/>
  <c r="E13" i="2"/>
  <c r="D95" i="7"/>
  <c r="E95" i="7"/>
  <c r="F95" i="7"/>
  <c r="J95" i="7"/>
  <c r="N95" i="7" s="1"/>
  <c r="C95" i="7"/>
  <c r="E99" i="7"/>
  <c r="E118" i="16" s="1"/>
  <c r="F99" i="7"/>
  <c r="H99" i="7"/>
  <c r="J99" i="7"/>
  <c r="N99" i="7" s="1"/>
  <c r="D99" i="6"/>
  <c r="D117" i="16" s="1"/>
  <c r="E99" i="6"/>
  <c r="E117" i="16" s="1"/>
  <c r="F99" i="6"/>
  <c r="H99" i="6"/>
  <c r="I99" i="6"/>
  <c r="M99" i="6" s="1"/>
  <c r="J99" i="6"/>
  <c r="N99" i="6" s="1"/>
  <c r="D29" i="6"/>
  <c r="E29" i="6"/>
  <c r="F29" i="6"/>
  <c r="H29" i="6"/>
  <c r="L29" i="6" s="1"/>
  <c r="J29" i="6"/>
  <c r="N29" i="6" s="1"/>
  <c r="C29" i="6"/>
  <c r="D33" i="6"/>
  <c r="H33" i="6"/>
  <c r="L33" i="6" s="1"/>
  <c r="J33" i="6"/>
  <c r="N33" i="6" s="1"/>
  <c r="C33" i="6"/>
  <c r="D41" i="6"/>
  <c r="P41" i="6" s="1"/>
  <c r="E41" i="6"/>
  <c r="F41" i="6"/>
  <c r="H41" i="6"/>
  <c r="L41" i="6" s="1"/>
  <c r="I41" i="6"/>
  <c r="M41" i="6" s="1"/>
  <c r="J41" i="6"/>
  <c r="N41" i="6" s="1"/>
  <c r="C41" i="6"/>
  <c r="D48" i="6"/>
  <c r="E48" i="6"/>
  <c r="F48" i="6"/>
  <c r="H48" i="6"/>
  <c r="L48" i="6" s="1"/>
  <c r="J48" i="6"/>
  <c r="N48" i="6" s="1"/>
  <c r="C48" i="6"/>
  <c r="D66" i="6"/>
  <c r="E66" i="6"/>
  <c r="F66" i="6"/>
  <c r="J66" i="6"/>
  <c r="N66" i="6" s="1"/>
  <c r="C66" i="6"/>
  <c r="E71" i="6"/>
  <c r="F71" i="6"/>
  <c r="H71" i="6"/>
  <c r="L71" i="6" s="1"/>
  <c r="J71" i="6"/>
  <c r="N71" i="6" s="1"/>
  <c r="C71" i="6"/>
  <c r="D33" i="5"/>
  <c r="E33" i="5"/>
  <c r="F33" i="5"/>
  <c r="H33" i="5"/>
  <c r="L33" i="5" s="1"/>
  <c r="J33" i="5"/>
  <c r="N33" i="5" s="1"/>
  <c r="C33" i="5"/>
  <c r="E71" i="5"/>
  <c r="F71" i="5"/>
  <c r="H71" i="5"/>
  <c r="L71" i="5" s="1"/>
  <c r="J71" i="5"/>
  <c r="N71" i="5" s="1"/>
  <c r="C71" i="5"/>
  <c r="D66" i="5"/>
  <c r="E66" i="5"/>
  <c r="F66" i="5"/>
  <c r="H66" i="5"/>
  <c r="L66" i="5" s="1"/>
  <c r="J66" i="5"/>
  <c r="N66" i="5" s="1"/>
  <c r="C66" i="5"/>
  <c r="D48" i="5"/>
  <c r="E48" i="5"/>
  <c r="F48" i="5"/>
  <c r="H48" i="5"/>
  <c r="L48" i="5" s="1"/>
  <c r="J48" i="5"/>
  <c r="C48" i="5"/>
  <c r="D41" i="5"/>
  <c r="E41" i="5"/>
  <c r="F41" i="5"/>
  <c r="H41" i="5"/>
  <c r="L41" i="5" s="1"/>
  <c r="J41" i="5"/>
  <c r="N41" i="5" s="1"/>
  <c r="C41" i="5"/>
  <c r="D29" i="5"/>
  <c r="D122" i="17" s="1"/>
  <c r="E29" i="5"/>
  <c r="E224" i="9" s="1"/>
  <c r="F29" i="5"/>
  <c r="H29" i="5"/>
  <c r="L29" i="5" s="1"/>
  <c r="J29" i="5"/>
  <c r="N29" i="5" s="1"/>
  <c r="C29" i="5"/>
  <c r="C45" i="15" s="1"/>
  <c r="F99" i="4"/>
  <c r="H99" i="4"/>
  <c r="L99" i="4" s="1"/>
  <c r="I99" i="4"/>
  <c r="M99" i="4" s="1"/>
  <c r="J99" i="4"/>
  <c r="N99" i="4" s="1"/>
  <c r="F71" i="4"/>
  <c r="H71" i="4"/>
  <c r="L71" i="4" s="1"/>
  <c r="J71" i="4"/>
  <c r="N71" i="4" s="1"/>
  <c r="C71" i="4"/>
  <c r="D41" i="4"/>
  <c r="E41" i="4"/>
  <c r="F41" i="4"/>
  <c r="H41" i="4"/>
  <c r="L41" i="4" s="1"/>
  <c r="J41" i="4"/>
  <c r="N41" i="4" s="1"/>
  <c r="C41" i="4"/>
  <c r="J33" i="4"/>
  <c r="N33" i="4" s="1"/>
  <c r="H33" i="4"/>
  <c r="L33" i="4" s="1"/>
  <c r="E33" i="4"/>
  <c r="F33" i="4"/>
  <c r="C33" i="4"/>
  <c r="J29" i="4"/>
  <c r="H29" i="4"/>
  <c r="L29" i="4" s="1"/>
  <c r="F29" i="4"/>
  <c r="C29" i="4"/>
  <c r="C44" i="15" s="1"/>
  <c r="J99" i="3"/>
  <c r="I99" i="3"/>
  <c r="H99" i="3"/>
  <c r="H102" i="3" s="1"/>
  <c r="F99" i="3"/>
  <c r="J102" i="3"/>
  <c r="T95" i="3"/>
  <c r="J29" i="2"/>
  <c r="J41" i="17" s="1"/>
  <c r="H29" i="2"/>
  <c r="D29" i="2"/>
  <c r="D41" i="17" s="1"/>
  <c r="E29" i="2"/>
  <c r="E42" i="15" s="1"/>
  <c r="F29" i="2"/>
  <c r="F221" i="9" s="1"/>
  <c r="C29" i="2"/>
  <c r="C221" i="9" s="1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D46" i="15"/>
  <c r="H44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6" i="9"/>
  <c r="C215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N48" i="5" l="1"/>
  <c r="F46" i="15"/>
  <c r="J44" i="15"/>
  <c r="N29" i="4"/>
  <c r="Q48" i="6"/>
  <c r="C42" i="15"/>
  <c r="P48" i="6"/>
  <c r="P29" i="6"/>
  <c r="F225" i="9"/>
  <c r="E149" i="17"/>
  <c r="Q29" i="6"/>
  <c r="H225" i="9"/>
  <c r="P33" i="6"/>
  <c r="Q33" i="6"/>
  <c r="Q41" i="6"/>
  <c r="D224" i="9"/>
  <c r="L41" i="17"/>
  <c r="D42" i="15"/>
  <c r="D221" i="9"/>
  <c r="J32" i="5"/>
  <c r="F89" i="6"/>
  <c r="F32" i="5"/>
  <c r="F123" i="17" s="1"/>
  <c r="J149" i="17"/>
  <c r="F102" i="3"/>
  <c r="C32" i="6"/>
  <c r="C150" i="17" s="1"/>
  <c r="F149" i="17"/>
  <c r="C224" i="9"/>
  <c r="J42" i="15"/>
  <c r="J221" i="9"/>
  <c r="J223" i="9"/>
  <c r="E32" i="6"/>
  <c r="E45" i="15"/>
  <c r="I102" i="3"/>
  <c r="E32" i="5"/>
  <c r="E123" i="17" s="1"/>
  <c r="E40" i="17"/>
  <c r="C41" i="17"/>
  <c r="P41" i="17" s="1"/>
  <c r="C32" i="5"/>
  <c r="C123" i="17" s="1"/>
  <c r="D45" i="15"/>
  <c r="H32" i="5"/>
  <c r="C189" i="17"/>
  <c r="C70" i="16"/>
  <c r="J193" i="17"/>
  <c r="E193" i="17"/>
  <c r="D70" i="16"/>
  <c r="D189" i="17"/>
  <c r="H193" i="17"/>
  <c r="F102" i="7"/>
  <c r="F70" i="16"/>
  <c r="N70" i="16" s="1"/>
  <c r="F189" i="17"/>
  <c r="N189" i="17" s="1"/>
  <c r="F193" i="17"/>
  <c r="J102" i="7"/>
  <c r="N102" i="7" s="1"/>
  <c r="J189" i="17"/>
  <c r="J70" i="16"/>
  <c r="E102" i="7"/>
  <c r="E189" i="17"/>
  <c r="E70" i="16"/>
  <c r="M117" i="16"/>
  <c r="I166" i="17"/>
  <c r="C225" i="9"/>
  <c r="C149" i="17"/>
  <c r="J166" i="17"/>
  <c r="E166" i="17"/>
  <c r="M166" i="17" s="1"/>
  <c r="J46" i="15"/>
  <c r="D225" i="9"/>
  <c r="D149" i="17"/>
  <c r="H166" i="17"/>
  <c r="L117" i="16"/>
  <c r="D166" i="17"/>
  <c r="E225" i="9"/>
  <c r="J225" i="9"/>
  <c r="E46" i="15"/>
  <c r="H46" i="15"/>
  <c r="H149" i="17"/>
  <c r="F166" i="17"/>
  <c r="F45" i="15"/>
  <c r="F122" i="17"/>
  <c r="N122" i="17" s="1"/>
  <c r="J224" i="9"/>
  <c r="J122" i="17"/>
  <c r="E122" i="17"/>
  <c r="H45" i="15"/>
  <c r="H122" i="17"/>
  <c r="L122" i="17" s="1"/>
  <c r="H224" i="9"/>
  <c r="C122" i="17"/>
  <c r="C223" i="9"/>
  <c r="J95" i="17"/>
  <c r="C95" i="17"/>
  <c r="F44" i="15"/>
  <c r="F95" i="17"/>
  <c r="N95" i="17" s="1"/>
  <c r="J112" i="17"/>
  <c r="H223" i="9"/>
  <c r="H95" i="17"/>
  <c r="N115" i="16"/>
  <c r="F112" i="17"/>
  <c r="N112" i="17" s="1"/>
  <c r="I112" i="17"/>
  <c r="F223" i="9"/>
  <c r="H112" i="17"/>
  <c r="T93" i="3"/>
  <c r="J145" i="15"/>
  <c r="J36" i="11" s="1"/>
  <c r="N114" i="16"/>
  <c r="F85" i="17"/>
  <c r="N85" i="17" s="1"/>
  <c r="E66" i="16"/>
  <c r="M66" i="16" s="1"/>
  <c r="E81" i="17"/>
  <c r="M81" i="17" s="1"/>
  <c r="J66" i="16"/>
  <c r="J81" i="17"/>
  <c r="J85" i="17"/>
  <c r="D81" i="17"/>
  <c r="L81" i="17" s="1"/>
  <c r="D66" i="16"/>
  <c r="L66" i="16" s="1"/>
  <c r="C81" i="17"/>
  <c r="C66" i="16"/>
  <c r="H81" i="17"/>
  <c r="H66" i="16"/>
  <c r="H85" i="17"/>
  <c r="F81" i="17"/>
  <c r="N81" i="17" s="1"/>
  <c r="F66" i="16"/>
  <c r="N66" i="16" s="1"/>
  <c r="I81" i="17"/>
  <c r="I66" i="16"/>
  <c r="I85" i="17"/>
  <c r="H145" i="15"/>
  <c r="H22" i="15" s="1"/>
  <c r="F145" i="15"/>
  <c r="I145" i="15"/>
  <c r="I58" i="17"/>
  <c r="E221" i="9"/>
  <c r="E41" i="17"/>
  <c r="N113" i="16"/>
  <c r="F58" i="17"/>
  <c r="J58" i="17"/>
  <c r="H221" i="9"/>
  <c r="H41" i="17"/>
  <c r="H58" i="17"/>
  <c r="F42" i="15"/>
  <c r="F41" i="17"/>
  <c r="N41" i="17" s="1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N193" i="17" l="1"/>
  <c r="N118" i="16"/>
  <c r="J123" i="17"/>
  <c r="J130" i="17" s="1"/>
  <c r="N32" i="5"/>
  <c r="J89" i="5"/>
  <c r="J150" i="17"/>
  <c r="J157" i="17" s="1"/>
  <c r="N32" i="6"/>
  <c r="N149" i="17"/>
  <c r="N117" i="16"/>
  <c r="N166" i="17"/>
  <c r="L166" i="17"/>
  <c r="L149" i="17"/>
  <c r="F150" i="17"/>
  <c r="H123" i="17"/>
  <c r="H130" i="17" s="1"/>
  <c r="L32" i="5"/>
  <c r="N58" i="17"/>
  <c r="R41" i="17"/>
  <c r="Q41" i="17"/>
  <c r="S41" i="17" s="1"/>
  <c r="R40" i="17"/>
  <c r="F130" i="17"/>
  <c r="J89" i="6"/>
  <c r="N89" i="6" s="1"/>
  <c r="F89" i="5"/>
  <c r="J195" i="17"/>
  <c r="E89" i="5"/>
  <c r="C89" i="5"/>
  <c r="E150" i="17"/>
  <c r="E89" i="6"/>
  <c r="E130" i="17"/>
  <c r="C130" i="17"/>
  <c r="H89" i="5"/>
  <c r="E195" i="17"/>
  <c r="F195" i="17"/>
  <c r="F87" i="17"/>
  <c r="I87" i="17"/>
  <c r="J87" i="17"/>
  <c r="H87" i="17"/>
  <c r="B192" i="17"/>
  <c r="H36" i="11"/>
  <c r="J22" i="15"/>
  <c r="I36" i="11"/>
  <c r="I22" i="15"/>
  <c r="F36" i="11"/>
  <c r="F22" i="15"/>
  <c r="N195" i="17" l="1"/>
  <c r="N89" i="5"/>
  <c r="N123" i="17"/>
  <c r="N130" i="17"/>
  <c r="N87" i="17"/>
  <c r="L89" i="5"/>
  <c r="N150" i="17"/>
  <c r="F157" i="17"/>
  <c r="N157" i="17" s="1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T16" i="7" l="1"/>
  <c r="T17" i="7"/>
  <c r="T18" i="7"/>
  <c r="T22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5" i="7"/>
  <c r="T76" i="7"/>
  <c r="T77" i="7"/>
  <c r="T78" i="7"/>
  <c r="T79" i="7"/>
  <c r="T81" i="7"/>
  <c r="T82" i="7"/>
  <c r="T95" i="7"/>
  <c r="T96" i="7"/>
  <c r="J29" i="7"/>
  <c r="F29" i="7"/>
  <c r="J1" i="7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T70" i="6"/>
  <c r="T73" i="6"/>
  <c r="T75" i="6"/>
  <c r="T76" i="6"/>
  <c r="T77" i="6"/>
  <c r="T78" i="6"/>
  <c r="T79" i="6"/>
  <c r="T81" i="6"/>
  <c r="T93" i="6"/>
  <c r="T94" i="6"/>
  <c r="J95" i="6"/>
  <c r="N95" i="6" s="1"/>
  <c r="J93" i="6"/>
  <c r="N93" i="6" s="1"/>
  <c r="F95" i="6"/>
  <c r="F93" i="6"/>
  <c r="J1" i="5"/>
  <c r="T16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6" i="5"/>
  <c r="F95" i="5"/>
  <c r="J1" i="4"/>
  <c r="T73" i="4"/>
  <c r="T75" i="4"/>
  <c r="J66" i="4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2" i="4"/>
  <c r="T18" i="4"/>
  <c r="T17" i="4"/>
  <c r="T97" i="3"/>
  <c r="T96" i="3"/>
  <c r="F95" i="4"/>
  <c r="F102" i="4" s="1"/>
  <c r="F66" i="4"/>
  <c r="F89" i="7" l="1"/>
  <c r="F5" i="7" s="1"/>
  <c r="F184" i="9" s="1"/>
  <c r="J89" i="7"/>
  <c r="C28" i="16"/>
  <c r="C24" i="17"/>
  <c r="F176" i="17"/>
  <c r="F226" i="9"/>
  <c r="F47" i="15"/>
  <c r="J177" i="17"/>
  <c r="J59" i="15"/>
  <c r="J234" i="9"/>
  <c r="F177" i="17"/>
  <c r="F234" i="9"/>
  <c r="F59" i="15"/>
  <c r="J176" i="17"/>
  <c r="J47" i="15"/>
  <c r="J226" i="9"/>
  <c r="F33" i="16"/>
  <c r="N33" i="16" s="1"/>
  <c r="F159" i="17"/>
  <c r="N159" i="17" s="1"/>
  <c r="J159" i="17"/>
  <c r="J33" i="16"/>
  <c r="F69" i="16"/>
  <c r="F162" i="17"/>
  <c r="J69" i="16"/>
  <c r="J162" i="17"/>
  <c r="F135" i="17"/>
  <c r="F68" i="16"/>
  <c r="F102" i="5"/>
  <c r="F6" i="5" s="1"/>
  <c r="F139" i="17"/>
  <c r="F67" i="16"/>
  <c r="F108" i="17"/>
  <c r="J58" i="15"/>
  <c r="J233" i="9"/>
  <c r="F233" i="9"/>
  <c r="F58" i="15"/>
  <c r="F232" i="9"/>
  <c r="F57" i="15"/>
  <c r="J6" i="7"/>
  <c r="F6" i="7"/>
  <c r="J102" i="6"/>
  <c r="N102" i="6" s="1"/>
  <c r="F102" i="6"/>
  <c r="F6" i="4"/>
  <c r="F32" i="4"/>
  <c r="N177" i="17" l="1"/>
  <c r="N176" i="17"/>
  <c r="N162" i="17"/>
  <c r="N69" i="16"/>
  <c r="F114" i="17"/>
  <c r="J5" i="7"/>
  <c r="J7" i="7" s="1"/>
  <c r="J168" i="17"/>
  <c r="F184" i="17"/>
  <c r="J184" i="17"/>
  <c r="F168" i="17"/>
  <c r="F141" i="17"/>
  <c r="F18" i="11"/>
  <c r="F96" i="17"/>
  <c r="F89" i="4"/>
  <c r="F5" i="4" s="1"/>
  <c r="F181" i="9" s="1"/>
  <c r="F7" i="7"/>
  <c r="N6" i="7"/>
  <c r="F231" i="9"/>
  <c r="F56" i="15"/>
  <c r="J5" i="6"/>
  <c r="F5" i="6"/>
  <c r="F183" i="9" s="1"/>
  <c r="F6" i="6"/>
  <c r="J6" i="6"/>
  <c r="F5" i="5"/>
  <c r="J184" i="9" l="1"/>
  <c r="F170" i="17"/>
  <c r="N168" i="17"/>
  <c r="F143" i="17"/>
  <c r="F103" i="17"/>
  <c r="F116" i="17" s="1"/>
  <c r="F197" i="17"/>
  <c r="N184" i="17"/>
  <c r="J170" i="17"/>
  <c r="J197" i="17"/>
  <c r="N5" i="6"/>
  <c r="J183" i="9"/>
  <c r="F7" i="6"/>
  <c r="F7" i="5"/>
  <c r="F182" i="9"/>
  <c r="F7" i="4"/>
  <c r="J7" i="6"/>
  <c r="N6" i="6"/>
  <c r="N13" i="3"/>
  <c r="K13" i="3"/>
  <c r="O13" i="3"/>
  <c r="N95" i="3"/>
  <c r="M95" i="3"/>
  <c r="T82" i="3"/>
  <c r="T80" i="3"/>
  <c r="T79" i="3"/>
  <c r="T78" i="3"/>
  <c r="T77" i="3"/>
  <c r="T76" i="3"/>
  <c r="T75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28" i="2"/>
  <c r="V31" i="2"/>
  <c r="V90" i="2"/>
  <c r="T32" i="10"/>
  <c r="T34" i="10"/>
  <c r="T95" i="10"/>
  <c r="T94" i="10"/>
  <c r="T93" i="10"/>
  <c r="T92" i="10"/>
  <c r="T91" i="10"/>
  <c r="T89" i="10"/>
  <c r="T86" i="10"/>
  <c r="T85" i="10"/>
  <c r="T84" i="10"/>
  <c r="T83" i="10"/>
  <c r="T82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20" i="10"/>
  <c r="T21" i="10"/>
  <c r="T22" i="10"/>
  <c r="T23" i="10"/>
  <c r="T24" i="10"/>
  <c r="T19" i="10"/>
  <c r="N80" i="10"/>
  <c r="J76" i="10"/>
  <c r="N76" i="10" s="1"/>
  <c r="J72" i="10"/>
  <c r="J67" i="10"/>
  <c r="N67" i="10" s="1"/>
  <c r="J50" i="10"/>
  <c r="N50" i="10" s="1"/>
  <c r="J47" i="10"/>
  <c r="N47" i="10" s="1"/>
  <c r="J42" i="10"/>
  <c r="N42" i="10" s="1"/>
  <c r="J30" i="10"/>
  <c r="N30" i="10" s="1"/>
  <c r="F42" i="10"/>
  <c r="F76" i="10"/>
  <c r="F72" i="10"/>
  <c r="F67" i="10"/>
  <c r="F50" i="10"/>
  <c r="F47" i="10"/>
  <c r="F30" i="10"/>
  <c r="N197" i="17" l="1"/>
  <c r="N170" i="17"/>
  <c r="J30" i="17"/>
  <c r="J100" i="16"/>
  <c r="J108" i="16" s="1"/>
  <c r="J19" i="16" s="1"/>
  <c r="J88" i="16"/>
  <c r="J96" i="16" s="1"/>
  <c r="J18" i="16" s="1"/>
  <c r="J29" i="17"/>
  <c r="F76" i="16"/>
  <c r="F28" i="17"/>
  <c r="F88" i="16"/>
  <c r="F29" i="17"/>
  <c r="N29" i="17" s="1"/>
  <c r="J28" i="17"/>
  <c r="J76" i="16"/>
  <c r="J84" i="16" s="1"/>
  <c r="J17" i="16" s="1"/>
  <c r="F30" i="17"/>
  <c r="F100" i="16"/>
  <c r="F31" i="17"/>
  <c r="J31" i="17"/>
  <c r="J25" i="17"/>
  <c r="J40" i="16"/>
  <c r="J48" i="16" s="1"/>
  <c r="J14" i="16" s="1"/>
  <c r="F40" i="16"/>
  <c r="F25" i="17"/>
  <c r="J64" i="16"/>
  <c r="J27" i="17"/>
  <c r="F27" i="17"/>
  <c r="F64" i="16"/>
  <c r="N64" i="16" s="1"/>
  <c r="L95" i="3"/>
  <c r="J13" i="10"/>
  <c r="J39" i="10"/>
  <c r="N39" i="10" s="1"/>
  <c r="F13" i="10"/>
  <c r="F39" i="10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5" i="2"/>
  <c r="T26" i="2"/>
  <c r="T27" i="2"/>
  <c r="T158" i="9"/>
  <c r="T157" i="9"/>
  <c r="T156" i="9"/>
  <c r="T155" i="9"/>
  <c r="T154" i="9"/>
  <c r="T153" i="9"/>
  <c r="T152" i="9"/>
  <c r="T151" i="9"/>
  <c r="T150" i="9"/>
  <c r="T149" i="9"/>
  <c r="T148" i="9"/>
  <c r="T147" i="9"/>
  <c r="T143" i="9"/>
  <c r="T142" i="9"/>
  <c r="T140" i="9"/>
  <c r="T139" i="9"/>
  <c r="T138" i="9"/>
  <c r="T137" i="9"/>
  <c r="T136" i="9"/>
  <c r="T135" i="9"/>
  <c r="T133" i="9"/>
  <c r="T131" i="9"/>
  <c r="T127" i="9"/>
  <c r="T123" i="9"/>
  <c r="T121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6" i="2"/>
  <c r="L17" i="2"/>
  <c r="L18" i="2"/>
  <c r="L19" i="2"/>
  <c r="L15" i="2"/>
  <c r="F95" i="2"/>
  <c r="F102" i="2" s="1"/>
  <c r="R135" i="9"/>
  <c r="Q135" i="9"/>
  <c r="P135" i="9"/>
  <c r="R82" i="9"/>
  <c r="Q82" i="9"/>
  <c r="N166" i="9"/>
  <c r="N165" i="9"/>
  <c r="N164" i="9"/>
  <c r="N163" i="9"/>
  <c r="N162" i="9"/>
  <c r="N143" i="9"/>
  <c r="N142" i="9"/>
  <c r="N145" i="9"/>
  <c r="J129" i="9"/>
  <c r="N129" i="9" s="1"/>
  <c r="J120" i="9"/>
  <c r="N120" i="9" s="1"/>
  <c r="J106" i="9"/>
  <c r="N106" i="9" s="1"/>
  <c r="J81" i="9"/>
  <c r="N81" i="9" s="1"/>
  <c r="J32" i="9"/>
  <c r="J13" i="9"/>
  <c r="N13" i="9" s="1"/>
  <c r="F145" i="9"/>
  <c r="F129" i="9"/>
  <c r="F120" i="9"/>
  <c r="F106" i="9"/>
  <c r="F81" i="9"/>
  <c r="F32" i="9"/>
  <c r="F29" i="9"/>
  <c r="F13" i="9"/>
  <c r="N31" i="17" l="1"/>
  <c r="N28" i="17"/>
  <c r="N27" i="17"/>
  <c r="N25" i="17"/>
  <c r="S135" i="9"/>
  <c r="N32" i="9"/>
  <c r="J29" i="9"/>
  <c r="J14" i="17" s="1"/>
  <c r="N30" i="17"/>
  <c r="F96" i="16"/>
  <c r="N88" i="16"/>
  <c r="F120" i="16"/>
  <c r="N112" i="16"/>
  <c r="F84" i="16"/>
  <c r="N76" i="16"/>
  <c r="F108" i="16"/>
  <c r="N100" i="16"/>
  <c r="F48" i="16"/>
  <c r="N40" i="16"/>
  <c r="J28" i="16"/>
  <c r="J36" i="16" s="1"/>
  <c r="J13" i="16" s="1"/>
  <c r="J24" i="17"/>
  <c r="J15" i="11"/>
  <c r="J14" i="11"/>
  <c r="J16" i="11"/>
  <c r="F28" i="16"/>
  <c r="F24" i="17"/>
  <c r="F52" i="16"/>
  <c r="F26" i="17"/>
  <c r="J52" i="16"/>
  <c r="J60" i="16" s="1"/>
  <c r="J15" i="16" s="1"/>
  <c r="J26" i="17"/>
  <c r="J11" i="11"/>
  <c r="F54" i="17"/>
  <c r="F65" i="16"/>
  <c r="R29" i="9"/>
  <c r="F14" i="17"/>
  <c r="F41" i="15"/>
  <c r="R32" i="9"/>
  <c r="F15" i="17"/>
  <c r="F53" i="15"/>
  <c r="R13" i="9"/>
  <c r="F13" i="17"/>
  <c r="F29" i="15"/>
  <c r="F37" i="15" s="1"/>
  <c r="F13" i="15" s="1"/>
  <c r="F27" i="11" s="1"/>
  <c r="R106" i="9"/>
  <c r="F17" i="17"/>
  <c r="F77" i="15"/>
  <c r="J13" i="17"/>
  <c r="J29" i="15"/>
  <c r="J37" i="15" s="1"/>
  <c r="J13" i="15" s="1"/>
  <c r="J17" i="17"/>
  <c r="J77" i="15"/>
  <c r="Q113" i="15"/>
  <c r="Q121" i="15" s="1"/>
  <c r="F18" i="17"/>
  <c r="F89" i="15"/>
  <c r="F97" i="15" s="1"/>
  <c r="F18" i="15" s="1"/>
  <c r="F32" i="11" s="1"/>
  <c r="R20" i="17"/>
  <c r="S20" i="17" s="1"/>
  <c r="T20" i="17" s="1"/>
  <c r="R113" i="15"/>
  <c r="R121" i="15" s="1"/>
  <c r="J194" i="9"/>
  <c r="J18" i="17"/>
  <c r="J89" i="15"/>
  <c r="J97" i="15" s="1"/>
  <c r="J18" i="15" s="1"/>
  <c r="J15" i="17"/>
  <c r="J53" i="15"/>
  <c r="J19" i="17"/>
  <c r="J101" i="15"/>
  <c r="F19" i="17"/>
  <c r="F101" i="15"/>
  <c r="R81" i="9"/>
  <c r="F16" i="17"/>
  <c r="F65" i="15"/>
  <c r="F21" i="17"/>
  <c r="F125" i="15"/>
  <c r="J16" i="17"/>
  <c r="J65" i="15"/>
  <c r="J21" i="17"/>
  <c r="J125" i="15"/>
  <c r="P113" i="15"/>
  <c r="P121" i="15" s="1"/>
  <c r="J195" i="9"/>
  <c r="J197" i="9"/>
  <c r="R145" i="9"/>
  <c r="R21" i="17" s="1"/>
  <c r="F197" i="9"/>
  <c r="R120" i="9"/>
  <c r="F194" i="9"/>
  <c r="R129" i="9"/>
  <c r="F195" i="9"/>
  <c r="J96" i="10"/>
  <c r="F96" i="10"/>
  <c r="F9" i="10" s="1"/>
  <c r="F32" i="2"/>
  <c r="F42" i="17" s="1"/>
  <c r="F168" i="9"/>
  <c r="N26" i="17" l="1"/>
  <c r="N24" i="17"/>
  <c r="F33" i="17"/>
  <c r="N21" i="17"/>
  <c r="N19" i="17"/>
  <c r="N18" i="17"/>
  <c r="N17" i="17"/>
  <c r="N16" i="17"/>
  <c r="J41" i="15"/>
  <c r="J168" i="9"/>
  <c r="J9" i="9" s="1"/>
  <c r="N15" i="17"/>
  <c r="N14" i="17"/>
  <c r="N13" i="17"/>
  <c r="F60" i="17"/>
  <c r="J9" i="10"/>
  <c r="F19" i="16"/>
  <c r="N108" i="16"/>
  <c r="F17" i="16"/>
  <c r="N84" i="16"/>
  <c r="F20" i="16"/>
  <c r="F60" i="16"/>
  <c r="N52" i="16"/>
  <c r="F36" i="16"/>
  <c r="N28" i="16"/>
  <c r="F72" i="16"/>
  <c r="F14" i="16"/>
  <c r="N48" i="16"/>
  <c r="F18" i="16"/>
  <c r="N96" i="16"/>
  <c r="J10" i="11"/>
  <c r="J12" i="11"/>
  <c r="J33" i="17"/>
  <c r="F49" i="17"/>
  <c r="F89" i="2"/>
  <c r="F5" i="2" s="1"/>
  <c r="F179" i="9" s="1"/>
  <c r="R16" i="17"/>
  <c r="R65" i="15"/>
  <c r="R73" i="15" s="1"/>
  <c r="R195" i="9"/>
  <c r="R19" i="17"/>
  <c r="R101" i="15"/>
  <c r="V135" i="9"/>
  <c r="S113" i="15"/>
  <c r="S121" i="15" s="1"/>
  <c r="J133" i="15"/>
  <c r="J21" i="15" s="1"/>
  <c r="F85" i="15"/>
  <c r="F17" i="15" s="1"/>
  <c r="F31" i="11" s="1"/>
  <c r="F22" i="17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18" i="15"/>
  <c r="J27" i="11"/>
  <c r="N13" i="15"/>
  <c r="R17" i="17"/>
  <c r="R77" i="15"/>
  <c r="R85" i="15" s="1"/>
  <c r="R29" i="15"/>
  <c r="F73" i="15"/>
  <c r="F16" i="15" s="1"/>
  <c r="F30" i="11" s="1"/>
  <c r="J85" i="15"/>
  <c r="J17" i="15" s="1"/>
  <c r="J22" i="17"/>
  <c r="R14" i="17"/>
  <c r="R41" i="15"/>
  <c r="R197" i="9"/>
  <c r="R125" i="15"/>
  <c r="R133" i="15" s="1"/>
  <c r="F54" i="15"/>
  <c r="F229" i="9"/>
  <c r="J32" i="2"/>
  <c r="N13" i="2"/>
  <c r="F6" i="2"/>
  <c r="F9" i="9"/>
  <c r="L30" i="9"/>
  <c r="I32" i="9"/>
  <c r="M32" i="9" s="1"/>
  <c r="H129" i="9"/>
  <c r="H120" i="9"/>
  <c r="H106" i="9"/>
  <c r="H81" i="9"/>
  <c r="L81" i="9" s="1"/>
  <c r="H32" i="9"/>
  <c r="L32" i="9" s="1"/>
  <c r="H29" i="9"/>
  <c r="H13" i="9"/>
  <c r="L13" i="9" s="1"/>
  <c r="E84" i="9"/>
  <c r="E85" i="9"/>
  <c r="E86" i="9"/>
  <c r="N33" i="17" l="1"/>
  <c r="F17" i="11"/>
  <c r="F14" i="11"/>
  <c r="N17" i="16"/>
  <c r="F15" i="11"/>
  <c r="N18" i="16"/>
  <c r="F16" i="16"/>
  <c r="F15" i="16"/>
  <c r="N60" i="16"/>
  <c r="F16" i="11"/>
  <c r="N19" i="16"/>
  <c r="F13" i="16"/>
  <c r="N36" i="16"/>
  <c r="F11" i="11"/>
  <c r="N14" i="16"/>
  <c r="F35" i="17"/>
  <c r="N22" i="17"/>
  <c r="F62" i="17"/>
  <c r="J35" i="17"/>
  <c r="J42" i="17"/>
  <c r="N42" i="17" s="1"/>
  <c r="J89" i="2"/>
  <c r="J35" i="11"/>
  <c r="N21" i="15"/>
  <c r="H16" i="17"/>
  <c r="H65" i="15"/>
  <c r="I15" i="17"/>
  <c r="I53" i="15"/>
  <c r="J31" i="11"/>
  <c r="N17" i="15"/>
  <c r="J33" i="11"/>
  <c r="N19" i="15"/>
  <c r="N16" i="15"/>
  <c r="J30" i="1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F7" i="2"/>
  <c r="E81" i="9"/>
  <c r="N35" i="17" l="1"/>
  <c r="F13" i="11"/>
  <c r="F10" i="11"/>
  <c r="N13" i="16"/>
  <c r="F22" i="16"/>
  <c r="F12" i="11"/>
  <c r="N15" i="16"/>
  <c r="J49" i="17"/>
  <c r="N49" i="17" s="1"/>
  <c r="H27" i="11"/>
  <c r="H73" i="15"/>
  <c r="H16" i="15" s="1"/>
  <c r="H109" i="15"/>
  <c r="H19" i="15" s="1"/>
  <c r="E16" i="17"/>
  <c r="E65" i="15"/>
  <c r="H85" i="15"/>
  <c r="H17" i="15" s="1"/>
  <c r="H32" i="11"/>
  <c r="E42" i="10"/>
  <c r="E30" i="10"/>
  <c r="I30" i="10"/>
  <c r="E47" i="10"/>
  <c r="E50" i="10"/>
  <c r="E67" i="10"/>
  <c r="E72" i="10"/>
  <c r="E76" i="10"/>
  <c r="I76" i="10"/>
  <c r="C72" i="10"/>
  <c r="H72" i="10"/>
  <c r="L72" i="10" s="1"/>
  <c r="I72" i="10"/>
  <c r="H67" i="10"/>
  <c r="D67" i="10"/>
  <c r="I67" i="10"/>
  <c r="I50" i="10"/>
  <c r="C47" i="10"/>
  <c r="L47" i="10" s="1"/>
  <c r="I47" i="10"/>
  <c r="I42" i="10"/>
  <c r="H76" i="10"/>
  <c r="L76" i="10" s="1"/>
  <c r="M67" i="10" l="1"/>
  <c r="L43" i="10"/>
  <c r="F9" i="16"/>
  <c r="F19" i="11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M112" i="16" s="1"/>
  <c r="E31" i="17"/>
  <c r="E30" i="17"/>
  <c r="E100" i="16"/>
  <c r="E29" i="17"/>
  <c r="E88" i="16"/>
  <c r="E76" i="16"/>
  <c r="E28" i="17"/>
  <c r="E27" i="17"/>
  <c r="E64" i="16"/>
  <c r="E40" i="16"/>
  <c r="E25" i="17"/>
  <c r="D76" i="16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H13" i="10"/>
  <c r="L13" i="10" s="1"/>
  <c r="H50" i="10"/>
  <c r="L50" i="10" s="1"/>
  <c r="H30" i="10"/>
  <c r="I13" i="10"/>
  <c r="E39" i="10"/>
  <c r="E13" i="10"/>
  <c r="N13" i="10" s="1"/>
  <c r="M30" i="17" l="1"/>
  <c r="R30" i="17"/>
  <c r="M29" i="17"/>
  <c r="R29" i="17"/>
  <c r="R27" i="17"/>
  <c r="M27" i="17"/>
  <c r="M28" i="17"/>
  <c r="R28" i="17"/>
  <c r="Q28" i="17"/>
  <c r="L28" i="17"/>
  <c r="R25" i="17"/>
  <c r="M25" i="17"/>
  <c r="R31" i="17"/>
  <c r="M31" i="17"/>
  <c r="E96" i="16"/>
  <c r="M88" i="16"/>
  <c r="D84" i="16"/>
  <c r="L76" i="16"/>
  <c r="E108" i="16"/>
  <c r="M100" i="16"/>
  <c r="E84" i="16"/>
  <c r="M76" i="16"/>
  <c r="E48" i="16"/>
  <c r="M40" i="16"/>
  <c r="M64" i="16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H24" i="17"/>
  <c r="H28" i="16"/>
  <c r="I28" i="16"/>
  <c r="I24" i="17"/>
  <c r="E24" i="17"/>
  <c r="E28" i="16"/>
  <c r="E26" i="17"/>
  <c r="E52" i="16"/>
  <c r="E96" i="10"/>
  <c r="N96" i="10" s="1"/>
  <c r="E29" i="7"/>
  <c r="E95" i="6"/>
  <c r="E93" i="6"/>
  <c r="E95" i="5"/>
  <c r="E71" i="4"/>
  <c r="E66" i="4"/>
  <c r="E48" i="4"/>
  <c r="E72" i="3"/>
  <c r="E49" i="3"/>
  <c r="D48" i="2"/>
  <c r="M28" i="16" l="1"/>
  <c r="R26" i="17"/>
  <c r="R24" i="17"/>
  <c r="M24" i="17"/>
  <c r="E17" i="16"/>
  <c r="M84" i="16"/>
  <c r="D17" i="16"/>
  <c r="L84" i="16"/>
  <c r="E19" i="16"/>
  <c r="M108" i="16"/>
  <c r="E60" i="16"/>
  <c r="E14" i="16"/>
  <c r="M48" i="16"/>
  <c r="E18" i="16"/>
  <c r="M96" i="16"/>
  <c r="H96" i="10"/>
  <c r="H9" i="10" s="1"/>
  <c r="H26" i="17"/>
  <c r="H33" i="17" s="1"/>
  <c r="E33" i="17"/>
  <c r="E175" i="17"/>
  <c r="E35" i="15"/>
  <c r="E218" i="9"/>
  <c r="N29" i="7"/>
  <c r="E176" i="17"/>
  <c r="E47" i="15"/>
  <c r="E226" i="9"/>
  <c r="E69" i="16"/>
  <c r="E162" i="17"/>
  <c r="E159" i="17"/>
  <c r="E33" i="16"/>
  <c r="E135" i="17"/>
  <c r="E68" i="16"/>
  <c r="E213" i="9"/>
  <c r="E30" i="15"/>
  <c r="E233" i="9"/>
  <c r="E58" i="15"/>
  <c r="E232" i="9"/>
  <c r="E57" i="15"/>
  <c r="N13" i="7"/>
  <c r="E32" i="4"/>
  <c r="E96" i="17" s="1"/>
  <c r="N41" i="2"/>
  <c r="N66" i="2"/>
  <c r="N71" i="2"/>
  <c r="N33" i="2"/>
  <c r="E9" i="10"/>
  <c r="N9" i="10" s="1"/>
  <c r="E102" i="6"/>
  <c r="E89" i="7"/>
  <c r="N89" i="7" s="1"/>
  <c r="L17" i="16" l="1"/>
  <c r="D14" i="11"/>
  <c r="E36" i="16"/>
  <c r="M33" i="16"/>
  <c r="E15" i="16"/>
  <c r="M19" i="16"/>
  <c r="E16" i="11"/>
  <c r="R19" i="16"/>
  <c r="R16" i="11" s="1"/>
  <c r="M18" i="16"/>
  <c r="R18" i="16"/>
  <c r="R15" i="11" s="1"/>
  <c r="E15" i="11"/>
  <c r="M14" i="16"/>
  <c r="R14" i="16"/>
  <c r="R11" i="11" s="1"/>
  <c r="E11" i="11"/>
  <c r="M17" i="16"/>
  <c r="E14" i="11"/>
  <c r="R17" i="16"/>
  <c r="R14" i="11" s="1"/>
  <c r="E168" i="17"/>
  <c r="E177" i="17"/>
  <c r="E59" i="15"/>
  <c r="E234" i="9"/>
  <c r="E219" i="9"/>
  <c r="E140" i="16"/>
  <c r="M140" i="16" s="1"/>
  <c r="E141" i="15"/>
  <c r="E6" i="7"/>
  <c r="E56" i="15"/>
  <c r="E231" i="9"/>
  <c r="N32" i="7"/>
  <c r="E6" i="6"/>
  <c r="E5" i="6"/>
  <c r="E183" i="9" s="1"/>
  <c r="E116" i="16"/>
  <c r="E5" i="5"/>
  <c r="E95" i="4"/>
  <c r="N48" i="2"/>
  <c r="E95" i="2"/>
  <c r="E32" i="2"/>
  <c r="E170" i="17" l="1"/>
  <c r="R15" i="16"/>
  <c r="R12" i="11" s="1"/>
  <c r="E12" i="11"/>
  <c r="E13" i="16"/>
  <c r="E184" i="17"/>
  <c r="E42" i="17"/>
  <c r="E89" i="2"/>
  <c r="E139" i="17"/>
  <c r="E67" i="16"/>
  <c r="E108" i="17"/>
  <c r="E54" i="17"/>
  <c r="E65" i="16"/>
  <c r="E5" i="7"/>
  <c r="E182" i="9"/>
  <c r="E54" i="15"/>
  <c r="E229" i="9"/>
  <c r="E7" i="6"/>
  <c r="E102" i="5"/>
  <c r="E6" i="5" s="1"/>
  <c r="E7" i="5" s="1"/>
  <c r="N32" i="2"/>
  <c r="I66" i="6"/>
  <c r="M66" i="6" s="1"/>
  <c r="I71" i="6"/>
  <c r="M71" i="6" s="1"/>
  <c r="I41" i="4"/>
  <c r="M41" i="4" s="1"/>
  <c r="M65" i="3"/>
  <c r="M63" i="3"/>
  <c r="M50" i="3"/>
  <c r="M73" i="3"/>
  <c r="I53" i="4"/>
  <c r="I71" i="2"/>
  <c r="M64" i="2"/>
  <c r="M53" i="2"/>
  <c r="M46" i="2"/>
  <c r="I66" i="5"/>
  <c r="M66" i="5" s="1"/>
  <c r="E184" i="9" l="1"/>
  <c r="N5" i="7"/>
  <c r="E141" i="17"/>
  <c r="E143" i="17" s="1"/>
  <c r="R54" i="17"/>
  <c r="R42" i="17"/>
  <c r="E10" i="11"/>
  <c r="R13" i="16"/>
  <c r="R10" i="11" s="1"/>
  <c r="E197" i="17"/>
  <c r="I71" i="5"/>
  <c r="M71" i="5" s="1"/>
  <c r="I71" i="4"/>
  <c r="E49" i="17"/>
  <c r="H66" i="6"/>
  <c r="I33" i="6"/>
  <c r="M33" i="6" s="1"/>
  <c r="I48" i="6"/>
  <c r="M48" i="6" s="1"/>
  <c r="I41" i="5"/>
  <c r="M41" i="5" s="1"/>
  <c r="I33" i="5"/>
  <c r="M33" i="5" s="1"/>
  <c r="I48" i="5"/>
  <c r="M48" i="5" s="1"/>
  <c r="I189" i="9"/>
  <c r="E72" i="16"/>
  <c r="I48" i="4"/>
  <c r="I33" i="4"/>
  <c r="M33" i="4" s="1"/>
  <c r="M35" i="3"/>
  <c r="I34" i="3"/>
  <c r="I72" i="17"/>
  <c r="M72" i="17" s="1"/>
  <c r="I91" i="15"/>
  <c r="I187" i="9"/>
  <c r="M49" i="2"/>
  <c r="I48" i="2"/>
  <c r="M42" i="2"/>
  <c r="I41" i="2"/>
  <c r="M36" i="2"/>
  <c r="I33" i="2"/>
  <c r="E7" i="7"/>
  <c r="I66" i="4"/>
  <c r="M66" i="4" s="1"/>
  <c r="N84" i="3"/>
  <c r="M84" i="3"/>
  <c r="N37" i="3"/>
  <c r="M37" i="3"/>
  <c r="N59" i="3"/>
  <c r="M59" i="3"/>
  <c r="N81" i="3"/>
  <c r="N35" i="3"/>
  <c r="N63" i="3"/>
  <c r="N65" i="3"/>
  <c r="E5" i="2"/>
  <c r="E179" i="9" s="1"/>
  <c r="I42" i="3"/>
  <c r="I72" i="3"/>
  <c r="I49" i="3"/>
  <c r="I81" i="9"/>
  <c r="H48" i="2"/>
  <c r="H32" i="6" l="1"/>
  <c r="L32" i="6" s="1"/>
  <c r="L66" i="6"/>
  <c r="E16" i="16"/>
  <c r="R16" i="16" s="1"/>
  <c r="R13" i="11" s="1"/>
  <c r="I32" i="6"/>
  <c r="H150" i="17"/>
  <c r="H157" i="17" s="1"/>
  <c r="I177" i="17"/>
  <c r="M177" i="17" s="1"/>
  <c r="I234" i="9"/>
  <c r="I59" i="15"/>
  <c r="I32" i="5"/>
  <c r="I32" i="4"/>
  <c r="I16" i="17"/>
  <c r="M16" i="17" s="1"/>
  <c r="I65" i="15"/>
  <c r="J72" i="3"/>
  <c r="N72" i="3" s="1"/>
  <c r="N73" i="3"/>
  <c r="J49" i="3"/>
  <c r="N49" i="3" s="1"/>
  <c r="N50" i="3"/>
  <c r="N34" i="3"/>
  <c r="J42" i="3"/>
  <c r="L64" i="2"/>
  <c r="I33" i="3"/>
  <c r="I69" i="17" s="1"/>
  <c r="I129" i="9"/>
  <c r="M129" i="9" s="1"/>
  <c r="I106" i="9"/>
  <c r="I120" i="9"/>
  <c r="M120" i="9" s="1"/>
  <c r="I32" i="2"/>
  <c r="I42" i="17" s="1"/>
  <c r="M42" i="17" s="1"/>
  <c r="I96" i="5"/>
  <c r="I94" i="6"/>
  <c r="I29" i="4"/>
  <c r="M29" i="4" s="1"/>
  <c r="M22" i="3"/>
  <c r="M20" i="3"/>
  <c r="M17" i="3"/>
  <c r="M21" i="2"/>
  <c r="I29" i="2"/>
  <c r="M23" i="2"/>
  <c r="M19" i="2"/>
  <c r="H89" i="6" l="1"/>
  <c r="I150" i="17"/>
  <c r="M150" i="17" s="1"/>
  <c r="I123" i="17"/>
  <c r="M123" i="17" s="1"/>
  <c r="I96" i="17"/>
  <c r="M96" i="17" s="1"/>
  <c r="E13" i="11"/>
  <c r="I57" i="15"/>
  <c r="I58" i="15"/>
  <c r="I233" i="9"/>
  <c r="I232" i="9"/>
  <c r="I194" i="17"/>
  <c r="M194" i="17" s="1"/>
  <c r="I130" i="16"/>
  <c r="M130" i="16" s="1"/>
  <c r="I99" i="7"/>
  <c r="M99" i="7" s="1"/>
  <c r="I29" i="6"/>
  <c r="M29" i="6" s="1"/>
  <c r="I29" i="5"/>
  <c r="M29" i="5" s="1"/>
  <c r="I95" i="17"/>
  <c r="I44" i="15"/>
  <c r="I223" i="9"/>
  <c r="I13" i="3"/>
  <c r="I41" i="17"/>
  <c r="M41" i="17" s="1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J95" i="4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I93" i="6"/>
  <c r="I95" i="5"/>
  <c r="M95" i="5" s="1"/>
  <c r="I29" i="7"/>
  <c r="I95" i="6"/>
  <c r="M95" i="6" s="1"/>
  <c r="I95" i="4"/>
  <c r="I95" i="2"/>
  <c r="I102" i="2" s="1"/>
  <c r="J102" i="4" l="1"/>
  <c r="N102" i="4" s="1"/>
  <c r="N95" i="4"/>
  <c r="I34" i="15"/>
  <c r="M13" i="6"/>
  <c r="I102" i="4"/>
  <c r="I89" i="4"/>
  <c r="M13" i="4"/>
  <c r="I193" i="17"/>
  <c r="M193" i="17" s="1"/>
  <c r="I89" i="7"/>
  <c r="I89" i="6"/>
  <c r="I217" i="9"/>
  <c r="I148" i="17"/>
  <c r="M148" i="17" s="1"/>
  <c r="I90" i="3"/>
  <c r="I5" i="3" s="1"/>
  <c r="I180" i="9" s="1"/>
  <c r="M118" i="16"/>
  <c r="I132" i="16"/>
  <c r="I176" i="17"/>
  <c r="M176" i="17" s="1"/>
  <c r="I47" i="15"/>
  <c r="I226" i="9"/>
  <c r="I175" i="17"/>
  <c r="M175" i="17" s="1"/>
  <c r="I35" i="15"/>
  <c r="I218" i="9"/>
  <c r="I159" i="17"/>
  <c r="I33" i="16"/>
  <c r="I149" i="17"/>
  <c r="M149" i="17" s="1"/>
  <c r="I225" i="9"/>
  <c r="I46" i="15"/>
  <c r="I162" i="17"/>
  <c r="M162" i="17" s="1"/>
  <c r="I69" i="16"/>
  <c r="M69" i="16" s="1"/>
  <c r="I135" i="17"/>
  <c r="M135" i="17" s="1"/>
  <c r="I68" i="16"/>
  <c r="M68" i="16" s="1"/>
  <c r="I122" i="17"/>
  <c r="M122" i="17" s="1"/>
  <c r="I45" i="15"/>
  <c r="I224" i="9"/>
  <c r="I89" i="5"/>
  <c r="I121" i="17"/>
  <c r="M121" i="17" s="1"/>
  <c r="I216" i="9"/>
  <c r="I33" i="15"/>
  <c r="I108" i="17"/>
  <c r="M108" i="17" s="1"/>
  <c r="I67" i="16"/>
  <c r="M67" i="16" s="1"/>
  <c r="J67" i="16"/>
  <c r="N67" i="16" s="1"/>
  <c r="J108" i="17"/>
  <c r="N108" i="17" s="1"/>
  <c r="I94" i="17"/>
  <c r="M94" i="17" s="1"/>
  <c r="I32" i="15"/>
  <c r="I215" i="9"/>
  <c r="I68" i="17"/>
  <c r="I43" i="15"/>
  <c r="I222" i="9"/>
  <c r="I67" i="17"/>
  <c r="M67" i="17" s="1"/>
  <c r="I31" i="15"/>
  <c r="I214" i="9"/>
  <c r="I40" i="17"/>
  <c r="M40" i="17" s="1"/>
  <c r="I30" i="15"/>
  <c r="I213" i="9"/>
  <c r="I54" i="17"/>
  <c r="M54" i="17" s="1"/>
  <c r="I65" i="16"/>
  <c r="M65" i="16" s="1"/>
  <c r="I30" i="11"/>
  <c r="M16" i="15"/>
  <c r="I32" i="11"/>
  <c r="I109" i="15"/>
  <c r="I19" i="15" s="1"/>
  <c r="I85" i="15"/>
  <c r="I17" i="15" s="1"/>
  <c r="J55" i="15"/>
  <c r="J230" i="9"/>
  <c r="J95" i="5"/>
  <c r="N95" i="5" s="1"/>
  <c r="N13" i="5"/>
  <c r="J30" i="3"/>
  <c r="J90" i="3" s="1"/>
  <c r="N96" i="2"/>
  <c r="J95" i="2"/>
  <c r="J102" i="2" s="1"/>
  <c r="N30" i="2"/>
  <c r="M30" i="9"/>
  <c r="I13" i="9"/>
  <c r="M13" i="9" s="1"/>
  <c r="E120" i="9"/>
  <c r="I29" i="9"/>
  <c r="I5" i="7" l="1"/>
  <c r="I184" i="9" s="1"/>
  <c r="J114" i="17"/>
  <c r="N114" i="17" s="1"/>
  <c r="I227" i="9"/>
  <c r="I184" i="17"/>
  <c r="M184" i="17" s="1"/>
  <c r="I157" i="17"/>
  <c r="M157" i="17" s="1"/>
  <c r="I130" i="17"/>
  <c r="M130" i="17" s="1"/>
  <c r="I114" i="17"/>
  <c r="I103" i="17"/>
  <c r="I60" i="17"/>
  <c r="I49" i="17"/>
  <c r="M49" i="17" s="1"/>
  <c r="I168" i="17"/>
  <c r="M168" i="17" s="1"/>
  <c r="J135" i="17"/>
  <c r="N135" i="17" s="1"/>
  <c r="J68" i="16"/>
  <c r="N68" i="16" s="1"/>
  <c r="I219" i="9"/>
  <c r="I76" i="17"/>
  <c r="I89" i="17" s="1"/>
  <c r="J68" i="17"/>
  <c r="J43" i="15"/>
  <c r="J49" i="15" s="1"/>
  <c r="J14" i="15" s="1"/>
  <c r="J222" i="9"/>
  <c r="J227" i="9" s="1"/>
  <c r="N95" i="2"/>
  <c r="J54" i="17"/>
  <c r="N54" i="17" s="1"/>
  <c r="J65" i="16"/>
  <c r="N65" i="16" s="1"/>
  <c r="I33" i="11"/>
  <c r="I31" i="11"/>
  <c r="I13" i="17"/>
  <c r="I29" i="15"/>
  <c r="I37" i="15" s="1"/>
  <c r="I13" i="15" s="1"/>
  <c r="E18" i="17"/>
  <c r="E89" i="15"/>
  <c r="E97" i="15" s="1"/>
  <c r="E18" i="15" s="1"/>
  <c r="I14" i="17"/>
  <c r="I41" i="15"/>
  <c r="I49" i="15" s="1"/>
  <c r="I14" i="15" s="1"/>
  <c r="E194" i="9"/>
  <c r="I5" i="6"/>
  <c r="I183" i="9" s="1"/>
  <c r="J5" i="3"/>
  <c r="I5" i="5"/>
  <c r="I182" i="9" s="1"/>
  <c r="N29" i="2"/>
  <c r="I5" i="2"/>
  <c r="I179" i="9" s="1"/>
  <c r="N30" i="9"/>
  <c r="E13" i="9"/>
  <c r="M18" i="17" l="1"/>
  <c r="J60" i="17"/>
  <c r="N60" i="17" s="1"/>
  <c r="J76" i="17"/>
  <c r="I170" i="17"/>
  <c r="M170" i="17" s="1"/>
  <c r="I116" i="17"/>
  <c r="I62" i="17"/>
  <c r="J72" i="16"/>
  <c r="J28" i="11"/>
  <c r="E32" i="11"/>
  <c r="M18" i="15"/>
  <c r="E13" i="17"/>
  <c r="E29" i="15"/>
  <c r="E37" i="15" s="1"/>
  <c r="E13" i="15" s="1"/>
  <c r="E27" i="11" s="1"/>
  <c r="I28" i="11"/>
  <c r="I27" i="11"/>
  <c r="N5" i="3"/>
  <c r="J180" i="9"/>
  <c r="J5" i="5"/>
  <c r="J182" i="9" s="1"/>
  <c r="N89" i="2"/>
  <c r="J5" i="2"/>
  <c r="E29" i="9"/>
  <c r="H95" i="7"/>
  <c r="L95" i="7" s="1"/>
  <c r="D71" i="6"/>
  <c r="D32" i="6" s="1"/>
  <c r="D93" i="6"/>
  <c r="H93" i="6"/>
  <c r="H95" i="6"/>
  <c r="L95" i="6" s="1"/>
  <c r="H95" i="5"/>
  <c r="L95" i="5" s="1"/>
  <c r="D95" i="5"/>
  <c r="D102" i="5" s="1"/>
  <c r="D71" i="5"/>
  <c r="D32" i="5" s="1"/>
  <c r="D13" i="3"/>
  <c r="P82" i="9"/>
  <c r="S82" i="9" s="1"/>
  <c r="D114" i="9"/>
  <c r="H95" i="4"/>
  <c r="C95" i="4"/>
  <c r="D48" i="4"/>
  <c r="M48" i="4" s="1"/>
  <c r="D33" i="4"/>
  <c r="D71" i="4"/>
  <c r="M71" i="4" s="1"/>
  <c r="D66" i="4"/>
  <c r="H66" i="4"/>
  <c r="L66" i="4" s="1"/>
  <c r="C66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76" i="10" s="1"/>
  <c r="D49" i="10"/>
  <c r="D29" i="7"/>
  <c r="H29" i="7"/>
  <c r="H30" i="3"/>
  <c r="D29" i="9"/>
  <c r="D120" i="9"/>
  <c r="C81" i="9"/>
  <c r="C76" i="10"/>
  <c r="C13" i="9"/>
  <c r="C32" i="9"/>
  <c r="C29" i="9"/>
  <c r="C29" i="7"/>
  <c r="C120" i="9"/>
  <c r="C129" i="9"/>
  <c r="L129" i="9" s="1"/>
  <c r="C30" i="10"/>
  <c r="L30" i="10" s="1"/>
  <c r="C67" i="10"/>
  <c r="L67" i="10" s="1"/>
  <c r="C50" i="10"/>
  <c r="J16" i="16" l="1"/>
  <c r="N16" i="16" s="1"/>
  <c r="N72" i="16"/>
  <c r="M13" i="17"/>
  <c r="R13" i="17"/>
  <c r="R22" i="17" s="1"/>
  <c r="P32" i="6"/>
  <c r="Q32" i="6"/>
  <c r="M32" i="6"/>
  <c r="D123" i="17"/>
  <c r="L123" i="17" s="1"/>
  <c r="M32" i="5"/>
  <c r="H102" i="4"/>
  <c r="L102" i="4" s="1"/>
  <c r="L95" i="4"/>
  <c r="C18" i="17"/>
  <c r="L120" i="9"/>
  <c r="C30" i="17"/>
  <c r="C100" i="16"/>
  <c r="C108" i="16" s="1"/>
  <c r="C19" i="16" s="1"/>
  <c r="C16" i="11" s="1"/>
  <c r="J62" i="17"/>
  <c r="N62" i="17" s="1"/>
  <c r="C93" i="5"/>
  <c r="J89" i="17"/>
  <c r="H89" i="7"/>
  <c r="D150" i="17"/>
  <c r="L150" i="17" s="1"/>
  <c r="D89" i="6"/>
  <c r="M89" i="6" s="1"/>
  <c r="D100" i="16"/>
  <c r="D30" i="17"/>
  <c r="D32" i="17"/>
  <c r="D124" i="16"/>
  <c r="L124" i="16" s="1"/>
  <c r="C28" i="17"/>
  <c r="P28" i="17" s="1"/>
  <c r="S28" i="17" s="1"/>
  <c r="C76" i="16"/>
  <c r="C84" i="16" s="1"/>
  <c r="C17" i="16" s="1"/>
  <c r="C64" i="16"/>
  <c r="C27" i="17"/>
  <c r="C40" i="16"/>
  <c r="C48" i="16" s="1"/>
  <c r="C14" i="16" s="1"/>
  <c r="C11" i="11" s="1"/>
  <c r="C25" i="17"/>
  <c r="D14" i="10"/>
  <c r="M14" i="10" s="1"/>
  <c r="C176" i="17"/>
  <c r="C226" i="9"/>
  <c r="C47" i="15"/>
  <c r="C177" i="17"/>
  <c r="C59" i="15"/>
  <c r="C234" i="9"/>
  <c r="M29" i="7"/>
  <c r="D176" i="17"/>
  <c r="D47" i="15"/>
  <c r="D226" i="9"/>
  <c r="D142" i="16"/>
  <c r="L142" i="16" s="1"/>
  <c r="D143" i="15"/>
  <c r="D99" i="7"/>
  <c r="D118" i="16" s="1"/>
  <c r="L118" i="16" s="1"/>
  <c r="H177" i="17"/>
  <c r="H234" i="9"/>
  <c r="H59" i="15"/>
  <c r="H102" i="7"/>
  <c r="H189" i="17"/>
  <c r="L189" i="17" s="1"/>
  <c r="H70" i="16"/>
  <c r="L70" i="16" s="1"/>
  <c r="H176" i="17"/>
  <c r="H47" i="15"/>
  <c r="H226" i="9"/>
  <c r="C162" i="17"/>
  <c r="C69" i="16"/>
  <c r="H162" i="17"/>
  <c r="H69" i="16"/>
  <c r="D159" i="17"/>
  <c r="D33" i="16"/>
  <c r="L33" i="16" s="1"/>
  <c r="D148" i="17"/>
  <c r="L148" i="17" s="1"/>
  <c r="D217" i="9"/>
  <c r="D34" i="15"/>
  <c r="H159" i="17"/>
  <c r="H33" i="16"/>
  <c r="H36" i="16" s="1"/>
  <c r="H13" i="16" s="1"/>
  <c r="D89" i="5"/>
  <c r="M89" i="5" s="1"/>
  <c r="D121" i="17"/>
  <c r="D216" i="9"/>
  <c r="D33" i="15"/>
  <c r="H135" i="17"/>
  <c r="H68" i="16"/>
  <c r="H139" i="17"/>
  <c r="H120" i="16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L127" i="16" s="1"/>
  <c r="D113" i="17"/>
  <c r="L113" i="17" s="1"/>
  <c r="D99" i="4"/>
  <c r="H32" i="4"/>
  <c r="L32" i="4" s="1"/>
  <c r="H68" i="17"/>
  <c r="H43" i="15"/>
  <c r="H222" i="9"/>
  <c r="C68" i="17"/>
  <c r="C222" i="9"/>
  <c r="C43" i="15"/>
  <c r="D86" i="17"/>
  <c r="L86" i="17" s="1"/>
  <c r="D126" i="16"/>
  <c r="L126" i="16" s="1"/>
  <c r="D67" i="17"/>
  <c r="L67" i="17" s="1"/>
  <c r="D214" i="9"/>
  <c r="D31" i="15"/>
  <c r="D40" i="17"/>
  <c r="D30" i="15"/>
  <c r="D213" i="9"/>
  <c r="H54" i="17"/>
  <c r="H60" i="17" s="1"/>
  <c r="H65" i="16"/>
  <c r="D137" i="16"/>
  <c r="L137" i="16" s="1"/>
  <c r="D99" i="2"/>
  <c r="D138" i="15"/>
  <c r="D59" i="17"/>
  <c r="D125" i="16"/>
  <c r="L125" i="16" s="1"/>
  <c r="C65" i="16"/>
  <c r="C54" i="17"/>
  <c r="M13" i="15"/>
  <c r="C13" i="17"/>
  <c r="C212" i="9"/>
  <c r="C29" i="15"/>
  <c r="D14" i="17"/>
  <c r="D41" i="15"/>
  <c r="C194" i="9"/>
  <c r="C89" i="15"/>
  <c r="C97" i="15" s="1"/>
  <c r="C18" i="15" s="1"/>
  <c r="C32" i="11" s="1"/>
  <c r="C195" i="9"/>
  <c r="C19" i="17"/>
  <c r="C101" i="15"/>
  <c r="C15" i="17"/>
  <c r="C53" i="15"/>
  <c r="C16" i="17"/>
  <c r="C65" i="15"/>
  <c r="C14" i="17"/>
  <c r="C41" i="15"/>
  <c r="D18" i="17"/>
  <c r="D89" i="15"/>
  <c r="D97" i="15" s="1"/>
  <c r="D18" i="15" s="1"/>
  <c r="E14" i="17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32" i="7"/>
  <c r="L29" i="7"/>
  <c r="I95" i="7"/>
  <c r="M95" i="7" s="1"/>
  <c r="M13" i="3"/>
  <c r="L13" i="5"/>
  <c r="N5" i="5"/>
  <c r="D95" i="4"/>
  <c r="M95" i="4" s="1"/>
  <c r="E29" i="4"/>
  <c r="E89" i="4" s="1"/>
  <c r="M34" i="3"/>
  <c r="M49" i="3"/>
  <c r="E42" i="3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T82" i="9"/>
  <c r="V82" i="9"/>
  <c r="L29" i="9"/>
  <c r="Q120" i="9"/>
  <c r="P120" i="9"/>
  <c r="N29" i="9"/>
  <c r="Q29" i="9"/>
  <c r="P29" i="9"/>
  <c r="D47" i="10"/>
  <c r="M47" i="10" s="1"/>
  <c r="M29" i="9"/>
  <c r="M80" i="10"/>
  <c r="E30" i="3"/>
  <c r="H6" i="3"/>
  <c r="C33" i="3"/>
  <c r="C69" i="17" s="1"/>
  <c r="D129" i="9"/>
  <c r="D42" i="3"/>
  <c r="M13" i="2"/>
  <c r="D106" i="9"/>
  <c r="M106" i="9" s="1"/>
  <c r="D30" i="3"/>
  <c r="H102" i="5"/>
  <c r="D95" i="6"/>
  <c r="D13" i="9"/>
  <c r="D81" i="9"/>
  <c r="M81" i="9" s="1"/>
  <c r="H32" i="2"/>
  <c r="H33" i="3"/>
  <c r="H69" i="17" s="1"/>
  <c r="H102" i="6"/>
  <c r="C32" i="2"/>
  <c r="C32" i="4"/>
  <c r="D30" i="10"/>
  <c r="M30" i="10" s="1"/>
  <c r="J13" i="11" l="1"/>
  <c r="L176" i="17"/>
  <c r="S120" i="9"/>
  <c r="L18" i="17"/>
  <c r="Q18" i="17"/>
  <c r="P18" i="17"/>
  <c r="P14" i="17"/>
  <c r="L14" i="17"/>
  <c r="Q14" i="17"/>
  <c r="M14" i="17"/>
  <c r="S29" i="9"/>
  <c r="H6" i="5"/>
  <c r="P121" i="17"/>
  <c r="L121" i="17"/>
  <c r="Q121" i="17"/>
  <c r="L30" i="17"/>
  <c r="P30" i="17"/>
  <c r="Q30" i="17"/>
  <c r="L59" i="17"/>
  <c r="P59" i="17"/>
  <c r="P40" i="17"/>
  <c r="L40" i="17"/>
  <c r="Q40" i="17"/>
  <c r="L32" i="17"/>
  <c r="Q32" i="17"/>
  <c r="L68" i="16"/>
  <c r="D108" i="16"/>
  <c r="L100" i="16"/>
  <c r="H5" i="7"/>
  <c r="H184" i="9" s="1"/>
  <c r="H184" i="17"/>
  <c r="C132" i="17"/>
  <c r="C32" i="16"/>
  <c r="C36" i="16" s="1"/>
  <c r="C13" i="16" s="1"/>
  <c r="C10" i="11" s="1"/>
  <c r="C227" i="9"/>
  <c r="H195" i="17"/>
  <c r="H227" i="9"/>
  <c r="D89" i="7"/>
  <c r="M89" i="7" s="1"/>
  <c r="M13" i="7"/>
  <c r="H72" i="16"/>
  <c r="H16" i="16" s="1"/>
  <c r="H13" i="11" s="1"/>
  <c r="D157" i="17"/>
  <c r="L157" i="17" s="1"/>
  <c r="H141" i="17"/>
  <c r="H143" i="17" s="1"/>
  <c r="D130" i="17"/>
  <c r="L130" i="17" s="1"/>
  <c r="D115" i="16"/>
  <c r="L115" i="16" s="1"/>
  <c r="D102" i="4"/>
  <c r="H90" i="3"/>
  <c r="H42" i="17"/>
  <c r="H49" i="17" s="1"/>
  <c r="H62" i="17" s="1"/>
  <c r="H89" i="2"/>
  <c r="D113" i="16"/>
  <c r="L113" i="16" s="1"/>
  <c r="C42" i="17"/>
  <c r="C49" i="17" s="1"/>
  <c r="C89" i="2"/>
  <c r="C105" i="2" s="1"/>
  <c r="D108" i="2" s="1"/>
  <c r="D112" i="16"/>
  <c r="L112" i="16" s="1"/>
  <c r="D31" i="17"/>
  <c r="C14" i="11"/>
  <c r="P17" i="16"/>
  <c r="D40" i="16"/>
  <c r="D25" i="17"/>
  <c r="M32" i="7"/>
  <c r="D177" i="17"/>
  <c r="L177" i="17" s="1"/>
  <c r="D234" i="9"/>
  <c r="D59" i="15"/>
  <c r="C49" i="15"/>
  <c r="C14" i="15" s="1"/>
  <c r="C28" i="11" s="1"/>
  <c r="H49" i="15"/>
  <c r="H14" i="15" s="1"/>
  <c r="H28" i="11" s="1"/>
  <c r="D175" i="17"/>
  <c r="L175" i="17" s="1"/>
  <c r="D218" i="9"/>
  <c r="D219" i="9" s="1"/>
  <c r="D35" i="15"/>
  <c r="I102" i="7"/>
  <c r="I189" i="17"/>
  <c r="M189" i="17" s="1"/>
  <c r="I70" i="16"/>
  <c r="D193" i="17"/>
  <c r="L193" i="17" s="1"/>
  <c r="D102" i="7"/>
  <c r="D6" i="7" s="1"/>
  <c r="D162" i="17"/>
  <c r="L162" i="17" s="1"/>
  <c r="D69" i="16"/>
  <c r="L69" i="16" s="1"/>
  <c r="H10" i="11"/>
  <c r="H168" i="17"/>
  <c r="H170" i="17" s="1"/>
  <c r="D116" i="16"/>
  <c r="L116" i="16" s="1"/>
  <c r="D140" i="16"/>
  <c r="L140" i="16" s="1"/>
  <c r="D141" i="15"/>
  <c r="H17" i="11"/>
  <c r="H18" i="11"/>
  <c r="C96" i="17"/>
  <c r="C103" i="17" s="1"/>
  <c r="C89" i="4"/>
  <c r="H96" i="17"/>
  <c r="H103" i="17" s="1"/>
  <c r="H116" i="17" s="1"/>
  <c r="H89" i="4"/>
  <c r="L89" i="4" s="1"/>
  <c r="E113" i="17"/>
  <c r="M113" i="17" s="1"/>
  <c r="E127" i="16"/>
  <c r="M127" i="16" s="1"/>
  <c r="E99" i="4"/>
  <c r="D108" i="17"/>
  <c r="L108" i="17" s="1"/>
  <c r="D67" i="16"/>
  <c r="L67" i="16" s="1"/>
  <c r="C72" i="16"/>
  <c r="C16" i="16" s="1"/>
  <c r="C13" i="11" s="1"/>
  <c r="E95" i="17"/>
  <c r="M95" i="17" s="1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E126" i="16"/>
  <c r="M126" i="16" s="1"/>
  <c r="E86" i="17"/>
  <c r="M86" i="17" s="1"/>
  <c r="H76" i="17"/>
  <c r="H89" i="17" s="1"/>
  <c r="E137" i="16"/>
  <c r="M137" i="16" s="1"/>
  <c r="E99" i="2"/>
  <c r="E138" i="15"/>
  <c r="D58" i="17"/>
  <c r="E59" i="17"/>
  <c r="E125" i="16"/>
  <c r="M125" i="16" s="1"/>
  <c r="D132" i="16"/>
  <c r="L132" i="16" s="1"/>
  <c r="D16" i="17"/>
  <c r="D65" i="15"/>
  <c r="D197" i="9"/>
  <c r="D21" i="17"/>
  <c r="D125" i="15"/>
  <c r="D15" i="17"/>
  <c r="D53" i="15"/>
  <c r="P194" i="9"/>
  <c r="P89" i="15"/>
  <c r="D195" i="9"/>
  <c r="D19" i="17"/>
  <c r="L19" i="17" s="1"/>
  <c r="D101" i="15"/>
  <c r="P41" i="15"/>
  <c r="Q194" i="9"/>
  <c r="Q89" i="15"/>
  <c r="D32" i="11"/>
  <c r="L18" i="15"/>
  <c r="C73" i="15"/>
  <c r="C16" i="15" s="1"/>
  <c r="C30" i="11" s="1"/>
  <c r="D17" i="17"/>
  <c r="D77" i="15"/>
  <c r="Q41" i="15"/>
  <c r="D13" i="17"/>
  <c r="D29" i="15"/>
  <c r="C109" i="15"/>
  <c r="C19" i="15" s="1"/>
  <c r="C33" i="11" s="1"/>
  <c r="D58" i="15"/>
  <c r="D233" i="9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H5" i="6"/>
  <c r="H183" i="9" s="1"/>
  <c r="H6" i="6"/>
  <c r="D102" i="6"/>
  <c r="C5" i="5"/>
  <c r="C182" i="9" s="1"/>
  <c r="M13" i="5"/>
  <c r="H5" i="5"/>
  <c r="H182" i="9" s="1"/>
  <c r="N99" i="5"/>
  <c r="H6" i="4"/>
  <c r="J32" i="4"/>
  <c r="N32" i="4" s="1"/>
  <c r="N42" i="3"/>
  <c r="M72" i="3"/>
  <c r="N47" i="3"/>
  <c r="F30" i="3"/>
  <c r="F90" i="3" s="1"/>
  <c r="N31" i="3"/>
  <c r="D33" i="3"/>
  <c r="D69" i="17" s="1"/>
  <c r="L69" i="17" s="1"/>
  <c r="M42" i="3"/>
  <c r="M100" i="2"/>
  <c r="M48" i="2"/>
  <c r="L32" i="2"/>
  <c r="H6" i="2"/>
  <c r="M96" i="2"/>
  <c r="M71" i="2"/>
  <c r="P81" i="9"/>
  <c r="Q81" i="9"/>
  <c r="D42" i="10"/>
  <c r="C42" i="10"/>
  <c r="L42" i="10" s="1"/>
  <c r="N100" i="2"/>
  <c r="P129" i="9"/>
  <c r="P13" i="9"/>
  <c r="Q13" i="9"/>
  <c r="D32" i="2"/>
  <c r="D72" i="10"/>
  <c r="M72" i="10" s="1"/>
  <c r="D50" i="10"/>
  <c r="M50" i="10" s="1"/>
  <c r="D13" i="10"/>
  <c r="M13" i="10" s="1"/>
  <c r="I102" i="6"/>
  <c r="E69" i="17"/>
  <c r="M69" i="17" s="1"/>
  <c r="E5" i="4"/>
  <c r="E181" i="9" s="1"/>
  <c r="M30" i="3"/>
  <c r="M145" i="9"/>
  <c r="I93" i="5"/>
  <c r="M93" i="5" s="1"/>
  <c r="D95" i="2"/>
  <c r="D102" i="2" s="1"/>
  <c r="D32" i="4"/>
  <c r="M32" i="4" s="1"/>
  <c r="P19" i="17" l="1"/>
  <c r="S18" i="17"/>
  <c r="T18" i="17" s="1"/>
  <c r="P16" i="17"/>
  <c r="L16" i="17"/>
  <c r="Q16" i="17"/>
  <c r="S81" i="9"/>
  <c r="P15" i="17"/>
  <c r="L15" i="17"/>
  <c r="S13" i="9"/>
  <c r="P13" i="17"/>
  <c r="L13" i="17"/>
  <c r="Q13" i="17"/>
  <c r="S14" i="17"/>
  <c r="L17" i="17"/>
  <c r="M102" i="7"/>
  <c r="I6" i="6"/>
  <c r="I7" i="6" s="1"/>
  <c r="M102" i="6"/>
  <c r="D6" i="4"/>
  <c r="M102" i="4"/>
  <c r="S30" i="17"/>
  <c r="Q59" i="17"/>
  <c r="M59" i="17"/>
  <c r="R59" i="17"/>
  <c r="S59" i="17" s="1"/>
  <c r="L58" i="17"/>
  <c r="S40" i="17"/>
  <c r="P14" i="11"/>
  <c r="D39" i="10"/>
  <c r="M42" i="10"/>
  <c r="Q25" i="17"/>
  <c r="L25" i="17"/>
  <c r="P25" i="17"/>
  <c r="L31" i="17"/>
  <c r="Q31" i="17"/>
  <c r="I72" i="16"/>
  <c r="M70" i="16"/>
  <c r="D48" i="16"/>
  <c r="L40" i="16"/>
  <c r="D19" i="16"/>
  <c r="L108" i="16"/>
  <c r="H197" i="17"/>
  <c r="C100" i="2"/>
  <c r="C5" i="4"/>
  <c r="C181" i="9" s="1"/>
  <c r="C105" i="4"/>
  <c r="C100" i="4" s="1"/>
  <c r="I195" i="17"/>
  <c r="M195" i="17" s="1"/>
  <c r="D184" i="17"/>
  <c r="L184" i="17" s="1"/>
  <c r="D195" i="17"/>
  <c r="L195" i="17" s="1"/>
  <c r="D168" i="17"/>
  <c r="L168" i="17" s="1"/>
  <c r="L14" i="15"/>
  <c r="E132" i="16"/>
  <c r="M132" i="16" s="1"/>
  <c r="E115" i="16"/>
  <c r="M115" i="16" s="1"/>
  <c r="E102" i="4"/>
  <c r="E6" i="4" s="1"/>
  <c r="E7" i="4" s="1"/>
  <c r="E103" i="17"/>
  <c r="M103" i="17" s="1"/>
  <c r="E49" i="15"/>
  <c r="E14" i="15" s="1"/>
  <c r="M14" i="15" s="1"/>
  <c r="D76" i="17"/>
  <c r="L76" i="17" s="1"/>
  <c r="D90" i="3"/>
  <c r="M90" i="3" s="1"/>
  <c r="E90" i="3"/>
  <c r="D42" i="17"/>
  <c r="D89" i="2"/>
  <c r="D5" i="2" s="1"/>
  <c r="D29" i="17"/>
  <c r="D88" i="16"/>
  <c r="D27" i="17"/>
  <c r="D64" i="16"/>
  <c r="L64" i="16" s="1"/>
  <c r="D52" i="16"/>
  <c r="D24" i="17"/>
  <c r="D28" i="16"/>
  <c r="E102" i="2"/>
  <c r="E6" i="2" s="1"/>
  <c r="E7" i="2" s="1"/>
  <c r="E113" i="16"/>
  <c r="M113" i="16" s="1"/>
  <c r="E58" i="17"/>
  <c r="D37" i="15"/>
  <c r="D13" i="15" s="1"/>
  <c r="D27" i="11" s="1"/>
  <c r="D139" i="17"/>
  <c r="L139" i="17" s="1"/>
  <c r="D6" i="5"/>
  <c r="I132" i="17"/>
  <c r="M132" i="17" s="1"/>
  <c r="I32" i="16"/>
  <c r="J139" i="17"/>
  <c r="N139" i="17" s="1"/>
  <c r="H22" i="16"/>
  <c r="H9" i="16" s="1"/>
  <c r="J96" i="17"/>
  <c r="N96" i="17" s="1"/>
  <c r="J89" i="4"/>
  <c r="D96" i="17"/>
  <c r="L96" i="17" s="1"/>
  <c r="D89" i="4"/>
  <c r="H61" i="15"/>
  <c r="H15" i="15" s="1"/>
  <c r="H29" i="11" s="1"/>
  <c r="E227" i="9"/>
  <c r="D114" i="17"/>
  <c r="L114" i="17" s="1"/>
  <c r="E112" i="17"/>
  <c r="M112" i="17" s="1"/>
  <c r="C61" i="15"/>
  <c r="C15" i="15" s="1"/>
  <c r="D28" i="11"/>
  <c r="E76" i="17"/>
  <c r="M76" i="17" s="1"/>
  <c r="F68" i="17"/>
  <c r="N68" i="17" s="1"/>
  <c r="F43" i="15"/>
  <c r="F49" i="15" s="1"/>
  <c r="F14" i="15" s="1"/>
  <c r="F222" i="9"/>
  <c r="F227" i="9" s="1"/>
  <c r="F61" i="15"/>
  <c r="F15" i="15" s="1"/>
  <c r="D65" i="16"/>
  <c r="L65" i="16" s="1"/>
  <c r="D54" i="17"/>
  <c r="H19" i="11"/>
  <c r="D5" i="7"/>
  <c r="I21" i="17"/>
  <c r="I22" i="17" s="1"/>
  <c r="I125" i="15"/>
  <c r="S194" i="9"/>
  <c r="S89" i="15"/>
  <c r="T29" i="9"/>
  <c r="T14" i="17"/>
  <c r="S41" i="15"/>
  <c r="D109" i="15"/>
  <c r="D19" i="15" s="1"/>
  <c r="P65" i="15"/>
  <c r="P73" i="15" s="1"/>
  <c r="P195" i="9"/>
  <c r="P101" i="15"/>
  <c r="D22" i="17"/>
  <c r="D73" i="15"/>
  <c r="D16" i="15" s="1"/>
  <c r="P29" i="15"/>
  <c r="Q29" i="15"/>
  <c r="Q65" i="15"/>
  <c r="Q73" i="15" s="1"/>
  <c r="P53" i="15"/>
  <c r="D133" i="15"/>
  <c r="D21" i="15" s="1"/>
  <c r="D35" i="11" s="1"/>
  <c r="D85" i="15"/>
  <c r="D17" i="15" s="1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I171" i="9"/>
  <c r="I197" i="9"/>
  <c r="H7" i="6"/>
  <c r="D6" i="6"/>
  <c r="D5" i="6"/>
  <c r="F5" i="3"/>
  <c r="F180" i="9" s="1"/>
  <c r="D5" i="5"/>
  <c r="D182" i="9" s="1"/>
  <c r="J102" i="5"/>
  <c r="N102" i="5" s="1"/>
  <c r="L5" i="5"/>
  <c r="H7" i="5"/>
  <c r="H5" i="4"/>
  <c r="H7" i="4" s="1"/>
  <c r="H5" i="3"/>
  <c r="H180" i="9" s="1"/>
  <c r="N100" i="3"/>
  <c r="F6" i="3"/>
  <c r="I6" i="2"/>
  <c r="M99" i="2"/>
  <c r="M95" i="2"/>
  <c r="M32" i="2"/>
  <c r="C5" i="2"/>
  <c r="C179" i="9" s="1"/>
  <c r="V120" i="9"/>
  <c r="T120" i="9"/>
  <c r="N99" i="2"/>
  <c r="V29" i="9"/>
  <c r="H5" i="2"/>
  <c r="H179" i="9" s="1"/>
  <c r="L89" i="2"/>
  <c r="I168" i="9"/>
  <c r="I5" i="4"/>
  <c r="E106" i="9"/>
  <c r="E129" i="9"/>
  <c r="E32" i="9"/>
  <c r="D96" i="10"/>
  <c r="D168" i="9"/>
  <c r="J120" i="16" l="1"/>
  <c r="J20" i="16" s="1"/>
  <c r="N20" i="16" s="1"/>
  <c r="N116" i="16"/>
  <c r="J5" i="4"/>
  <c r="J181" i="9" s="1"/>
  <c r="J198" i="9" s="1"/>
  <c r="J200" i="9" s="1"/>
  <c r="N89" i="4"/>
  <c r="N120" i="16"/>
  <c r="I9" i="9"/>
  <c r="I36" i="16"/>
  <c r="M36" i="16" s="1"/>
  <c r="M32" i="16"/>
  <c r="S16" i="17"/>
  <c r="T16" i="17" s="1"/>
  <c r="S13" i="17"/>
  <c r="D5" i="4"/>
  <c r="D181" i="9" s="1"/>
  <c r="M89" i="4"/>
  <c r="Q58" i="17"/>
  <c r="M58" i="17"/>
  <c r="R58" i="17"/>
  <c r="P54" i="17"/>
  <c r="L54" i="17"/>
  <c r="Q54" i="17"/>
  <c r="Q42" i="17"/>
  <c r="P42" i="17"/>
  <c r="L42" i="17"/>
  <c r="P29" i="17"/>
  <c r="L29" i="17"/>
  <c r="Q29" i="17"/>
  <c r="S29" i="17" s="1"/>
  <c r="P27" i="17"/>
  <c r="Q27" i="17"/>
  <c r="L27" i="17"/>
  <c r="D26" i="17"/>
  <c r="L26" i="17" s="1"/>
  <c r="S25" i="17"/>
  <c r="L24" i="17"/>
  <c r="Q24" i="17"/>
  <c r="P24" i="17"/>
  <c r="D9" i="10"/>
  <c r="D96" i="16"/>
  <c r="L88" i="16"/>
  <c r="L19" i="16"/>
  <c r="D16" i="11"/>
  <c r="P19" i="16"/>
  <c r="D36" i="16"/>
  <c r="L28" i="16"/>
  <c r="D14" i="16"/>
  <c r="L48" i="16"/>
  <c r="D60" i="16"/>
  <c r="L52" i="16"/>
  <c r="I16" i="16"/>
  <c r="M72" i="16"/>
  <c r="C137" i="16"/>
  <c r="L100" i="2"/>
  <c r="C138" i="15"/>
  <c r="C99" i="2"/>
  <c r="C139" i="16"/>
  <c r="C140" i="15"/>
  <c r="C99" i="4"/>
  <c r="J141" i="17"/>
  <c r="N141" i="17" s="1"/>
  <c r="J103" i="17"/>
  <c r="N103" i="17" s="1"/>
  <c r="E28" i="11"/>
  <c r="D72" i="16"/>
  <c r="F76" i="17"/>
  <c r="N76" i="17" s="1"/>
  <c r="I197" i="17"/>
  <c r="M197" i="17" s="1"/>
  <c r="D197" i="17"/>
  <c r="L197" i="17" s="1"/>
  <c r="D170" i="17"/>
  <c r="L170" i="17" s="1"/>
  <c r="D141" i="17"/>
  <c r="L141" i="17" s="1"/>
  <c r="E114" i="17"/>
  <c r="M114" i="17" s="1"/>
  <c r="D103" i="17"/>
  <c r="L103" i="17" s="1"/>
  <c r="D5" i="3"/>
  <c r="D180" i="9" s="1"/>
  <c r="E60" i="17"/>
  <c r="M60" i="17" s="1"/>
  <c r="D60" i="17"/>
  <c r="L60" i="17" s="1"/>
  <c r="D49" i="17"/>
  <c r="L49" i="17" s="1"/>
  <c r="L13" i="15"/>
  <c r="I139" i="17"/>
  <c r="M139" i="17" s="1"/>
  <c r="J6" i="5"/>
  <c r="I61" i="15"/>
  <c r="I15" i="15" s="1"/>
  <c r="I29" i="11" s="1"/>
  <c r="J61" i="15"/>
  <c r="J15" i="15" s="1"/>
  <c r="D138" i="16"/>
  <c r="F28" i="11"/>
  <c r="N14" i="15"/>
  <c r="F29" i="11"/>
  <c r="F23" i="15"/>
  <c r="F9" i="15" s="1"/>
  <c r="D61" i="15"/>
  <c r="D15" i="15" s="1"/>
  <c r="D184" i="9"/>
  <c r="M5" i="7"/>
  <c r="D7" i="7"/>
  <c r="D139" i="15"/>
  <c r="D145" i="15" s="1"/>
  <c r="D31" i="11"/>
  <c r="L17" i="15"/>
  <c r="D33" i="11"/>
  <c r="L19" i="15"/>
  <c r="D30" i="11"/>
  <c r="L16" i="15"/>
  <c r="V81" i="9"/>
  <c r="S65" i="15"/>
  <c r="S73" i="15" s="1"/>
  <c r="T13" i="9"/>
  <c r="S29" i="15"/>
  <c r="E195" i="9"/>
  <c r="E19" i="17"/>
  <c r="E101" i="15"/>
  <c r="Q32" i="9"/>
  <c r="S32" i="9" s="1"/>
  <c r="E15" i="17"/>
  <c r="E53" i="15"/>
  <c r="E61" i="15" s="1"/>
  <c r="E15" i="15" s="1"/>
  <c r="E17" i="17"/>
  <c r="E77" i="15"/>
  <c r="I133" i="15"/>
  <c r="I21" i="15" s="1"/>
  <c r="H7" i="7"/>
  <c r="C29" i="11"/>
  <c r="M5" i="6"/>
  <c r="D183" i="9"/>
  <c r="D7" i="6"/>
  <c r="M5" i="4"/>
  <c r="I181" i="9"/>
  <c r="I205" i="9" s="1"/>
  <c r="I208" i="9" s="1"/>
  <c r="I209" i="9" s="1"/>
  <c r="L5" i="4"/>
  <c r="H181" i="9"/>
  <c r="H205" i="9" s="1"/>
  <c r="H208" i="9" s="1"/>
  <c r="D7" i="4"/>
  <c r="M89" i="2"/>
  <c r="F205" i="9"/>
  <c r="F198" i="9"/>
  <c r="F200" i="9" s="1"/>
  <c r="D235" i="9"/>
  <c r="M5" i="2"/>
  <c r="D179" i="9"/>
  <c r="T81" i="9"/>
  <c r="I6" i="7"/>
  <c r="M6" i="6"/>
  <c r="F7" i="3"/>
  <c r="M102" i="2"/>
  <c r="I102" i="5"/>
  <c r="M102" i="5" s="1"/>
  <c r="D7" i="5"/>
  <c r="M5" i="5"/>
  <c r="I6" i="4"/>
  <c r="M6" i="4" s="1"/>
  <c r="M100" i="3"/>
  <c r="I6" i="3"/>
  <c r="N90" i="3"/>
  <c r="E5" i="3"/>
  <c r="E180" i="9" s="1"/>
  <c r="E205" i="9" s="1"/>
  <c r="E208" i="9" s="1"/>
  <c r="H7" i="3"/>
  <c r="N99" i="3"/>
  <c r="D6" i="2"/>
  <c r="D7" i="2" s="1"/>
  <c r="Q106" i="9"/>
  <c r="Q129" i="9"/>
  <c r="S129" i="9" s="1"/>
  <c r="I7" i="2"/>
  <c r="N102" i="2"/>
  <c r="J6" i="2"/>
  <c r="V13" i="9"/>
  <c r="H7" i="2"/>
  <c r="L5" i="2"/>
  <c r="D9" i="9"/>
  <c r="M168" i="9"/>
  <c r="J143" i="17" l="1"/>
  <c r="N143" i="17" s="1"/>
  <c r="J205" i="9"/>
  <c r="J206" i="9" s="1"/>
  <c r="N5" i="4"/>
  <c r="I13" i="16"/>
  <c r="M13" i="16" s="1"/>
  <c r="S54" i="17"/>
  <c r="M19" i="17"/>
  <c r="Q19" i="17"/>
  <c r="S19" i="17" s="1"/>
  <c r="M17" i="17"/>
  <c r="Q17" i="17"/>
  <c r="M15" i="17"/>
  <c r="Q15" i="17"/>
  <c r="S15" i="17" s="1"/>
  <c r="P16" i="11"/>
  <c r="S42" i="17"/>
  <c r="Q37" i="17"/>
  <c r="S27" i="17"/>
  <c r="Q26" i="17"/>
  <c r="D33" i="17"/>
  <c r="L33" i="17" s="1"/>
  <c r="S24" i="17"/>
  <c r="D16" i="16"/>
  <c r="D13" i="11" s="1"/>
  <c r="L72" i="16"/>
  <c r="M16" i="16"/>
  <c r="I13" i="11"/>
  <c r="D13" i="16"/>
  <c r="L36" i="16"/>
  <c r="L14" i="16"/>
  <c r="P14" i="16"/>
  <c r="D11" i="11"/>
  <c r="I10" i="11"/>
  <c r="I120" i="16"/>
  <c r="I20" i="16" s="1"/>
  <c r="M116" i="16"/>
  <c r="D15" i="16"/>
  <c r="L60" i="16"/>
  <c r="D144" i="16"/>
  <c r="L138" i="16"/>
  <c r="D18" i="16"/>
  <c r="L96" i="16"/>
  <c r="C102" i="2"/>
  <c r="L99" i="2"/>
  <c r="C58" i="17"/>
  <c r="C113" i="16"/>
  <c r="C115" i="16"/>
  <c r="C112" i="17"/>
  <c r="C114" i="17" s="1"/>
  <c r="C116" i="17" s="1"/>
  <c r="C102" i="4"/>
  <c r="J116" i="17"/>
  <c r="N116" i="17" s="1"/>
  <c r="M5" i="3"/>
  <c r="F89" i="17"/>
  <c r="N89" i="17" s="1"/>
  <c r="E62" i="17"/>
  <c r="M62" i="17" s="1"/>
  <c r="I141" i="17"/>
  <c r="D143" i="17"/>
  <c r="L143" i="17" s="1"/>
  <c r="D116" i="17"/>
  <c r="L116" i="17" s="1"/>
  <c r="E116" i="17"/>
  <c r="M116" i="17" s="1"/>
  <c r="E138" i="16"/>
  <c r="D99" i="3"/>
  <c r="D85" i="17" s="1"/>
  <c r="L85" i="17" s="1"/>
  <c r="D62" i="17"/>
  <c r="L62" i="17" s="1"/>
  <c r="J18" i="11"/>
  <c r="J17" i="11"/>
  <c r="J22" i="16"/>
  <c r="N22" i="16" s="1"/>
  <c r="F37" i="11"/>
  <c r="F41" i="11" s="1"/>
  <c r="N6" i="5"/>
  <c r="J7" i="5"/>
  <c r="I18" i="11"/>
  <c r="I198" i="9"/>
  <c r="I200" i="9" s="1"/>
  <c r="N15" i="15"/>
  <c r="J29" i="11"/>
  <c r="J37" i="11" s="1"/>
  <c r="J23" i="15"/>
  <c r="N23" i="15" s="1"/>
  <c r="D22" i="15"/>
  <c r="I35" i="11"/>
  <c r="I37" i="11" s="1"/>
  <c r="I23" i="15"/>
  <c r="I9" i="15" s="1"/>
  <c r="E29" i="11"/>
  <c r="M15" i="15"/>
  <c r="Q101" i="15"/>
  <c r="Q77" i="15"/>
  <c r="Q85" i="15" s="1"/>
  <c r="H197" i="9"/>
  <c r="H209" i="9" s="1"/>
  <c r="H21" i="17"/>
  <c r="L21" i="17" s="1"/>
  <c r="H125" i="15"/>
  <c r="E109" i="15"/>
  <c r="E19" i="15" s="1"/>
  <c r="T13" i="17"/>
  <c r="E85" i="15"/>
  <c r="E17" i="15" s="1"/>
  <c r="Q53" i="15"/>
  <c r="L15" i="15"/>
  <c r="D29" i="11"/>
  <c r="I206" i="9"/>
  <c r="I7" i="4"/>
  <c r="F208" i="9"/>
  <c r="F209" i="9" s="1"/>
  <c r="F206" i="9"/>
  <c r="E139" i="15"/>
  <c r="D205" i="9"/>
  <c r="D198" i="9"/>
  <c r="D200" i="9" s="1"/>
  <c r="V129" i="9"/>
  <c r="Q195" i="9"/>
  <c r="M9" i="9"/>
  <c r="I7" i="7"/>
  <c r="M6" i="7"/>
  <c r="M6" i="2"/>
  <c r="I6" i="5"/>
  <c r="J6" i="4"/>
  <c r="M99" i="3"/>
  <c r="H168" i="9"/>
  <c r="I7" i="3"/>
  <c r="N102" i="3"/>
  <c r="J6" i="3"/>
  <c r="N6" i="2"/>
  <c r="J7" i="2"/>
  <c r="I39" i="10"/>
  <c r="M39" i="10" s="1"/>
  <c r="C39" i="10"/>
  <c r="L39" i="10" s="1"/>
  <c r="J208" i="9" l="1"/>
  <c r="J209" i="9" s="1"/>
  <c r="I143" i="17"/>
  <c r="M143" i="17" s="1"/>
  <c r="M141" i="17"/>
  <c r="C60" i="17"/>
  <c r="C62" i="17" s="1"/>
  <c r="P58" i="17"/>
  <c r="S58" i="17" s="1"/>
  <c r="T58" i="17" s="1"/>
  <c r="D35" i="17"/>
  <c r="P11" i="11"/>
  <c r="L15" i="16"/>
  <c r="D12" i="11"/>
  <c r="L13" i="16"/>
  <c r="P13" i="16"/>
  <c r="D10" i="11"/>
  <c r="D21" i="16"/>
  <c r="L21" i="16" s="1"/>
  <c r="L144" i="16"/>
  <c r="E144" i="16"/>
  <c r="M138" i="16"/>
  <c r="L18" i="16"/>
  <c r="D15" i="11"/>
  <c r="P18" i="16"/>
  <c r="P15" i="11" s="1"/>
  <c r="P16" i="16"/>
  <c r="L16" i="16"/>
  <c r="C6" i="2"/>
  <c r="L102" i="2"/>
  <c r="C6" i="4"/>
  <c r="E99" i="3"/>
  <c r="E102" i="3" s="1"/>
  <c r="D114" i="16"/>
  <c r="D102" i="3"/>
  <c r="D6" i="3" s="1"/>
  <c r="D87" i="17"/>
  <c r="L87" i="17" s="1"/>
  <c r="D23" i="15"/>
  <c r="D9" i="15" s="1"/>
  <c r="D36" i="11"/>
  <c r="H22" i="17"/>
  <c r="I26" i="17"/>
  <c r="M26" i="17" s="1"/>
  <c r="I52" i="16"/>
  <c r="C52" i="16"/>
  <c r="C60" i="16" s="1"/>
  <c r="C15" i="16" s="1"/>
  <c r="C26" i="17"/>
  <c r="J9" i="15"/>
  <c r="I17" i="11"/>
  <c r="J9" i="16"/>
  <c r="N9" i="16" s="1"/>
  <c r="J19" i="11"/>
  <c r="H198" i="9"/>
  <c r="E145" i="15"/>
  <c r="H206" i="9"/>
  <c r="E31" i="11"/>
  <c r="M17" i="15"/>
  <c r="E33" i="11"/>
  <c r="M19" i="15"/>
  <c r="S195" i="9"/>
  <c r="T19" i="17"/>
  <c r="S101" i="15"/>
  <c r="T129" i="9"/>
  <c r="T32" i="9"/>
  <c r="S53" i="15"/>
  <c r="V32" i="9"/>
  <c r="H133" i="15"/>
  <c r="H21" i="15" s="1"/>
  <c r="D208" i="9"/>
  <c r="D209" i="9" s="1"/>
  <c r="D206" i="9"/>
  <c r="M6" i="5"/>
  <c r="I7" i="5"/>
  <c r="J7" i="4"/>
  <c r="N6" i="4"/>
  <c r="H9" i="9"/>
  <c r="N6" i="3"/>
  <c r="J7" i="3"/>
  <c r="I96" i="10"/>
  <c r="P13" i="11" l="1"/>
  <c r="P26" i="17"/>
  <c r="S26" i="17" s="1"/>
  <c r="P10" i="11"/>
  <c r="M96" i="10"/>
  <c r="F170" i="9" s="1"/>
  <c r="E21" i="16"/>
  <c r="M21" i="16" s="1"/>
  <c r="M144" i="16"/>
  <c r="D120" i="16"/>
  <c r="L114" i="16"/>
  <c r="I60" i="16"/>
  <c r="M52" i="16"/>
  <c r="H35" i="17"/>
  <c r="L35" i="17" s="1"/>
  <c r="L22" i="17"/>
  <c r="C7" i="2"/>
  <c r="L6" i="2"/>
  <c r="C7" i="4"/>
  <c r="L6" i="4"/>
  <c r="E114" i="16"/>
  <c r="E85" i="17"/>
  <c r="M85" i="17" s="1"/>
  <c r="M102" i="3"/>
  <c r="D37" i="11"/>
  <c r="D89" i="17"/>
  <c r="L89" i="17" s="1"/>
  <c r="I33" i="17"/>
  <c r="M33" i="17" s="1"/>
  <c r="C12" i="11"/>
  <c r="P15" i="16"/>
  <c r="N41" i="11"/>
  <c r="J41" i="11"/>
  <c r="E22" i="15"/>
  <c r="E36" i="11" s="1"/>
  <c r="D18" i="11"/>
  <c r="H35" i="11"/>
  <c r="L21" i="15"/>
  <c r="H23" i="15"/>
  <c r="T15" i="17"/>
  <c r="Q145" i="9"/>
  <c r="E21" i="17"/>
  <c r="M9" i="15"/>
  <c r="E168" i="9"/>
  <c r="E125" i="15"/>
  <c r="E6" i="3"/>
  <c r="E7" i="3" s="1"/>
  <c r="E197" i="9"/>
  <c r="E206" i="9" s="1"/>
  <c r="H200" i="9"/>
  <c r="D7" i="3"/>
  <c r="M6" i="3"/>
  <c r="I9" i="10"/>
  <c r="M9" i="10" s="1"/>
  <c r="E171" i="9" l="1"/>
  <c r="R168" i="9"/>
  <c r="P12" i="11"/>
  <c r="E120" i="16"/>
  <c r="M114" i="16"/>
  <c r="D20" i="16"/>
  <c r="L120" i="16"/>
  <c r="I15" i="16"/>
  <c r="M60" i="16"/>
  <c r="M21" i="17"/>
  <c r="Q21" i="17"/>
  <c r="Q22" i="17" s="1"/>
  <c r="E87" i="17"/>
  <c r="M87" i="17" s="1"/>
  <c r="E89" i="17"/>
  <c r="M89" i="17" s="1"/>
  <c r="E22" i="17"/>
  <c r="M22" i="17" s="1"/>
  <c r="I35" i="17"/>
  <c r="Q197" i="9"/>
  <c r="E18" i="11"/>
  <c r="N168" i="9"/>
  <c r="E9" i="9"/>
  <c r="Q125" i="15"/>
  <c r="Q133" i="15" s="1"/>
  <c r="H9" i="15"/>
  <c r="L23" i="15"/>
  <c r="E133" i="15"/>
  <c r="E21" i="15" s="1"/>
  <c r="H37" i="11"/>
  <c r="E198" i="9"/>
  <c r="E209" i="9"/>
  <c r="Q168" i="9"/>
  <c r="N9" i="9" l="1"/>
  <c r="R9" i="9"/>
  <c r="L20" i="16"/>
  <c r="D22" i="16"/>
  <c r="D17" i="11"/>
  <c r="M15" i="16"/>
  <c r="I12" i="11"/>
  <c r="I22" i="16"/>
  <c r="I9" i="16" s="1"/>
  <c r="E20" i="16"/>
  <c r="M120" i="16"/>
  <c r="E35" i="17"/>
  <c r="M35" i="17" s="1"/>
  <c r="E200" i="9"/>
  <c r="Q9" i="9"/>
  <c r="E35" i="11"/>
  <c r="R35" i="11" s="1"/>
  <c r="E23" i="15"/>
  <c r="E9" i="15" s="1"/>
  <c r="R9" i="15" s="1"/>
  <c r="M21" i="15"/>
  <c r="H41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33" i="11"/>
  <c r="P28" i="11"/>
  <c r="P29" i="11"/>
  <c r="R8" i="10"/>
  <c r="R10" i="5"/>
  <c r="P34" i="11"/>
  <c r="R8" i="9"/>
  <c r="P8" i="10"/>
  <c r="P8" i="9"/>
  <c r="P88" i="9" s="1"/>
  <c r="Q8" i="10"/>
  <c r="Q51" i="10" s="1"/>
  <c r="S51" i="10" s="1"/>
  <c r="R82" i="5" l="1"/>
  <c r="S82" i="5" s="1"/>
  <c r="S97" i="5"/>
  <c r="R10" i="4"/>
  <c r="S82" i="4" s="1"/>
  <c r="R162" i="9"/>
  <c r="R163" i="9"/>
  <c r="R164" i="9"/>
  <c r="R161" i="9"/>
  <c r="R165" i="9"/>
  <c r="R166" i="9"/>
  <c r="R160" i="9"/>
  <c r="M20" i="16"/>
  <c r="E22" i="16"/>
  <c r="E17" i="11"/>
  <c r="E19" i="11" s="1"/>
  <c r="L22" i="16"/>
  <c r="D9" i="16"/>
  <c r="L9" i="16" s="1"/>
  <c r="I19" i="11"/>
  <c r="D19" i="11"/>
  <c r="R10" i="3"/>
  <c r="R13" i="10"/>
  <c r="P48" i="10"/>
  <c r="P13" i="10"/>
  <c r="Q35" i="11"/>
  <c r="Q37" i="11" s="1"/>
  <c r="Q10" i="5"/>
  <c r="Q82" i="5" s="1"/>
  <c r="Q8" i="16"/>
  <c r="Q13" i="10"/>
  <c r="R88" i="5"/>
  <c r="S88" i="5" s="1"/>
  <c r="R87" i="5"/>
  <c r="S87" i="5" s="1"/>
  <c r="R86" i="5"/>
  <c r="S86" i="5" s="1"/>
  <c r="Q86" i="5"/>
  <c r="R102" i="5"/>
  <c r="R6" i="5" s="1"/>
  <c r="R84" i="5"/>
  <c r="R85" i="5"/>
  <c r="S85" i="5" s="1"/>
  <c r="R83" i="5"/>
  <c r="R94" i="4"/>
  <c r="S94" i="4" s="1"/>
  <c r="R93" i="4"/>
  <c r="S93" i="4" s="1"/>
  <c r="R87" i="4"/>
  <c r="S87" i="4" s="1"/>
  <c r="R84" i="4"/>
  <c r="R85" i="4"/>
  <c r="S85" i="4" s="1"/>
  <c r="R88" i="4"/>
  <c r="S88" i="4" s="1"/>
  <c r="R86" i="4"/>
  <c r="S86" i="4" s="1"/>
  <c r="R83" i="4"/>
  <c r="R88" i="3"/>
  <c r="S88" i="3" s="1"/>
  <c r="M23" i="15"/>
  <c r="R10" i="2"/>
  <c r="R23" i="2" s="1"/>
  <c r="E37" i="11"/>
  <c r="Q9" i="15"/>
  <c r="N9" i="15"/>
  <c r="Q8" i="9"/>
  <c r="P57" i="10"/>
  <c r="P15" i="10"/>
  <c r="Q41" i="10"/>
  <c r="Q40" i="10" s="1"/>
  <c r="P10" i="6"/>
  <c r="P76" i="6" s="1"/>
  <c r="Q10" i="3"/>
  <c r="R95" i="3"/>
  <c r="R10" i="6"/>
  <c r="S32" i="11"/>
  <c r="V32" i="11" s="1"/>
  <c r="S28" i="11"/>
  <c r="T28" i="11" s="1"/>
  <c r="S33" i="11"/>
  <c r="T33" i="11" s="1"/>
  <c r="R37" i="11"/>
  <c r="Q68" i="5"/>
  <c r="Q14" i="5"/>
  <c r="Q72" i="5"/>
  <c r="Q98" i="5"/>
  <c r="Q17" i="5"/>
  <c r="Q15" i="5"/>
  <c r="Q38" i="5"/>
  <c r="Q30" i="5"/>
  <c r="Q40" i="5"/>
  <c r="Q57" i="5"/>
  <c r="Q79" i="5"/>
  <c r="Q63" i="5"/>
  <c r="Q78" i="5"/>
  <c r="Q26" i="5"/>
  <c r="Q27" i="5"/>
  <c r="Q60" i="5"/>
  <c r="Q74" i="5"/>
  <c r="Q67" i="5"/>
  <c r="Q13" i="5"/>
  <c r="Q32" i="5"/>
  <c r="Q123" i="17" s="1"/>
  <c r="R21" i="3"/>
  <c r="R79" i="3"/>
  <c r="S79" i="3" s="1"/>
  <c r="R69" i="3"/>
  <c r="S69" i="3" s="1"/>
  <c r="R47" i="3"/>
  <c r="R73" i="3"/>
  <c r="R55" i="3"/>
  <c r="S55" i="3" s="1"/>
  <c r="R40" i="3"/>
  <c r="S40" i="3" s="1"/>
  <c r="R61" i="3"/>
  <c r="S61" i="3" s="1"/>
  <c r="R35" i="3"/>
  <c r="R29" i="3"/>
  <c r="R101" i="3"/>
  <c r="R24" i="3"/>
  <c r="R17" i="3"/>
  <c r="R51" i="3"/>
  <c r="S51" i="3" s="1"/>
  <c r="R25" i="3"/>
  <c r="R49" i="3"/>
  <c r="R15" i="3"/>
  <c r="Q157" i="9"/>
  <c r="Q110" i="9"/>
  <c r="Q139" i="9"/>
  <c r="Q49" i="9"/>
  <c r="Q75" i="9"/>
  <c r="Q151" i="9"/>
  <c r="Q95" i="9"/>
  <c r="Q87" i="9"/>
  <c r="Q58" i="9"/>
  <c r="Q132" i="9"/>
  <c r="Q159" i="9"/>
  <c r="Q61" i="9"/>
  <c r="Q94" i="9"/>
  <c r="Q39" i="9"/>
  <c r="Q137" i="9"/>
  <c r="Q26" i="9"/>
  <c r="Q130" i="9"/>
  <c r="Q124" i="9"/>
  <c r="Q55" i="9"/>
  <c r="Q37" i="9"/>
  <c r="Q20" i="9"/>
  <c r="Q156" i="9"/>
  <c r="Q97" i="9"/>
  <c r="Q141" i="9"/>
  <c r="Q154" i="9"/>
  <c r="Q77" i="9"/>
  <c r="Q111" i="9"/>
  <c r="Q146" i="9"/>
  <c r="Q56" i="9"/>
  <c r="Q147" i="9"/>
  <c r="Q115" i="9"/>
  <c r="Q18" i="9"/>
  <c r="Q153" i="9"/>
  <c r="Q104" i="9"/>
  <c r="Q133" i="9"/>
  <c r="Q41" i="9"/>
  <c r="Q71" i="9"/>
  <c r="Q131" i="9"/>
  <c r="Q76" i="9"/>
  <c r="Q90" i="9"/>
  <c r="Q116" i="9"/>
  <c r="Q68" i="9"/>
  <c r="Q136" i="9"/>
  <c r="Q103" i="9"/>
  <c r="Q85" i="9"/>
  <c r="Q118" i="9"/>
  <c r="Q53" i="9"/>
  <c r="Q33" i="9"/>
  <c r="Q54" i="9"/>
  <c r="Q138" i="9"/>
  <c r="Q40" i="9"/>
  <c r="Q65" i="9"/>
  <c r="Q98" i="9"/>
  <c r="Q45" i="9"/>
  <c r="Q35" i="9"/>
  <c r="Q44" i="9"/>
  <c r="Q23" i="9"/>
  <c r="Q155" i="9"/>
  <c r="Q52" i="9"/>
  <c r="Q78" i="9"/>
  <c r="Q112" i="9"/>
  <c r="Q63" i="9"/>
  <c r="Q38" i="9"/>
  <c r="Q25" i="9"/>
  <c r="Q16" i="9"/>
  <c r="Q101" i="9"/>
  <c r="Q42" i="9"/>
  <c r="Q19" i="9"/>
  <c r="Q122" i="9"/>
  <c r="Q86" i="9"/>
  <c r="Q140" i="9"/>
  <c r="Q22" i="9"/>
  <c r="Q127" i="9"/>
  <c r="Q126" i="9"/>
  <c r="Q21" i="9"/>
  <c r="Q48" i="9"/>
  <c r="Q34" i="9"/>
  <c r="Q46" i="9"/>
  <c r="Q123" i="9"/>
  <c r="Q150" i="9"/>
  <c r="Q59" i="9"/>
  <c r="Q66" i="9"/>
  <c r="Q62" i="9"/>
  <c r="Q152" i="9"/>
  <c r="Q99" i="9"/>
  <c r="Q50" i="9"/>
  <c r="Q15" i="9"/>
  <c r="Q79" i="9"/>
  <c r="Q91" i="9"/>
  <c r="Q74" i="9"/>
  <c r="Q17" i="9"/>
  <c r="Q69" i="9"/>
  <c r="Q83" i="9"/>
  <c r="Q109" i="9"/>
  <c r="Q89" i="9"/>
  <c r="Q121" i="9"/>
  <c r="Q114" i="9"/>
  <c r="Q93" i="9"/>
  <c r="Q47" i="9"/>
  <c r="Q107" i="9"/>
  <c r="Q72" i="9"/>
  <c r="Q88" i="9"/>
  <c r="Q143" i="9"/>
  <c r="Q113" i="9"/>
  <c r="Q148" i="9"/>
  <c r="Q57" i="9"/>
  <c r="Q142" i="9"/>
  <c r="Q51" i="9"/>
  <c r="Q100" i="9"/>
  <c r="Q96" i="9"/>
  <c r="Q125" i="9"/>
  <c r="Q158" i="9"/>
  <c r="Q43" i="9"/>
  <c r="Q64" i="9"/>
  <c r="Q27" i="9"/>
  <c r="Q92" i="9"/>
  <c r="Q73" i="9"/>
  <c r="Q67" i="9"/>
  <c r="Q102" i="9"/>
  <c r="Q36" i="9"/>
  <c r="Q60" i="9"/>
  <c r="Q149" i="9"/>
  <c r="Q108" i="9"/>
  <c r="Q84" i="9"/>
  <c r="Q70" i="9"/>
  <c r="Q30" i="9"/>
  <c r="Q117" i="9"/>
  <c r="P78" i="6"/>
  <c r="R41" i="2"/>
  <c r="R45" i="2"/>
  <c r="P10" i="4"/>
  <c r="R89" i="5"/>
  <c r="R5" i="5" s="1"/>
  <c r="R182" i="9" s="1"/>
  <c r="P50" i="9"/>
  <c r="S50" i="9" s="1"/>
  <c r="R33" i="4"/>
  <c r="R71" i="4"/>
  <c r="R15" i="4"/>
  <c r="R22" i="4"/>
  <c r="R77" i="4"/>
  <c r="R51" i="4"/>
  <c r="S51" i="4" s="1"/>
  <c r="R52" i="4"/>
  <c r="S52" i="4" s="1"/>
  <c r="R34" i="4"/>
  <c r="R44" i="4"/>
  <c r="R35" i="4"/>
  <c r="R64" i="4"/>
  <c r="R80" i="4"/>
  <c r="R63" i="4"/>
  <c r="R73" i="4"/>
  <c r="R18" i="4"/>
  <c r="R26" i="4"/>
  <c r="R81" i="4"/>
  <c r="S81" i="4" s="1"/>
  <c r="R40" i="4"/>
  <c r="S40" i="4" s="1"/>
  <c r="R42" i="4"/>
  <c r="R99" i="4"/>
  <c r="R57" i="4"/>
  <c r="R60" i="4"/>
  <c r="S60" i="4" s="1"/>
  <c r="R72" i="4"/>
  <c r="R16" i="4"/>
  <c r="R30" i="4"/>
  <c r="R43" i="4"/>
  <c r="R55" i="4"/>
  <c r="S55" i="4" s="1"/>
  <c r="R45" i="4"/>
  <c r="R69" i="4"/>
  <c r="S69" i="4" s="1"/>
  <c r="R58" i="4"/>
  <c r="R70" i="4"/>
  <c r="S70" i="4" s="1"/>
  <c r="R65" i="4"/>
  <c r="R21" i="4"/>
  <c r="R24" i="4"/>
  <c r="R38" i="4"/>
  <c r="S38" i="4" s="1"/>
  <c r="R98" i="4"/>
  <c r="R76" i="4"/>
  <c r="R19" i="4"/>
  <c r="R47" i="4"/>
  <c r="S47" i="4" s="1"/>
  <c r="R59" i="4"/>
  <c r="S59" i="4" s="1"/>
  <c r="R101" i="4"/>
  <c r="R14" i="4"/>
  <c r="R95" i="4"/>
  <c r="R41" i="4"/>
  <c r="R39" i="4"/>
  <c r="S39" i="4" s="1"/>
  <c r="R96" i="4"/>
  <c r="R74" i="4"/>
  <c r="R37" i="4"/>
  <c r="R28" i="4"/>
  <c r="R97" i="4"/>
  <c r="R17" i="4"/>
  <c r="R75" i="4"/>
  <c r="R54" i="4"/>
  <c r="S54" i="4" s="1"/>
  <c r="R56" i="4"/>
  <c r="S56" i="4" s="1"/>
  <c r="R50" i="4"/>
  <c r="S50" i="4" s="1"/>
  <c r="R78" i="4"/>
  <c r="R27" i="4"/>
  <c r="R49" i="4"/>
  <c r="R62" i="4"/>
  <c r="R25" i="4"/>
  <c r="R23" i="4"/>
  <c r="R46" i="4"/>
  <c r="R68" i="4"/>
  <c r="S68" i="4" s="1"/>
  <c r="R61" i="4"/>
  <c r="S61" i="4" s="1"/>
  <c r="R36" i="4"/>
  <c r="R79" i="4"/>
  <c r="R66" i="4"/>
  <c r="R100" i="4"/>
  <c r="R13" i="4"/>
  <c r="R94" i="17" s="1"/>
  <c r="R20" i="4"/>
  <c r="R67" i="4"/>
  <c r="R53" i="4"/>
  <c r="S53" i="4" s="1"/>
  <c r="R32" i="4"/>
  <c r="R96" i="17" s="1"/>
  <c r="R48" i="4"/>
  <c r="R29" i="4"/>
  <c r="R95" i="17" s="1"/>
  <c r="R89" i="4"/>
  <c r="R5" i="4" s="1"/>
  <c r="R181" i="9" s="1"/>
  <c r="P117" i="9"/>
  <c r="P38" i="9"/>
  <c r="P10" i="7"/>
  <c r="Q10" i="2"/>
  <c r="P10" i="2"/>
  <c r="P15" i="9"/>
  <c r="P44" i="9"/>
  <c r="S44" i="9" s="1"/>
  <c r="P10" i="5"/>
  <c r="P82" i="5" s="1"/>
  <c r="P107" i="9"/>
  <c r="S107" i="9" s="1"/>
  <c r="P64" i="9"/>
  <c r="P10" i="3"/>
  <c r="P98" i="3" s="1"/>
  <c r="Q10" i="4"/>
  <c r="S29" i="11"/>
  <c r="P130" i="9"/>
  <c r="S130" i="9" s="1"/>
  <c r="P26" i="9"/>
  <c r="S26" i="9" s="1"/>
  <c r="R68" i="10"/>
  <c r="P14" i="10"/>
  <c r="R102" i="4"/>
  <c r="R6" i="4" s="1"/>
  <c r="P147" i="9"/>
  <c r="P124" i="9"/>
  <c r="S124" i="9" s="1"/>
  <c r="P143" i="9"/>
  <c r="P30" i="9"/>
  <c r="S30" i="9" s="1"/>
  <c r="P85" i="9"/>
  <c r="P41" i="9"/>
  <c r="S41" i="9" s="1"/>
  <c r="P71" i="10"/>
  <c r="P78" i="10"/>
  <c r="P89" i="9"/>
  <c r="P69" i="10"/>
  <c r="P151" i="9"/>
  <c r="S151" i="9" s="1"/>
  <c r="P53" i="9"/>
  <c r="P86" i="9"/>
  <c r="R89" i="6"/>
  <c r="R5" i="6" s="1"/>
  <c r="R183" i="9" s="1"/>
  <c r="P51" i="9"/>
  <c r="S51" i="9" s="1"/>
  <c r="P110" i="9"/>
  <c r="P139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32" i="9"/>
  <c r="R55" i="9"/>
  <c r="R115" i="9"/>
  <c r="R117" i="9"/>
  <c r="R67" i="9"/>
  <c r="R112" i="9"/>
  <c r="P70" i="9"/>
  <c r="S70" i="9" s="1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S35" i="9" s="1"/>
  <c r="P60" i="10"/>
  <c r="R14" i="10"/>
  <c r="P89" i="10"/>
  <c r="P26" i="10"/>
  <c r="P20" i="9"/>
  <c r="S20" i="9" s="1"/>
  <c r="T20" i="9" s="1"/>
  <c r="R48" i="10"/>
  <c r="S30" i="11"/>
  <c r="R77" i="10"/>
  <c r="P101" i="9"/>
  <c r="P42" i="9"/>
  <c r="S42" i="9" s="1"/>
  <c r="P61" i="9"/>
  <c r="S61" i="9" s="1"/>
  <c r="P55" i="9"/>
  <c r="P76" i="9"/>
  <c r="P150" i="9"/>
  <c r="S150" i="9" s="1"/>
  <c r="P154" i="9"/>
  <c r="S154" i="9" s="1"/>
  <c r="P140" i="9"/>
  <c r="P57" i="9"/>
  <c r="P141" i="9"/>
  <c r="P71" i="9"/>
  <c r="S71" i="9" s="1"/>
  <c r="P34" i="9"/>
  <c r="P40" i="9"/>
  <c r="P78" i="9"/>
  <c r="P137" i="9"/>
  <c r="P125" i="9"/>
  <c r="P75" i="9"/>
  <c r="S75" i="9" s="1"/>
  <c r="P138" i="9"/>
  <c r="P113" i="9"/>
  <c r="P48" i="9"/>
  <c r="S48" i="9" s="1"/>
  <c r="P127" i="9"/>
  <c r="S127" i="9" s="1"/>
  <c r="P157" i="9"/>
  <c r="S157" i="9" s="1"/>
  <c r="P95" i="9"/>
  <c r="P73" i="9"/>
  <c r="S73" i="9" s="1"/>
  <c r="P67" i="9"/>
  <c r="P63" i="9"/>
  <c r="S63" i="9" s="1"/>
  <c r="P132" i="9"/>
  <c r="S132" i="9" s="1"/>
  <c r="P99" i="9"/>
  <c r="P155" i="9"/>
  <c r="S155" i="9" s="1"/>
  <c r="P100" i="9"/>
  <c r="P36" i="9"/>
  <c r="S36" i="9" s="1"/>
  <c r="P72" i="9"/>
  <c r="S72" i="9" s="1"/>
  <c r="P66" i="9"/>
  <c r="P115" i="9"/>
  <c r="P33" i="9"/>
  <c r="V33" i="9" s="1"/>
  <c r="P59" i="9"/>
  <c r="S59" i="9" s="1"/>
  <c r="P126" i="9"/>
  <c r="S126" i="9" s="1"/>
  <c r="P158" i="9"/>
  <c r="S158" i="9" s="1"/>
  <c r="P109" i="9"/>
  <c r="P19" i="9"/>
  <c r="S19" i="9" s="1"/>
  <c r="P56" i="9"/>
  <c r="S56" i="9" s="1"/>
  <c r="P54" i="9"/>
  <c r="S54" i="9" s="1"/>
  <c r="P122" i="9"/>
  <c r="S122" i="9" s="1"/>
  <c r="P148" i="9"/>
  <c r="P87" i="9"/>
  <c r="P142" i="9"/>
  <c r="P131" i="9"/>
  <c r="P45" i="9"/>
  <c r="P152" i="9"/>
  <c r="S152" i="9" s="1"/>
  <c r="P49" i="9"/>
  <c r="S49" i="9" s="1"/>
  <c r="P92" i="9"/>
  <c r="S92" i="9" s="1"/>
  <c r="P47" i="9"/>
  <c r="P39" i="9"/>
  <c r="P90" i="9"/>
  <c r="P121" i="9"/>
  <c r="S121" i="9" s="1"/>
  <c r="P111" i="9"/>
  <c r="P21" i="9"/>
  <c r="S21" i="9" s="1"/>
  <c r="P27" i="9"/>
  <c r="P16" i="9"/>
  <c r="S16" i="9" s="1"/>
  <c r="P65" i="9"/>
  <c r="S65" i="9" s="1"/>
  <c r="P37" i="9"/>
  <c r="S37" i="9" s="1"/>
  <c r="P149" i="9"/>
  <c r="S149" i="9" s="1"/>
  <c r="P77" i="9"/>
  <c r="P91" i="9"/>
  <c r="P23" i="9"/>
  <c r="S23" i="9" s="1"/>
  <c r="P102" i="9"/>
  <c r="P68" i="9"/>
  <c r="S68" i="9" s="1"/>
  <c r="P156" i="9"/>
  <c r="S156" i="9" s="1"/>
  <c r="P103" i="9"/>
  <c r="P62" i="9"/>
  <c r="P52" i="9"/>
  <c r="S52" i="9" s="1"/>
  <c r="P46" i="9"/>
  <c r="P136" i="9"/>
  <c r="P97" i="9"/>
  <c r="P133" i="9"/>
  <c r="S133" i="9" s="1"/>
  <c r="P74" i="9"/>
  <c r="P79" i="9"/>
  <c r="P108" i="9"/>
  <c r="P159" i="9"/>
  <c r="S159" i="9" s="1"/>
  <c r="P25" i="9"/>
  <c r="S25" i="9" s="1"/>
  <c r="Q26" i="3"/>
  <c r="R47" i="5"/>
  <c r="S47" i="5" s="1"/>
  <c r="R46" i="5"/>
  <c r="R18" i="5"/>
  <c r="R65" i="5"/>
  <c r="S65" i="5" s="1"/>
  <c r="R57" i="5"/>
  <c r="R42" i="5"/>
  <c r="R40" i="5"/>
  <c r="S40" i="5" s="1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S70" i="5" s="1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S61" i="5" s="1"/>
  <c r="R41" i="5"/>
  <c r="R72" i="5"/>
  <c r="R63" i="5"/>
  <c r="R80" i="5"/>
  <c r="R81" i="5"/>
  <c r="S81" i="5" s="1"/>
  <c r="R30" i="5"/>
  <c r="R76" i="5"/>
  <c r="R44" i="5"/>
  <c r="R74" i="5"/>
  <c r="R62" i="5"/>
  <c r="R64" i="5"/>
  <c r="R66" i="5"/>
  <c r="R95" i="5"/>
  <c r="R39" i="5"/>
  <c r="S39" i="5" s="1"/>
  <c r="R59" i="5"/>
  <c r="S59" i="5" s="1"/>
  <c r="R45" i="5"/>
  <c r="R32" i="5"/>
  <c r="R123" i="17" s="1"/>
  <c r="R13" i="5"/>
  <c r="R121" i="17" s="1"/>
  <c r="R96" i="5"/>
  <c r="R29" i="5"/>
  <c r="R122" i="17" s="1"/>
  <c r="P43" i="9"/>
  <c r="S43" i="9" s="1"/>
  <c r="P116" i="9"/>
  <c r="S116" i="9" s="1"/>
  <c r="P96" i="9"/>
  <c r="P22" i="9"/>
  <c r="S22" i="9" s="1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S64" i="10" s="1"/>
  <c r="Q81" i="10"/>
  <c r="Q85" i="10"/>
  <c r="Q91" i="10"/>
  <c r="Q69" i="10"/>
  <c r="Q45" i="10"/>
  <c r="Q22" i="10"/>
  <c r="S22" i="10" s="1"/>
  <c r="Q95" i="10"/>
  <c r="Q74" i="10"/>
  <c r="Q15" i="10"/>
  <c r="Q28" i="10"/>
  <c r="Q34" i="10"/>
  <c r="Q24" i="10"/>
  <c r="Q38" i="10"/>
  <c r="Q70" i="10"/>
  <c r="Q49" i="10"/>
  <c r="Q60" i="10"/>
  <c r="Q19" i="10"/>
  <c r="Q61" i="10"/>
  <c r="S61" i="10" s="1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S75" i="10" s="1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S44" i="10" s="1"/>
  <c r="P21" i="10"/>
  <c r="S21" i="10" s="1"/>
  <c r="P91" i="10"/>
  <c r="P86" i="10"/>
  <c r="S86" i="10" s="1"/>
  <c r="P61" i="10"/>
  <c r="V61" i="10" s="1"/>
  <c r="P92" i="10"/>
  <c r="P63" i="10"/>
  <c r="S63" i="10" s="1"/>
  <c r="P74" i="10"/>
  <c r="P59" i="10"/>
  <c r="S59" i="10" s="1"/>
  <c r="P64" i="10"/>
  <c r="P32" i="10"/>
  <c r="P58" i="10"/>
  <c r="S58" i="10" s="1"/>
  <c r="P66" i="10"/>
  <c r="P20" i="10"/>
  <c r="S20" i="10" s="1"/>
  <c r="P54" i="10"/>
  <c r="S54" i="10" s="1"/>
  <c r="P65" i="10"/>
  <c r="S65" i="10" s="1"/>
  <c r="P29" i="10"/>
  <c r="S29" i="10" s="1"/>
  <c r="P94" i="10"/>
  <c r="V94" i="10" s="1"/>
  <c r="P84" i="10"/>
  <c r="S84" i="10" s="1"/>
  <c r="P55" i="10"/>
  <c r="S55" i="10" s="1"/>
  <c r="P23" i="10"/>
  <c r="P24" i="10"/>
  <c r="P16" i="10"/>
  <c r="P77" i="10"/>
  <c r="S77" i="10" s="1"/>
  <c r="P37" i="10"/>
  <c r="S37" i="10" s="1"/>
  <c r="T37" i="10" s="1"/>
  <c r="P36" i="10"/>
  <c r="S36" i="10" s="1"/>
  <c r="T36" i="10" s="1"/>
  <c r="P82" i="10"/>
  <c r="S82" i="10" s="1"/>
  <c r="P93" i="10"/>
  <c r="P79" i="10"/>
  <c r="S79" i="10" s="1"/>
  <c r="P85" i="10"/>
  <c r="S85" i="10" s="1"/>
  <c r="P95" i="10"/>
  <c r="V95" i="10" s="1"/>
  <c r="P90" i="10"/>
  <c r="S90" i="10" s="1"/>
  <c r="P43" i="10"/>
  <c r="S43" i="10" s="1"/>
  <c r="P83" i="10"/>
  <c r="S83" i="10" s="1"/>
  <c r="P45" i="10"/>
  <c r="P27" i="10"/>
  <c r="S27" i="10" s="1"/>
  <c r="P31" i="10"/>
  <c r="S31" i="10" s="1"/>
  <c r="P53" i="10"/>
  <c r="P56" i="10"/>
  <c r="S56" i="10" s="1"/>
  <c r="P62" i="10"/>
  <c r="S62" i="10" s="1"/>
  <c r="P49" i="10"/>
  <c r="P35" i="10"/>
  <c r="P52" i="10"/>
  <c r="P34" i="10"/>
  <c r="P28" i="10"/>
  <c r="S28" i="10" s="1"/>
  <c r="T28" i="10" s="1"/>
  <c r="P75" i="10"/>
  <c r="P18" i="10"/>
  <c r="P22" i="10"/>
  <c r="V22" i="10" s="1"/>
  <c r="P17" i="10"/>
  <c r="S17" i="10" s="1"/>
  <c r="P68" i="10"/>
  <c r="P41" i="10"/>
  <c r="P73" i="10"/>
  <c r="P33" i="10"/>
  <c r="S33" i="10" s="1"/>
  <c r="P38" i="10"/>
  <c r="S38" i="10" s="1"/>
  <c r="T38" i="10" s="1"/>
  <c r="Q10" i="6"/>
  <c r="P83" i="9"/>
  <c r="P98" i="9"/>
  <c r="Q14" i="10"/>
  <c r="P84" i="9"/>
  <c r="P104" i="9"/>
  <c r="P123" i="9"/>
  <c r="S123" i="9" s="1"/>
  <c r="P46" i="10"/>
  <c r="P58" i="9"/>
  <c r="S58" i="9" s="1"/>
  <c r="P114" i="9"/>
  <c r="P153" i="9"/>
  <c r="S153" i="9" s="1"/>
  <c r="P70" i="10"/>
  <c r="P60" i="9"/>
  <c r="S60" i="9" s="1"/>
  <c r="P112" i="9"/>
  <c r="S112" i="9" s="1"/>
  <c r="P69" i="9"/>
  <c r="S69" i="9" s="1"/>
  <c r="P18" i="9"/>
  <c r="S18" i="9" s="1"/>
  <c r="P17" i="9"/>
  <c r="P20" i="15"/>
  <c r="P16" i="15"/>
  <c r="P18" i="15"/>
  <c r="P15" i="15"/>
  <c r="P19" i="15"/>
  <c r="R15" i="15"/>
  <c r="R16" i="15"/>
  <c r="R20" i="15"/>
  <c r="R17" i="15"/>
  <c r="R18" i="15"/>
  <c r="R21" i="15"/>
  <c r="R14" i="15"/>
  <c r="R19" i="15"/>
  <c r="R13" i="15"/>
  <c r="R53" i="2" l="1"/>
  <c r="R96" i="6"/>
  <c r="R44" i="6"/>
  <c r="S44" i="6" s="1"/>
  <c r="R40" i="6"/>
  <c r="S40" i="6" s="1"/>
  <c r="R36" i="6"/>
  <c r="S36" i="6" s="1"/>
  <c r="R34" i="6"/>
  <c r="S34" i="6" s="1"/>
  <c r="R16" i="6"/>
  <c r="S16" i="6" s="1"/>
  <c r="V16" i="6" s="1"/>
  <c r="R17" i="6"/>
  <c r="S17" i="6" s="1"/>
  <c r="V17" i="6" s="1"/>
  <c r="R18" i="6"/>
  <c r="S18" i="6" s="1"/>
  <c r="V18" i="6" s="1"/>
  <c r="R19" i="6"/>
  <c r="S19" i="6" s="1"/>
  <c r="R42" i="6"/>
  <c r="S42" i="6" s="1"/>
  <c r="R35" i="6"/>
  <c r="S35" i="6" s="1"/>
  <c r="R21" i="6"/>
  <c r="S21" i="6" s="1"/>
  <c r="R45" i="6"/>
  <c r="S45" i="6" s="1"/>
  <c r="R37" i="6"/>
  <c r="S37" i="6" s="1"/>
  <c r="R15" i="6"/>
  <c r="S15" i="6" s="1"/>
  <c r="R46" i="6"/>
  <c r="S46" i="6" s="1"/>
  <c r="S68" i="6"/>
  <c r="V68" i="6" s="1"/>
  <c r="R47" i="6"/>
  <c r="S47" i="6" s="1"/>
  <c r="R43" i="6"/>
  <c r="S43" i="6" s="1"/>
  <c r="R39" i="6"/>
  <c r="S39" i="6" s="1"/>
  <c r="R20" i="6"/>
  <c r="S20" i="6" s="1"/>
  <c r="R22" i="6"/>
  <c r="S22" i="6" s="1"/>
  <c r="V22" i="6" s="1"/>
  <c r="R23" i="6"/>
  <c r="S23" i="6" s="1"/>
  <c r="R38" i="6"/>
  <c r="S38" i="6" s="1"/>
  <c r="R30" i="6"/>
  <c r="S30" i="6" s="1"/>
  <c r="R33" i="6"/>
  <c r="S33" i="6" s="1"/>
  <c r="R29" i="6"/>
  <c r="S29" i="6" s="1"/>
  <c r="R41" i="6"/>
  <c r="S41" i="6" s="1"/>
  <c r="R48" i="6"/>
  <c r="S48" i="6" s="1"/>
  <c r="R32" i="6"/>
  <c r="S32" i="6" s="1"/>
  <c r="S24" i="2"/>
  <c r="V24" i="2" s="1"/>
  <c r="S14" i="2"/>
  <c r="V14" i="2" s="1"/>
  <c r="S82" i="2"/>
  <c r="V82" i="2" s="1"/>
  <c r="S98" i="3"/>
  <c r="T98" i="3" s="1"/>
  <c r="R30" i="2"/>
  <c r="R98" i="2"/>
  <c r="R98" i="3"/>
  <c r="S86" i="3"/>
  <c r="S89" i="3"/>
  <c r="S14" i="3"/>
  <c r="V14" i="3" s="1"/>
  <c r="R57" i="2"/>
  <c r="R42" i="2"/>
  <c r="S141" i="9"/>
  <c r="T141" i="9" s="1"/>
  <c r="S46" i="10"/>
  <c r="S78" i="10"/>
  <c r="S57" i="10"/>
  <c r="S60" i="10"/>
  <c r="S26" i="10"/>
  <c r="S143" i="9"/>
  <c r="S142" i="9"/>
  <c r="S125" i="9"/>
  <c r="S78" i="9"/>
  <c r="S34" i="9"/>
  <c r="S27" i="9"/>
  <c r="S17" i="9"/>
  <c r="S15" i="9"/>
  <c r="S131" i="9"/>
  <c r="V131" i="9" s="1"/>
  <c r="S115" i="9"/>
  <c r="T115" i="9" s="1"/>
  <c r="S39" i="9"/>
  <c r="S66" i="9"/>
  <c r="S67" i="9"/>
  <c r="S40" i="9"/>
  <c r="V40" i="9" s="1"/>
  <c r="S57" i="9"/>
  <c r="S76" i="9"/>
  <c r="V76" i="9" s="1"/>
  <c r="S53" i="9"/>
  <c r="S64" i="9"/>
  <c r="S38" i="9"/>
  <c r="S77" i="9"/>
  <c r="V77" i="9" s="1"/>
  <c r="S62" i="9"/>
  <c r="V62" i="9" s="1"/>
  <c r="S74" i="9"/>
  <c r="V74" i="9" s="1"/>
  <c r="S46" i="9"/>
  <c r="S47" i="9"/>
  <c r="S45" i="9"/>
  <c r="V45" i="9" s="1"/>
  <c r="S55" i="9"/>
  <c r="S89" i="10"/>
  <c r="S53" i="10"/>
  <c r="S52" i="10"/>
  <c r="S69" i="10"/>
  <c r="S45" i="10"/>
  <c r="S48" i="10"/>
  <c r="S41" i="10"/>
  <c r="S35" i="10"/>
  <c r="S16" i="10"/>
  <c r="S19" i="10"/>
  <c r="V19" i="10" s="1"/>
  <c r="S18" i="10"/>
  <c r="S15" i="10"/>
  <c r="T15" i="10" s="1"/>
  <c r="S14" i="10"/>
  <c r="S13" i="10"/>
  <c r="S147" i="9"/>
  <c r="V148" i="9"/>
  <c r="S148" i="9"/>
  <c r="M22" i="16"/>
  <c r="E9" i="16"/>
  <c r="D41" i="11"/>
  <c r="L41" i="11"/>
  <c r="R84" i="3"/>
  <c r="R72" i="17" s="1"/>
  <c r="R66" i="3"/>
  <c r="S66" i="3" s="1"/>
  <c r="R48" i="3"/>
  <c r="R62" i="3"/>
  <c r="S62" i="3" s="1"/>
  <c r="R56" i="3"/>
  <c r="S56" i="3" s="1"/>
  <c r="R54" i="3"/>
  <c r="S54" i="3" s="1"/>
  <c r="R82" i="3"/>
  <c r="S82" i="3" s="1"/>
  <c r="R74" i="3"/>
  <c r="S74" i="3" s="1"/>
  <c r="Q89" i="5"/>
  <c r="Q5" i="5" s="1"/>
  <c r="Q182" i="9" s="1"/>
  <c r="Q56" i="5"/>
  <c r="Q35" i="5"/>
  <c r="Q65" i="5"/>
  <c r="Q69" i="5"/>
  <c r="Q47" i="5"/>
  <c r="Q18" i="5"/>
  <c r="Q50" i="5"/>
  <c r="Q24" i="5"/>
  <c r="Q70" i="5"/>
  <c r="Q88" i="5"/>
  <c r="R93" i="3"/>
  <c r="S93" i="3" s="1"/>
  <c r="R34" i="3"/>
  <c r="R46" i="3"/>
  <c r="R37" i="3"/>
  <c r="R76" i="3"/>
  <c r="S76" i="3" s="1"/>
  <c r="R71" i="3"/>
  <c r="S71" i="3" s="1"/>
  <c r="R70" i="3"/>
  <c r="S70" i="3" s="1"/>
  <c r="R20" i="3"/>
  <c r="R44" i="3"/>
  <c r="R50" i="3"/>
  <c r="Q102" i="5"/>
  <c r="Q6" i="5" s="1"/>
  <c r="Q54" i="5"/>
  <c r="Q58" i="5"/>
  <c r="Q16" i="5"/>
  <c r="Q42" i="5"/>
  <c r="Q73" i="5"/>
  <c r="Q80" i="5"/>
  <c r="Q93" i="5"/>
  <c r="Q19" i="5"/>
  <c r="Q64" i="5"/>
  <c r="R102" i="3"/>
  <c r="R6" i="3" s="1"/>
  <c r="Q87" i="5"/>
  <c r="R94" i="3"/>
  <c r="S94" i="3" s="1"/>
  <c r="R31" i="3"/>
  <c r="R26" i="3"/>
  <c r="R28" i="3"/>
  <c r="R68" i="3"/>
  <c r="R57" i="3"/>
  <c r="S57" i="3" s="1"/>
  <c r="R80" i="3"/>
  <c r="S80" i="3" s="1"/>
  <c r="R64" i="3"/>
  <c r="S64" i="3" s="1"/>
  <c r="R43" i="3"/>
  <c r="R53" i="3"/>
  <c r="S53" i="3" s="1"/>
  <c r="Q81" i="5"/>
  <c r="Q76" i="5"/>
  <c r="Q45" i="5"/>
  <c r="Q37" i="5"/>
  <c r="Q33" i="5"/>
  <c r="Q77" i="5"/>
  <c r="Q101" i="5"/>
  <c r="Q55" i="5"/>
  <c r="Q71" i="5"/>
  <c r="Q36" i="5"/>
  <c r="R99" i="3"/>
  <c r="R85" i="3"/>
  <c r="R96" i="3"/>
  <c r="S96" i="3" s="1"/>
  <c r="R58" i="3"/>
  <c r="S58" i="3" s="1"/>
  <c r="R42" i="3"/>
  <c r="R75" i="3"/>
  <c r="R41" i="3"/>
  <c r="S41" i="3" s="1"/>
  <c r="R18" i="3"/>
  <c r="R36" i="3"/>
  <c r="R19" i="3"/>
  <c r="R22" i="3"/>
  <c r="Q29" i="5"/>
  <c r="Q122" i="17" s="1"/>
  <c r="Q25" i="5"/>
  <c r="Q99" i="5"/>
  <c r="Q48" i="5"/>
  <c r="Q49" i="5"/>
  <c r="Q20" i="5"/>
  <c r="Q23" i="5"/>
  <c r="Q94" i="5"/>
  <c r="Q43" i="5"/>
  <c r="R33" i="3"/>
  <c r="R69" i="17" s="1"/>
  <c r="Q83" i="5"/>
  <c r="Q126" i="17" s="1"/>
  <c r="P28" i="16"/>
  <c r="R72" i="3"/>
  <c r="R63" i="3"/>
  <c r="R97" i="3"/>
  <c r="S97" i="3" s="1"/>
  <c r="R77" i="3"/>
  <c r="S77" i="3" s="1"/>
  <c r="R16" i="3"/>
  <c r="R27" i="3"/>
  <c r="R81" i="3"/>
  <c r="R52" i="3"/>
  <c r="S52" i="3" s="1"/>
  <c r="R59" i="3"/>
  <c r="Q46" i="5"/>
  <c r="Q100" i="5"/>
  <c r="Q141" i="15" s="1"/>
  <c r="Q51" i="5"/>
  <c r="Q34" i="5"/>
  <c r="Q52" i="5"/>
  <c r="Q75" i="5"/>
  <c r="Q95" i="5"/>
  <c r="Q53" i="5"/>
  <c r="Q21" i="5"/>
  <c r="R30" i="3"/>
  <c r="R68" i="17" s="1"/>
  <c r="Q85" i="5"/>
  <c r="R100" i="3"/>
  <c r="R138" i="16" s="1"/>
  <c r="R65" i="3"/>
  <c r="R39" i="3"/>
  <c r="S39" i="3" s="1"/>
  <c r="R67" i="3"/>
  <c r="R23" i="3"/>
  <c r="R45" i="3"/>
  <c r="R78" i="3"/>
  <c r="S78" i="3" s="1"/>
  <c r="R60" i="3"/>
  <c r="S60" i="3" s="1"/>
  <c r="R38" i="3"/>
  <c r="S38" i="3" s="1"/>
  <c r="Q44" i="5"/>
  <c r="Q61" i="5"/>
  <c r="Q59" i="5"/>
  <c r="Q96" i="5"/>
  <c r="Q39" i="5"/>
  <c r="Q22" i="5"/>
  <c r="Q66" i="5"/>
  <c r="Q41" i="5"/>
  <c r="Q62" i="5"/>
  <c r="R13" i="3"/>
  <c r="R67" i="17" s="1"/>
  <c r="R87" i="3"/>
  <c r="Q84" i="5"/>
  <c r="R28" i="16"/>
  <c r="V123" i="9"/>
  <c r="R47" i="10"/>
  <c r="Q52" i="3"/>
  <c r="Q98" i="3"/>
  <c r="V82" i="5"/>
  <c r="R100" i="17"/>
  <c r="R104" i="15"/>
  <c r="R105" i="17"/>
  <c r="R31" i="16"/>
  <c r="S31" i="16" s="1"/>
  <c r="R92" i="15"/>
  <c r="R99" i="17"/>
  <c r="R78" i="17"/>
  <c r="R30" i="16"/>
  <c r="S30" i="16" s="1"/>
  <c r="P85" i="3"/>
  <c r="P94" i="3"/>
  <c r="P93" i="3"/>
  <c r="R103" i="15"/>
  <c r="R124" i="16"/>
  <c r="Q67" i="10"/>
  <c r="Q76" i="16" s="1"/>
  <c r="Q84" i="16" s="1"/>
  <c r="V28" i="10"/>
  <c r="Q24" i="3"/>
  <c r="V164" i="9"/>
  <c r="Q50" i="3"/>
  <c r="Q124" i="16"/>
  <c r="Q85" i="3"/>
  <c r="Q94" i="3"/>
  <c r="Q93" i="3"/>
  <c r="Q28" i="16"/>
  <c r="Q15" i="16"/>
  <c r="S15" i="16" s="1"/>
  <c r="Q19" i="16"/>
  <c r="S19" i="16" s="1"/>
  <c r="Q17" i="16"/>
  <c r="S17" i="16" s="1"/>
  <c r="Q14" i="16"/>
  <c r="S14" i="16" s="1"/>
  <c r="Q18" i="16"/>
  <c r="S18" i="16" s="1"/>
  <c r="Q13" i="16"/>
  <c r="S13" i="16" s="1"/>
  <c r="Q16" i="16"/>
  <c r="S16" i="16" s="1"/>
  <c r="R127" i="17"/>
  <c r="R105" i="15"/>
  <c r="Q105" i="15"/>
  <c r="Q127" i="17"/>
  <c r="Q88" i="7"/>
  <c r="Q86" i="7"/>
  <c r="P88" i="7"/>
  <c r="P86" i="7"/>
  <c r="R88" i="7"/>
  <c r="R86" i="7"/>
  <c r="S86" i="7" s="1"/>
  <c r="Q85" i="7"/>
  <c r="Q83" i="7"/>
  <c r="Q94" i="7"/>
  <c r="Q93" i="7"/>
  <c r="P94" i="7"/>
  <c r="P85" i="7"/>
  <c r="P83" i="7"/>
  <c r="P93" i="7"/>
  <c r="R94" i="7"/>
  <c r="S94" i="7" s="1"/>
  <c r="R85" i="7"/>
  <c r="S85" i="7" s="1"/>
  <c r="R83" i="7"/>
  <c r="R93" i="7"/>
  <c r="S93" i="7" s="1"/>
  <c r="R25" i="6"/>
  <c r="P53" i="6"/>
  <c r="P73" i="6"/>
  <c r="R54" i="6"/>
  <c r="R76" i="6"/>
  <c r="P96" i="6"/>
  <c r="P65" i="6"/>
  <c r="P52" i="6"/>
  <c r="P27" i="6"/>
  <c r="P72" i="6"/>
  <c r="P101" i="6"/>
  <c r="R65" i="6"/>
  <c r="S65" i="6" s="1"/>
  <c r="R70" i="6"/>
  <c r="S70" i="6" s="1"/>
  <c r="R55" i="6"/>
  <c r="P80" i="6"/>
  <c r="R102" i="6"/>
  <c r="R6" i="6" s="1"/>
  <c r="R7" i="6" s="1"/>
  <c r="R87" i="6"/>
  <c r="R84" i="6"/>
  <c r="R88" i="6"/>
  <c r="S88" i="6" s="1"/>
  <c r="R85" i="6"/>
  <c r="S85" i="6" s="1"/>
  <c r="R82" i="6"/>
  <c r="S82" i="6" s="1"/>
  <c r="R83" i="6"/>
  <c r="R86" i="6"/>
  <c r="P75" i="6"/>
  <c r="P88" i="6"/>
  <c r="P85" i="6"/>
  <c r="P84" i="6"/>
  <c r="P82" i="6"/>
  <c r="P87" i="6"/>
  <c r="P83" i="6"/>
  <c r="P86" i="6"/>
  <c r="R149" i="17"/>
  <c r="P74" i="6"/>
  <c r="R13" i="6"/>
  <c r="R148" i="17" s="1"/>
  <c r="R100" i="6"/>
  <c r="R141" i="16" s="1"/>
  <c r="P66" i="6"/>
  <c r="Q88" i="6"/>
  <c r="Q87" i="6"/>
  <c r="Q84" i="6"/>
  <c r="Q82" i="6"/>
  <c r="Q85" i="6"/>
  <c r="Q83" i="6"/>
  <c r="Q86" i="6"/>
  <c r="P67" i="6"/>
  <c r="P71" i="6"/>
  <c r="P26" i="6"/>
  <c r="R59" i="6"/>
  <c r="R95" i="6"/>
  <c r="R31" i="6"/>
  <c r="S31" i="6" s="1"/>
  <c r="R66" i="6"/>
  <c r="R99" i="6"/>
  <c r="R51" i="6"/>
  <c r="R69" i="6"/>
  <c r="R97" i="6"/>
  <c r="R64" i="6"/>
  <c r="R74" i="6"/>
  <c r="R77" i="6"/>
  <c r="R57" i="6"/>
  <c r="P97" i="6"/>
  <c r="P57" i="6"/>
  <c r="P14" i="6"/>
  <c r="P149" i="17"/>
  <c r="P50" i="6"/>
  <c r="P61" i="6"/>
  <c r="S61" i="6" s="1"/>
  <c r="P25" i="6"/>
  <c r="P54" i="6"/>
  <c r="P24" i="6"/>
  <c r="P60" i="6"/>
  <c r="S60" i="6" s="1"/>
  <c r="P94" i="6"/>
  <c r="R150" i="17"/>
  <c r="R78" i="6"/>
  <c r="R71" i="6"/>
  <c r="R27" i="6"/>
  <c r="R75" i="6"/>
  <c r="R24" i="6"/>
  <c r="R50" i="6"/>
  <c r="R94" i="6"/>
  <c r="S94" i="6" s="1"/>
  <c r="R98" i="6"/>
  <c r="R61" i="6"/>
  <c r="R81" i="6"/>
  <c r="R93" i="6"/>
  <c r="S93" i="6" s="1"/>
  <c r="R67" i="6"/>
  <c r="P69" i="6"/>
  <c r="P95" i="6"/>
  <c r="P150" i="17"/>
  <c r="P58" i="6"/>
  <c r="P49" i="6"/>
  <c r="P28" i="6"/>
  <c r="P98" i="6"/>
  <c r="P51" i="6"/>
  <c r="P64" i="6"/>
  <c r="P79" i="6"/>
  <c r="R72" i="6"/>
  <c r="R53" i="6"/>
  <c r="R60" i="6"/>
  <c r="R101" i="6"/>
  <c r="R28" i="6"/>
  <c r="S28" i="6" s="1"/>
  <c r="R73" i="6"/>
  <c r="R63" i="6"/>
  <c r="R80" i="6"/>
  <c r="R62" i="6"/>
  <c r="R49" i="6"/>
  <c r="R79" i="6"/>
  <c r="R14" i="6"/>
  <c r="R58" i="6"/>
  <c r="R52" i="6"/>
  <c r="R26" i="6"/>
  <c r="R56" i="6"/>
  <c r="P63" i="6"/>
  <c r="P59" i="6"/>
  <c r="P56" i="6"/>
  <c r="P77" i="6"/>
  <c r="P62" i="6"/>
  <c r="P55" i="6"/>
  <c r="P81" i="6"/>
  <c r="P93" i="6"/>
  <c r="P70" i="6"/>
  <c r="P31" i="6"/>
  <c r="R93" i="15"/>
  <c r="R126" i="17"/>
  <c r="Q93" i="15"/>
  <c r="P88" i="5"/>
  <c r="V88" i="5" s="1"/>
  <c r="P87" i="5"/>
  <c r="V87" i="5" s="1"/>
  <c r="P86" i="5"/>
  <c r="P85" i="5"/>
  <c r="V85" i="5" s="1"/>
  <c r="P84" i="5"/>
  <c r="S84" i="5" s="1"/>
  <c r="P83" i="5"/>
  <c r="S83" i="5" s="1"/>
  <c r="R32" i="16"/>
  <c r="R132" i="17"/>
  <c r="R140" i="17"/>
  <c r="R139" i="17" s="1"/>
  <c r="R128" i="16"/>
  <c r="R116" i="16" s="1"/>
  <c r="Q140" i="17"/>
  <c r="Q128" i="16"/>
  <c r="R141" i="15"/>
  <c r="R140" i="16"/>
  <c r="R135" i="17"/>
  <c r="R68" i="16"/>
  <c r="Q135" i="17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S84" i="4" s="1"/>
  <c r="P85" i="4"/>
  <c r="P86" i="4"/>
  <c r="P88" i="4"/>
  <c r="P83" i="4"/>
  <c r="S83" i="4" s="1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86" i="17"/>
  <c r="R85" i="17" s="1"/>
  <c r="Q94" i="2"/>
  <c r="Q93" i="2"/>
  <c r="R48" i="2"/>
  <c r="R94" i="2"/>
  <c r="S94" i="2" s="1"/>
  <c r="R93" i="2"/>
  <c r="S93" i="2" s="1"/>
  <c r="P94" i="2"/>
  <c r="P93" i="2"/>
  <c r="R32" i="2"/>
  <c r="R29" i="2"/>
  <c r="R42" i="15" s="1"/>
  <c r="R35" i="2"/>
  <c r="R36" i="2"/>
  <c r="R19" i="2"/>
  <c r="R27" i="2"/>
  <c r="S27" i="2" s="1"/>
  <c r="R52" i="2"/>
  <c r="R72" i="2"/>
  <c r="R56" i="2"/>
  <c r="R62" i="2"/>
  <c r="R18" i="2"/>
  <c r="R76" i="2"/>
  <c r="R37" i="2"/>
  <c r="R70" i="2"/>
  <c r="S70" i="2" s="1"/>
  <c r="R25" i="2"/>
  <c r="S25" i="2" s="1"/>
  <c r="R39" i="2"/>
  <c r="S39" i="2" s="1"/>
  <c r="R54" i="2"/>
  <c r="R63" i="2"/>
  <c r="S63" i="2" s="1"/>
  <c r="R74" i="2"/>
  <c r="R15" i="2"/>
  <c r="R102" i="2"/>
  <c r="R6" i="2" s="1"/>
  <c r="R26" i="2"/>
  <c r="R20" i="2"/>
  <c r="R66" i="2"/>
  <c r="R97" i="2"/>
  <c r="R67" i="2"/>
  <c r="R38" i="2"/>
  <c r="S38" i="2" s="1"/>
  <c r="R99" i="2"/>
  <c r="Q13" i="2"/>
  <c r="Q87" i="2"/>
  <c r="Q84" i="2"/>
  <c r="Q86" i="2"/>
  <c r="Q83" i="2"/>
  <c r="R13" i="2"/>
  <c r="R87" i="2"/>
  <c r="S87" i="2" s="1"/>
  <c r="R84" i="2"/>
  <c r="R83" i="2"/>
  <c r="R86" i="2"/>
  <c r="S86" i="2" s="1"/>
  <c r="P13" i="2"/>
  <c r="P84" i="2"/>
  <c r="P87" i="2"/>
  <c r="P86" i="2"/>
  <c r="P102" i="15" s="1"/>
  <c r="P83" i="2"/>
  <c r="R73" i="2"/>
  <c r="R96" i="2"/>
  <c r="R75" i="2"/>
  <c r="R80" i="2"/>
  <c r="R49" i="2"/>
  <c r="R21" i="2"/>
  <c r="R34" i="2"/>
  <c r="R100" i="2"/>
  <c r="R137" i="16" s="1"/>
  <c r="R17" i="2"/>
  <c r="R40" i="2"/>
  <c r="S40" i="2" s="1"/>
  <c r="R60" i="2"/>
  <c r="S60" i="2" s="1"/>
  <c r="R69" i="2"/>
  <c r="S69" i="2" s="1"/>
  <c r="R33" i="2"/>
  <c r="R79" i="2"/>
  <c r="R47" i="2"/>
  <c r="S47" i="2" s="1"/>
  <c r="R78" i="2"/>
  <c r="R65" i="2"/>
  <c r="S65" i="2" s="1"/>
  <c r="R43" i="2"/>
  <c r="R89" i="2"/>
  <c r="R5" i="2" s="1"/>
  <c r="R179" i="9" s="1"/>
  <c r="R71" i="2"/>
  <c r="R101" i="2"/>
  <c r="R55" i="2"/>
  <c r="R16" i="2"/>
  <c r="R58" i="2"/>
  <c r="R68" i="2"/>
  <c r="S68" i="2" s="1"/>
  <c r="R77" i="2"/>
  <c r="R44" i="2"/>
  <c r="R59" i="2"/>
  <c r="R95" i="2"/>
  <c r="R65" i="16" s="1"/>
  <c r="R64" i="2"/>
  <c r="R51" i="2"/>
  <c r="R46" i="2"/>
  <c r="R22" i="2"/>
  <c r="R61" i="2"/>
  <c r="S61" i="2" s="1"/>
  <c r="R81" i="2"/>
  <c r="S81" i="2" s="1"/>
  <c r="R50" i="2"/>
  <c r="V109" i="9"/>
  <c r="V63" i="9"/>
  <c r="T122" i="9"/>
  <c r="V39" i="9"/>
  <c r="V59" i="9"/>
  <c r="T125" i="9"/>
  <c r="V156" i="9"/>
  <c r="V158" i="9"/>
  <c r="V99" i="9"/>
  <c r="T78" i="9"/>
  <c r="V47" i="9"/>
  <c r="V56" i="9"/>
  <c r="R67" i="16"/>
  <c r="R108" i="17"/>
  <c r="R103" i="17"/>
  <c r="R113" i="17"/>
  <c r="R112" i="17" s="1"/>
  <c r="R127" i="16"/>
  <c r="R115" i="16" s="1"/>
  <c r="E41" i="11"/>
  <c r="R140" i="15"/>
  <c r="R139" i="16"/>
  <c r="T32" i="11"/>
  <c r="V17" i="10"/>
  <c r="V79" i="10"/>
  <c r="V24" i="10"/>
  <c r="V64" i="10"/>
  <c r="V21" i="10"/>
  <c r="Q72" i="10"/>
  <c r="V74" i="10"/>
  <c r="V69" i="9"/>
  <c r="V112" i="9"/>
  <c r="V84" i="9"/>
  <c r="V34" i="10"/>
  <c r="V62" i="10"/>
  <c r="V23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V37" i="9"/>
  <c r="V21" i="9"/>
  <c r="V142" i="9"/>
  <c r="V36" i="9"/>
  <c r="Q100" i="3"/>
  <c r="V70" i="10"/>
  <c r="S104" i="9"/>
  <c r="V104" i="9" s="1"/>
  <c r="V54" i="10"/>
  <c r="V32" i="10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V108" i="9"/>
  <c r="T16" i="9"/>
  <c r="V121" i="9"/>
  <c r="T19" i="9"/>
  <c r="V66" i="9"/>
  <c r="V155" i="9"/>
  <c r="V165" i="9"/>
  <c r="V140" i="9"/>
  <c r="Q31" i="3"/>
  <c r="V153" i="9"/>
  <c r="V98" i="9"/>
  <c r="V49" i="10"/>
  <c r="V37" i="10"/>
  <c r="V20" i="10"/>
  <c r="V92" i="10"/>
  <c r="Q25" i="10"/>
  <c r="Q50" i="10"/>
  <c r="V116" i="9"/>
  <c r="Q75" i="3"/>
  <c r="Q63" i="3"/>
  <c r="Q67" i="3"/>
  <c r="Q70" i="3"/>
  <c r="Q29" i="3"/>
  <c r="S29" i="3" s="1"/>
  <c r="Q65" i="3"/>
  <c r="Q35" i="3"/>
  <c r="Q74" i="3"/>
  <c r="Q40" i="3"/>
  <c r="Q101" i="3"/>
  <c r="Q79" i="3"/>
  <c r="Q46" i="3"/>
  <c r="Q21" i="3"/>
  <c r="Q22" i="3"/>
  <c r="Q38" i="3"/>
  <c r="Q43" i="3"/>
  <c r="V79" i="9"/>
  <c r="V136" i="9"/>
  <c r="T27" i="9"/>
  <c r="V157" i="9"/>
  <c r="V137" i="9"/>
  <c r="V71" i="9"/>
  <c r="V154" i="9"/>
  <c r="V88" i="9"/>
  <c r="V85" i="10"/>
  <c r="V96" i="9"/>
  <c r="V97" i="9"/>
  <c r="V102" i="9"/>
  <c r="V95" i="9"/>
  <c r="V113" i="9"/>
  <c r="T34" i="9"/>
  <c r="V55" i="9"/>
  <c r="V101" i="9"/>
  <c r="V89" i="10"/>
  <c r="V35" i="9"/>
  <c r="R50" i="10"/>
  <c r="V51" i="9"/>
  <c r="V53" i="9"/>
  <c r="P30" i="3"/>
  <c r="P33" i="3"/>
  <c r="P95" i="3"/>
  <c r="V114" i="9"/>
  <c r="V93" i="10"/>
  <c r="Q42" i="10"/>
  <c r="Q39" i="10" s="1"/>
  <c r="V57" i="10"/>
  <c r="V166" i="9"/>
  <c r="V46" i="9"/>
  <c r="V152" i="9"/>
  <c r="T67" i="9"/>
  <c r="V127" i="9"/>
  <c r="V141" i="9"/>
  <c r="V150" i="9"/>
  <c r="V42" i="9"/>
  <c r="V143" i="9"/>
  <c r="V46" i="10"/>
  <c r="V83" i="9"/>
  <c r="V17" i="9"/>
  <c r="V60" i="9"/>
  <c r="V58" i="9"/>
  <c r="V56" i="10"/>
  <c r="V82" i="10"/>
  <c r="V58" i="10"/>
  <c r="V86" i="10"/>
  <c r="V133" i="9"/>
  <c r="V52" i="9"/>
  <c r="V111" i="9"/>
  <c r="V132" i="9"/>
  <c r="V48" i="9"/>
  <c r="V57" i="9"/>
  <c r="V20" i="9"/>
  <c r="R187" i="9"/>
  <c r="R91" i="15"/>
  <c r="Q15" i="3"/>
  <c r="Q33" i="3"/>
  <c r="Q69" i="17" s="1"/>
  <c r="Q95" i="3"/>
  <c r="Q13" i="3"/>
  <c r="Q30" i="3"/>
  <c r="Q68" i="17" s="1"/>
  <c r="Q99" i="3"/>
  <c r="Q102" i="3"/>
  <c r="V33" i="11"/>
  <c r="V28" i="11"/>
  <c r="R139" i="15"/>
  <c r="V34" i="11"/>
  <c r="T34" i="11"/>
  <c r="R189" i="9"/>
  <c r="P72" i="10"/>
  <c r="Q76" i="6"/>
  <c r="Q78" i="6"/>
  <c r="Q99" i="6"/>
  <c r="Q74" i="6"/>
  <c r="Q100" i="6"/>
  <c r="V39" i="6"/>
  <c r="Q50" i="6"/>
  <c r="Q51" i="6"/>
  <c r="Q31" i="6"/>
  <c r="Q49" i="6"/>
  <c r="Q62" i="6"/>
  <c r="Q72" i="6"/>
  <c r="Q27" i="6"/>
  <c r="Q66" i="6"/>
  <c r="Q24" i="6"/>
  <c r="Q70" i="6"/>
  <c r="Q94" i="6"/>
  <c r="V94" i="6" s="1"/>
  <c r="Q55" i="6"/>
  <c r="Q97" i="6"/>
  <c r="Q64" i="6"/>
  <c r="Q65" i="6"/>
  <c r="Q79" i="6"/>
  <c r="Q71" i="6"/>
  <c r="Q95" i="6"/>
  <c r="Q56" i="6"/>
  <c r="Q98" i="6"/>
  <c r="Q57" i="6"/>
  <c r="Q63" i="6"/>
  <c r="Q25" i="6"/>
  <c r="Q28" i="6"/>
  <c r="Q58" i="6"/>
  <c r="Q101" i="6"/>
  <c r="Q96" i="6"/>
  <c r="V44" i="6"/>
  <c r="Q54" i="6"/>
  <c r="Q80" i="6"/>
  <c r="Q93" i="6"/>
  <c r="V40" i="6"/>
  <c r="Q69" i="6"/>
  <c r="Q73" i="6"/>
  <c r="Q77" i="6"/>
  <c r="Q59" i="6"/>
  <c r="Q75" i="6"/>
  <c r="Q26" i="6"/>
  <c r="Q53" i="6"/>
  <c r="Q81" i="6"/>
  <c r="Q61" i="6"/>
  <c r="Q14" i="6"/>
  <c r="Q52" i="6"/>
  <c r="Q60" i="6"/>
  <c r="Q89" i="6"/>
  <c r="Q5" i="6" s="1"/>
  <c r="Q183" i="9" s="1"/>
  <c r="Q67" i="6"/>
  <c r="Q149" i="17"/>
  <c r="Q13" i="6"/>
  <c r="Q148" i="17" s="1"/>
  <c r="Q102" i="6"/>
  <c r="Q6" i="6" s="1"/>
  <c r="V38" i="10"/>
  <c r="P67" i="10"/>
  <c r="S67" i="10" s="1"/>
  <c r="V83" i="10"/>
  <c r="V36" i="10"/>
  <c r="V84" i="10"/>
  <c r="V91" i="10"/>
  <c r="Q73" i="7"/>
  <c r="Q78" i="7"/>
  <c r="Q35" i="7"/>
  <c r="Q95" i="7"/>
  <c r="Q67" i="7"/>
  <c r="Q66" i="7" s="1"/>
  <c r="Q65" i="7"/>
  <c r="Q43" i="7"/>
  <c r="Q69" i="7"/>
  <c r="Q36" i="7"/>
  <c r="Q98" i="7"/>
  <c r="Q44" i="7"/>
  <c r="Q82" i="7"/>
  <c r="Q19" i="7"/>
  <c r="Q33" i="7"/>
  <c r="Q76" i="7"/>
  <c r="Q52" i="7"/>
  <c r="S52" i="7" s="1"/>
  <c r="Q49" i="7"/>
  <c r="Q97" i="7"/>
  <c r="Q80" i="7"/>
  <c r="Q77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S55" i="7" s="1"/>
  <c r="Q51" i="7"/>
  <c r="Q59" i="7"/>
  <c r="Q26" i="7"/>
  <c r="Q99" i="7"/>
  <c r="Q57" i="7"/>
  <c r="Q41" i="7"/>
  <c r="Q54" i="7"/>
  <c r="Q38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V43" i="9"/>
  <c r="R33" i="15"/>
  <c r="R216" i="9"/>
  <c r="V68" i="9"/>
  <c r="V91" i="9"/>
  <c r="V87" i="9"/>
  <c r="V126" i="9"/>
  <c r="T126" i="9"/>
  <c r="V100" i="9"/>
  <c r="T132" i="9"/>
  <c r="V73" i="9"/>
  <c r="V94" i="9"/>
  <c r="T30" i="11"/>
  <c r="V30" i="11"/>
  <c r="V160" i="9"/>
  <c r="V60" i="10"/>
  <c r="R80" i="10"/>
  <c r="R72" i="10"/>
  <c r="R30" i="10"/>
  <c r="V110" i="9"/>
  <c r="V86" i="9"/>
  <c r="V78" i="10"/>
  <c r="R67" i="10"/>
  <c r="V29" i="11"/>
  <c r="T29" i="11"/>
  <c r="V64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S79" i="2" s="1"/>
  <c r="P25" i="2"/>
  <c r="P57" i="2"/>
  <c r="P41" i="2"/>
  <c r="P80" i="2"/>
  <c r="P66" i="2"/>
  <c r="P96" i="2"/>
  <c r="P67" i="2"/>
  <c r="P68" i="2"/>
  <c r="P89" i="2"/>
  <c r="P75" i="2"/>
  <c r="P26" i="2"/>
  <c r="P29" i="2"/>
  <c r="P54" i="2"/>
  <c r="P70" i="2"/>
  <c r="P58" i="2"/>
  <c r="P101" i="2"/>
  <c r="P20" i="2"/>
  <c r="P23" i="2"/>
  <c r="P98" i="2"/>
  <c r="P72" i="2"/>
  <c r="P53" i="2"/>
  <c r="P36" i="2"/>
  <c r="P102" i="2"/>
  <c r="P63" i="2"/>
  <c r="P15" i="2"/>
  <c r="P73" i="2"/>
  <c r="P32" i="2"/>
  <c r="P78" i="2"/>
  <c r="S78" i="2" s="1"/>
  <c r="P46" i="2"/>
  <c r="P35" i="2"/>
  <c r="V50" i="9"/>
  <c r="P233" i="9"/>
  <c r="Q232" i="9"/>
  <c r="Q57" i="15"/>
  <c r="Q216" i="9"/>
  <c r="Q33" i="15"/>
  <c r="T114" i="9"/>
  <c r="Q80" i="10"/>
  <c r="P25" i="10"/>
  <c r="T26" i="10"/>
  <c r="V139" i="9"/>
  <c r="V71" i="10"/>
  <c r="V147" i="9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V107" i="9"/>
  <c r="Q70" i="2"/>
  <c r="Q76" i="2"/>
  <c r="Q58" i="2"/>
  <c r="Q19" i="2"/>
  <c r="Q44" i="2"/>
  <c r="Q33" i="2"/>
  <c r="Q97" i="2"/>
  <c r="Q73" i="2"/>
  <c r="Q74" i="2"/>
  <c r="Q101" i="2"/>
  <c r="Q46" i="2"/>
  <c r="Q95" i="2"/>
  <c r="Q40" i="2"/>
  <c r="Q99" i="2"/>
  <c r="Q18" i="2"/>
  <c r="Q81" i="2"/>
  <c r="Q100" i="2"/>
  <c r="Q137" i="16" s="1"/>
  <c r="Q52" i="2"/>
  <c r="Q67" i="2"/>
  <c r="Q62" i="2"/>
  <c r="Q50" i="2"/>
  <c r="Q56" i="2"/>
  <c r="Q71" i="2"/>
  <c r="Q22" i="2"/>
  <c r="Q49" i="2"/>
  <c r="Q17" i="2"/>
  <c r="Q39" i="2"/>
  <c r="Q60" i="2"/>
  <c r="Q37" i="2"/>
  <c r="Q25" i="2"/>
  <c r="Q26" i="2"/>
  <c r="Q54" i="2"/>
  <c r="Q51" i="2"/>
  <c r="Q27" i="2"/>
  <c r="Q36" i="2"/>
  <c r="Q79" i="2"/>
  <c r="Q55" i="2"/>
  <c r="Q16" i="2"/>
  <c r="Q72" i="2"/>
  <c r="Q42" i="2"/>
  <c r="Q38" i="2"/>
  <c r="Q61" i="2"/>
  <c r="Q96" i="2"/>
  <c r="Q20" i="2"/>
  <c r="Q66" i="2"/>
  <c r="Q57" i="2"/>
  <c r="Q41" i="2"/>
  <c r="Q69" i="2"/>
  <c r="Q53" i="2"/>
  <c r="Q48" i="2"/>
  <c r="Q43" i="2"/>
  <c r="Q77" i="2"/>
  <c r="Q59" i="2"/>
  <c r="Q98" i="2"/>
  <c r="Q68" i="2"/>
  <c r="Q78" i="2"/>
  <c r="Q65" i="2"/>
  <c r="Q23" i="2"/>
  <c r="Q21" i="2"/>
  <c r="Q45" i="2"/>
  <c r="Q102" i="2"/>
  <c r="Q6" i="2" s="1"/>
  <c r="Q80" i="2"/>
  <c r="Q75" i="2"/>
  <c r="Q64" i="2"/>
  <c r="Q34" i="2"/>
  <c r="Q30" i="2"/>
  <c r="Q63" i="2"/>
  <c r="Q35" i="2"/>
  <c r="Q47" i="2"/>
  <c r="Q15" i="2"/>
  <c r="Q29" i="2"/>
  <c r="Q32" i="2"/>
  <c r="Q89" i="2"/>
  <c r="Q5" i="2" s="1"/>
  <c r="Q179" i="9" s="1"/>
  <c r="R44" i="15"/>
  <c r="R223" i="9"/>
  <c r="V70" i="6"/>
  <c r="Q189" i="9"/>
  <c r="Q16" i="15"/>
  <c r="S16" i="15" s="1"/>
  <c r="Q15" i="15"/>
  <c r="S15" i="15" s="1"/>
  <c r="Q18" i="15"/>
  <c r="S18" i="15" s="1"/>
  <c r="Q17" i="15"/>
  <c r="Q20" i="15"/>
  <c r="S20" i="15" s="1"/>
  <c r="Q19" i="15"/>
  <c r="S19" i="15" s="1"/>
  <c r="Q21" i="15"/>
  <c r="Q14" i="15"/>
  <c r="S14" i="15" s="1"/>
  <c r="Q13" i="15"/>
  <c r="R224" i="9"/>
  <c r="R45" i="15"/>
  <c r="V103" i="9"/>
  <c r="V149" i="9"/>
  <c r="V90" i="9"/>
  <c r="V49" i="9"/>
  <c r="V163" i="9"/>
  <c r="V162" i="9"/>
  <c r="V138" i="9"/>
  <c r="V61" i="9"/>
  <c r="R25" i="10"/>
  <c r="V151" i="9"/>
  <c r="V89" i="9"/>
  <c r="V41" i="9"/>
  <c r="P58" i="3"/>
  <c r="P45" i="3"/>
  <c r="S45" i="3" s="1"/>
  <c r="P46" i="3"/>
  <c r="S46" i="3" s="1"/>
  <c r="P68" i="3"/>
  <c r="S68" i="3" s="1"/>
  <c r="P60" i="3"/>
  <c r="P29" i="3"/>
  <c r="V29" i="3" s="1"/>
  <c r="P56" i="3"/>
  <c r="V56" i="3" s="1"/>
  <c r="P57" i="3"/>
  <c r="P76" i="3"/>
  <c r="P55" i="3"/>
  <c r="V55" i="3" s="1"/>
  <c r="P36" i="3"/>
  <c r="S36" i="3" s="1"/>
  <c r="P64" i="3"/>
  <c r="P80" i="3"/>
  <c r="P21" i="3"/>
  <c r="S21" i="3" s="1"/>
  <c r="P53" i="3"/>
  <c r="P40" i="3"/>
  <c r="V40" i="3" s="1"/>
  <c r="P38" i="3"/>
  <c r="P37" i="3"/>
  <c r="P63" i="3"/>
  <c r="P50" i="3"/>
  <c r="S50" i="3" s="1"/>
  <c r="P59" i="3"/>
  <c r="S59" i="3" s="1"/>
  <c r="P62" i="3"/>
  <c r="P26" i="3"/>
  <c r="P52" i="3"/>
  <c r="V52" i="3" s="1"/>
  <c r="P51" i="3"/>
  <c r="P20" i="3"/>
  <c r="P84" i="3"/>
  <c r="S84" i="3" s="1"/>
  <c r="P23" i="3"/>
  <c r="S23" i="3" s="1"/>
  <c r="P28" i="3"/>
  <c r="P65" i="3"/>
  <c r="P18" i="3"/>
  <c r="S18" i="3" s="1"/>
  <c r="P71" i="3"/>
  <c r="P54" i="3"/>
  <c r="V54" i="3" s="1"/>
  <c r="P82" i="3"/>
  <c r="V82" i="3" s="1"/>
  <c r="P17" i="3"/>
  <c r="S17" i="3" s="1"/>
  <c r="P25" i="3"/>
  <c r="S25" i="3" s="1"/>
  <c r="P70" i="3"/>
  <c r="P77" i="3"/>
  <c r="P16" i="3"/>
  <c r="S16" i="3" s="1"/>
  <c r="P24" i="3"/>
  <c r="P75" i="3"/>
  <c r="P27" i="3"/>
  <c r="P69" i="3"/>
  <c r="P66" i="3"/>
  <c r="P67" i="3"/>
  <c r="S67" i="3" s="1"/>
  <c r="P74" i="3"/>
  <c r="P35" i="3"/>
  <c r="S35" i="3" s="1"/>
  <c r="P78" i="3"/>
  <c r="P22" i="3"/>
  <c r="P72" i="3"/>
  <c r="P39" i="3"/>
  <c r="P31" i="3"/>
  <c r="P49" i="3"/>
  <c r="P34" i="3"/>
  <c r="P41" i="3"/>
  <c r="P97" i="3"/>
  <c r="P96" i="3"/>
  <c r="P44" i="3"/>
  <c r="S44" i="3" s="1"/>
  <c r="P81" i="3"/>
  <c r="P47" i="3"/>
  <c r="S47" i="3" s="1"/>
  <c r="P43" i="3"/>
  <c r="S43" i="3" s="1"/>
  <c r="P42" i="3"/>
  <c r="P79" i="3"/>
  <c r="P73" i="3"/>
  <c r="P61" i="3"/>
  <c r="P15" i="3"/>
  <c r="P48" i="3"/>
  <c r="S48" i="3" s="1"/>
  <c r="P98" i="5"/>
  <c r="S98" i="5" s="1"/>
  <c r="P40" i="5"/>
  <c r="V40" i="5" s="1"/>
  <c r="P96" i="5"/>
  <c r="P76" i="5"/>
  <c r="P54" i="5"/>
  <c r="P50" i="5"/>
  <c r="P61" i="5"/>
  <c r="V61" i="5" s="1"/>
  <c r="P71" i="5"/>
  <c r="P56" i="5"/>
  <c r="S56" i="5" s="1"/>
  <c r="P32" i="5"/>
  <c r="P63" i="5"/>
  <c r="P33" i="5"/>
  <c r="P65" i="5"/>
  <c r="V65" i="5" s="1"/>
  <c r="P20" i="5"/>
  <c r="S20" i="5" s="1"/>
  <c r="P57" i="5"/>
  <c r="P44" i="5"/>
  <c r="P79" i="5"/>
  <c r="P17" i="5"/>
  <c r="S17" i="5" s="1"/>
  <c r="P37" i="5"/>
  <c r="P60" i="5"/>
  <c r="P95" i="5"/>
  <c r="S95" i="5" s="1"/>
  <c r="P29" i="5"/>
  <c r="P35" i="5"/>
  <c r="P14" i="5"/>
  <c r="P48" i="5"/>
  <c r="P69" i="5"/>
  <c r="P42" i="5"/>
  <c r="S42" i="5" s="1"/>
  <c r="P34" i="5"/>
  <c r="S34" i="5" s="1"/>
  <c r="P21" i="5"/>
  <c r="S21" i="5" s="1"/>
  <c r="P89" i="5"/>
  <c r="S89" i="5" s="1"/>
  <c r="P23" i="5"/>
  <c r="S23" i="5" s="1"/>
  <c r="P55" i="5"/>
  <c r="P38" i="5"/>
  <c r="P13" i="5"/>
  <c r="S13" i="5" s="1"/>
  <c r="P78" i="5"/>
  <c r="P67" i="5"/>
  <c r="S67" i="5" s="1"/>
  <c r="P47" i="5"/>
  <c r="V47" i="5" s="1"/>
  <c r="P51" i="5"/>
  <c r="P49" i="5"/>
  <c r="S49" i="5" s="1"/>
  <c r="P58" i="5"/>
  <c r="P80" i="5"/>
  <c r="P27" i="5"/>
  <c r="S27" i="5" s="1"/>
  <c r="P70" i="5"/>
  <c r="V70" i="5" s="1"/>
  <c r="P68" i="5"/>
  <c r="P26" i="5"/>
  <c r="P19" i="5"/>
  <c r="S19" i="5" s="1"/>
  <c r="P77" i="5"/>
  <c r="P62" i="5"/>
  <c r="S62" i="5" s="1"/>
  <c r="P22" i="5"/>
  <c r="S22" i="5" s="1"/>
  <c r="P75" i="5"/>
  <c r="P36" i="5"/>
  <c r="S36" i="5" s="1"/>
  <c r="P74" i="5"/>
  <c r="S74" i="5" s="1"/>
  <c r="P45" i="5"/>
  <c r="P25" i="5"/>
  <c r="S25" i="5" s="1"/>
  <c r="P52" i="5"/>
  <c r="P30" i="5"/>
  <c r="S30" i="5" s="1"/>
  <c r="P64" i="5"/>
  <c r="P94" i="5"/>
  <c r="P59" i="5"/>
  <c r="V59" i="5" s="1"/>
  <c r="P39" i="5"/>
  <c r="V39" i="5" s="1"/>
  <c r="P53" i="5"/>
  <c r="S53" i="5" s="1"/>
  <c r="P16" i="5"/>
  <c r="P18" i="5"/>
  <c r="S18" i="5" s="1"/>
  <c r="P93" i="5"/>
  <c r="S93" i="5" s="1"/>
  <c r="P24" i="5"/>
  <c r="P46" i="5"/>
  <c r="S46" i="5" s="1"/>
  <c r="P43" i="5"/>
  <c r="P66" i="5"/>
  <c r="P41" i="5"/>
  <c r="S41" i="5" s="1"/>
  <c r="P72" i="5"/>
  <c r="S72" i="5" s="1"/>
  <c r="P15" i="5"/>
  <c r="S15" i="5" s="1"/>
  <c r="P73" i="5"/>
  <c r="P81" i="5"/>
  <c r="V81" i="5" s="1"/>
  <c r="P55" i="7"/>
  <c r="P81" i="7"/>
  <c r="P17" i="7"/>
  <c r="P52" i="7"/>
  <c r="P68" i="7"/>
  <c r="P65" i="7"/>
  <c r="P33" i="7"/>
  <c r="P38" i="7"/>
  <c r="P79" i="7"/>
  <c r="P74" i="7"/>
  <c r="P32" i="7"/>
  <c r="P77" i="7"/>
  <c r="P28" i="7"/>
  <c r="P82" i="7"/>
  <c r="P25" i="7"/>
  <c r="P35" i="7"/>
  <c r="P36" i="7"/>
  <c r="P51" i="7"/>
  <c r="P29" i="7"/>
  <c r="P49" i="7"/>
  <c r="P73" i="7"/>
  <c r="P63" i="7"/>
  <c r="P75" i="7"/>
  <c r="P18" i="7"/>
  <c r="P69" i="7"/>
  <c r="P67" i="7"/>
  <c r="P27" i="7"/>
  <c r="P53" i="7"/>
  <c r="P101" i="7"/>
  <c r="P50" i="7"/>
  <c r="P78" i="7"/>
  <c r="P46" i="7"/>
  <c r="P54" i="7"/>
  <c r="P56" i="7"/>
  <c r="P58" i="7"/>
  <c r="P62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P44" i="7"/>
  <c r="P47" i="7"/>
  <c r="P60" i="7"/>
  <c r="P14" i="7"/>
  <c r="P80" i="7"/>
  <c r="P98" i="7"/>
  <c r="P23" i="7"/>
  <c r="P37" i="7"/>
  <c r="P42" i="7"/>
  <c r="P39" i="7"/>
  <c r="P20" i="7"/>
  <c r="P45" i="7"/>
  <c r="P61" i="7"/>
  <c r="P70" i="7"/>
  <c r="P57" i="7"/>
  <c r="P72" i="7"/>
  <c r="P30" i="7"/>
  <c r="P34" i="7"/>
  <c r="P64" i="7"/>
  <c r="P21" i="7"/>
  <c r="P70" i="4"/>
  <c r="P16" i="4"/>
  <c r="S16" i="4" s="1"/>
  <c r="P28" i="4"/>
  <c r="S28" i="4" s="1"/>
  <c r="P68" i="4"/>
  <c r="P20" i="4"/>
  <c r="P45" i="4"/>
  <c r="P25" i="4"/>
  <c r="P46" i="4"/>
  <c r="P29" i="4"/>
  <c r="P22" i="4"/>
  <c r="P62" i="4"/>
  <c r="P52" i="4"/>
  <c r="P57" i="4"/>
  <c r="S57" i="4" s="1"/>
  <c r="P26" i="4"/>
  <c r="S26" i="4" s="1"/>
  <c r="P76" i="4"/>
  <c r="P69" i="4"/>
  <c r="P78" i="4"/>
  <c r="P80" i="4"/>
  <c r="S80" i="4" s="1"/>
  <c r="P63" i="4"/>
  <c r="P18" i="4"/>
  <c r="S18" i="4" s="1"/>
  <c r="P64" i="4"/>
  <c r="S64" i="4" s="1"/>
  <c r="P19" i="4"/>
  <c r="P51" i="4"/>
  <c r="P67" i="4"/>
  <c r="P75" i="4"/>
  <c r="S75" i="4" s="1"/>
  <c r="P43" i="4"/>
  <c r="S43" i="4" s="1"/>
  <c r="P27" i="4"/>
  <c r="S27" i="4" s="1"/>
  <c r="P14" i="4"/>
  <c r="P97" i="4"/>
  <c r="S97" i="4" s="1"/>
  <c r="P38" i="4"/>
  <c r="P37" i="4"/>
  <c r="S37" i="4" s="1"/>
  <c r="P21" i="4"/>
  <c r="P32" i="4"/>
  <c r="P74" i="4"/>
  <c r="S74" i="4" s="1"/>
  <c r="P100" i="4"/>
  <c r="P13" i="4"/>
  <c r="P98" i="4"/>
  <c r="S98" i="4" s="1"/>
  <c r="P101" i="4"/>
  <c r="P33" i="4"/>
  <c r="P95" i="4"/>
  <c r="P39" i="4"/>
  <c r="P54" i="4"/>
  <c r="P58" i="4"/>
  <c r="P65" i="4"/>
  <c r="S65" i="4" s="1"/>
  <c r="P30" i="4"/>
  <c r="S30" i="4" s="1"/>
  <c r="P81" i="4"/>
  <c r="P41" i="4"/>
  <c r="S41" i="4" s="1"/>
  <c r="P50" i="4"/>
  <c r="P61" i="4"/>
  <c r="P34" i="4"/>
  <c r="S34" i="4" s="1"/>
  <c r="P71" i="4"/>
  <c r="P56" i="4"/>
  <c r="P66" i="4"/>
  <c r="S66" i="4" s="1"/>
  <c r="P17" i="4"/>
  <c r="S17" i="4" s="1"/>
  <c r="P48" i="4"/>
  <c r="P23" i="4"/>
  <c r="P102" i="4"/>
  <c r="P79" i="4"/>
  <c r="S79" i="4" s="1"/>
  <c r="P44" i="4"/>
  <c r="S44" i="4" s="1"/>
  <c r="P96" i="4"/>
  <c r="S96" i="4" s="1"/>
  <c r="P55" i="4"/>
  <c r="P35" i="4"/>
  <c r="S35" i="4" s="1"/>
  <c r="P73" i="4"/>
  <c r="S73" i="4" s="1"/>
  <c r="P99" i="4"/>
  <c r="S99" i="4" s="1"/>
  <c r="P72" i="4"/>
  <c r="S72" i="4" s="1"/>
  <c r="P77" i="4"/>
  <c r="S77" i="4" s="1"/>
  <c r="P15" i="4"/>
  <c r="S15" i="4" s="1"/>
  <c r="P42" i="4"/>
  <c r="S42" i="4" s="1"/>
  <c r="P40" i="4"/>
  <c r="P59" i="4"/>
  <c r="P89" i="4"/>
  <c r="P36" i="4"/>
  <c r="P47" i="4"/>
  <c r="P49" i="4"/>
  <c r="S49" i="4" s="1"/>
  <c r="P60" i="4"/>
  <c r="P24" i="4"/>
  <c r="S24" i="4" s="1"/>
  <c r="T24" i="4" s="1"/>
  <c r="P53" i="4"/>
  <c r="R43" i="15"/>
  <c r="Q224" i="9"/>
  <c r="Q45" i="15"/>
  <c r="P30" i="10"/>
  <c r="P42" i="10"/>
  <c r="S42" i="10" s="1"/>
  <c r="R232" i="9"/>
  <c r="R57" i="15"/>
  <c r="R46" i="15"/>
  <c r="P40" i="10"/>
  <c r="S40" i="10" s="1"/>
  <c r="P50" i="10"/>
  <c r="P76" i="10"/>
  <c r="S76" i="10" s="1"/>
  <c r="T77" i="10"/>
  <c r="Q76" i="10"/>
  <c r="Q30" i="10"/>
  <c r="T36" i="9"/>
  <c r="V75" i="9"/>
  <c r="R76" i="10"/>
  <c r="R36" i="7"/>
  <c r="R28" i="7"/>
  <c r="S28" i="7" s="1"/>
  <c r="R37" i="7"/>
  <c r="S37" i="7" s="1"/>
  <c r="R76" i="7"/>
  <c r="R54" i="7"/>
  <c r="R67" i="7"/>
  <c r="R49" i="7"/>
  <c r="R57" i="7"/>
  <c r="R58" i="7"/>
  <c r="R100" i="7"/>
  <c r="R50" i="7"/>
  <c r="R17" i="7"/>
  <c r="R51" i="7"/>
  <c r="R22" i="7"/>
  <c r="R25" i="7"/>
  <c r="R14" i="7"/>
  <c r="R55" i="7"/>
  <c r="R65" i="7"/>
  <c r="S65" i="7" s="1"/>
  <c r="R33" i="7"/>
  <c r="R64" i="7"/>
  <c r="R43" i="7"/>
  <c r="R53" i="7"/>
  <c r="R82" i="7"/>
  <c r="S82" i="7" s="1"/>
  <c r="R31" i="7"/>
  <c r="S31" i="7" s="1"/>
  <c r="R27" i="7"/>
  <c r="S27" i="7" s="1"/>
  <c r="R59" i="7"/>
  <c r="R79" i="7"/>
  <c r="S79" i="7" s="1"/>
  <c r="R61" i="7"/>
  <c r="R60" i="7"/>
  <c r="R26" i="7"/>
  <c r="R40" i="7"/>
  <c r="S40" i="7" s="1"/>
  <c r="R35" i="7"/>
  <c r="R97" i="7"/>
  <c r="R45" i="7"/>
  <c r="R44" i="7"/>
  <c r="R95" i="7"/>
  <c r="R34" i="7"/>
  <c r="R62" i="7"/>
  <c r="R15" i="7"/>
  <c r="R39" i="7"/>
  <c r="S39" i="7" s="1"/>
  <c r="R81" i="7"/>
  <c r="S81" i="7" s="1"/>
  <c r="R72" i="7"/>
  <c r="R24" i="7"/>
  <c r="R21" i="7"/>
  <c r="R73" i="7"/>
  <c r="R68" i="7"/>
  <c r="S68" i="7" s="1"/>
  <c r="R69" i="7"/>
  <c r="S69" i="7" s="1"/>
  <c r="R38" i="7"/>
  <c r="S38" i="7" s="1"/>
  <c r="R74" i="7"/>
  <c r="R20" i="7"/>
  <c r="R42" i="7"/>
  <c r="R16" i="7"/>
  <c r="R19" i="7"/>
  <c r="R80" i="7"/>
  <c r="R23" i="7"/>
  <c r="R98" i="7"/>
  <c r="R56" i="7"/>
  <c r="R47" i="7"/>
  <c r="S47" i="7" s="1"/>
  <c r="R18" i="7"/>
  <c r="R30" i="7"/>
  <c r="R52" i="7"/>
  <c r="R78" i="7"/>
  <c r="R32" i="7"/>
  <c r="R177" i="17" s="1"/>
  <c r="R89" i="7"/>
  <c r="R5" i="7" s="1"/>
  <c r="R184" i="9" s="1"/>
  <c r="R70" i="7"/>
  <c r="S70" i="7" s="1"/>
  <c r="R41" i="7"/>
  <c r="R75" i="7"/>
  <c r="R63" i="7"/>
  <c r="R77" i="7"/>
  <c r="S77" i="7" s="1"/>
  <c r="R13" i="7"/>
  <c r="R175" i="17" s="1"/>
  <c r="R96" i="7"/>
  <c r="R102" i="7"/>
  <c r="R6" i="7" s="1"/>
  <c r="R99" i="7"/>
  <c r="R46" i="7"/>
  <c r="R29" i="7"/>
  <c r="R176" i="17" s="1"/>
  <c r="R101" i="7"/>
  <c r="R42" i="10"/>
  <c r="V85" i="9"/>
  <c r="V38" i="9"/>
  <c r="R56" i="15"/>
  <c r="R231" i="9"/>
  <c r="R215" i="9"/>
  <c r="R32" i="15"/>
  <c r="P47" i="10"/>
  <c r="S47" i="10" s="1"/>
  <c r="R7" i="5"/>
  <c r="T23" i="6" l="1"/>
  <c r="V23" i="6"/>
  <c r="V15" i="6"/>
  <c r="T15" i="6"/>
  <c r="V98" i="3"/>
  <c r="R66" i="7"/>
  <c r="S97" i="7"/>
  <c r="S54" i="7"/>
  <c r="V54" i="7" s="1"/>
  <c r="T20" i="6"/>
  <c r="V20" i="6"/>
  <c r="T19" i="6"/>
  <c r="V19" i="6"/>
  <c r="R73" i="17"/>
  <c r="S87" i="3"/>
  <c r="T21" i="6"/>
  <c r="V21" i="6"/>
  <c r="V115" i="9"/>
  <c r="S78" i="7"/>
  <c r="S76" i="7"/>
  <c r="S56" i="7"/>
  <c r="S53" i="7"/>
  <c r="S30" i="7"/>
  <c r="S60" i="5"/>
  <c r="V60" i="5" s="1"/>
  <c r="R114" i="16"/>
  <c r="S63" i="3"/>
  <c r="S31" i="3"/>
  <c r="S26" i="2"/>
  <c r="R221" i="9"/>
  <c r="R48" i="7"/>
  <c r="S50" i="7"/>
  <c r="S64" i="7"/>
  <c r="T64" i="7" s="1"/>
  <c r="S57" i="7"/>
  <c r="V57" i="7" s="1"/>
  <c r="S51" i="7"/>
  <c r="V51" i="7" s="1"/>
  <c r="S14" i="7"/>
  <c r="T14" i="7" s="1"/>
  <c r="S71" i="5"/>
  <c r="V71" i="5" s="1"/>
  <c r="S66" i="5"/>
  <c r="V66" i="5" s="1"/>
  <c r="S33" i="5"/>
  <c r="Q7" i="5"/>
  <c r="S101" i="4"/>
  <c r="S71" i="4"/>
  <c r="V71" i="4" s="1"/>
  <c r="S67" i="4"/>
  <c r="S62" i="4"/>
  <c r="S58" i="4"/>
  <c r="S48" i="4"/>
  <c r="V48" i="4" s="1"/>
  <c r="S46" i="4"/>
  <c r="S33" i="4"/>
  <c r="S19" i="4"/>
  <c r="S14" i="4"/>
  <c r="T14" i="4" s="1"/>
  <c r="S84" i="2"/>
  <c r="S20" i="2"/>
  <c r="T20" i="2" s="1"/>
  <c r="S85" i="3"/>
  <c r="S42" i="3"/>
  <c r="V42" i="3" s="1"/>
  <c r="R222" i="9"/>
  <c r="S27" i="3"/>
  <c r="V27" i="3" s="1"/>
  <c r="S87" i="6"/>
  <c r="S86" i="6"/>
  <c r="S72" i="6"/>
  <c r="T72" i="6" s="1"/>
  <c r="S69" i="6"/>
  <c r="S57" i="6"/>
  <c r="S14" i="6"/>
  <c r="T14" i="6" s="1"/>
  <c r="Q140" i="16"/>
  <c r="S94" i="5"/>
  <c r="V94" i="5" s="1"/>
  <c r="S96" i="5"/>
  <c r="V96" i="5" s="1"/>
  <c r="S58" i="5"/>
  <c r="T58" i="5" s="1"/>
  <c r="S80" i="5"/>
  <c r="S64" i="5"/>
  <c r="S48" i="5"/>
  <c r="V48" i="5" s="1"/>
  <c r="S14" i="5"/>
  <c r="T14" i="5" s="1"/>
  <c r="S95" i="4"/>
  <c r="V95" i="4" s="1"/>
  <c r="S78" i="4"/>
  <c r="S76" i="4"/>
  <c r="S36" i="4"/>
  <c r="V36" i="4" s="1"/>
  <c r="S23" i="4"/>
  <c r="S21" i="4"/>
  <c r="T21" i="4" s="1"/>
  <c r="S75" i="3"/>
  <c r="V75" i="3" s="1"/>
  <c r="S73" i="3"/>
  <c r="T73" i="3" s="1"/>
  <c r="S34" i="3"/>
  <c r="S28" i="3"/>
  <c r="V28" i="3" s="1"/>
  <c r="S20" i="3"/>
  <c r="T20" i="3" s="1"/>
  <c r="S22" i="3"/>
  <c r="S24" i="3"/>
  <c r="V24" i="3" s="1"/>
  <c r="S15" i="3"/>
  <c r="S83" i="2"/>
  <c r="V83" i="2" s="1"/>
  <c r="S59" i="2"/>
  <c r="S46" i="2"/>
  <c r="S29" i="2"/>
  <c r="S18" i="2"/>
  <c r="S13" i="2"/>
  <c r="R39" i="10"/>
  <c r="R52" i="16" s="1"/>
  <c r="R60" i="16" s="1"/>
  <c r="S25" i="10"/>
  <c r="S95" i="3"/>
  <c r="S101" i="7"/>
  <c r="S96" i="7"/>
  <c r="V96" i="7" s="1"/>
  <c r="S95" i="7"/>
  <c r="S98" i="7"/>
  <c r="S83" i="7"/>
  <c r="S80" i="7"/>
  <c r="V80" i="7" s="1"/>
  <c r="S74" i="7"/>
  <c r="S72" i="7"/>
  <c r="P71" i="7"/>
  <c r="S73" i="7"/>
  <c r="R71" i="7"/>
  <c r="S75" i="7"/>
  <c r="Q71" i="7"/>
  <c r="P66" i="7"/>
  <c r="S66" i="7" s="1"/>
  <c r="S67" i="7"/>
  <c r="T67" i="7" s="1"/>
  <c r="S61" i="7"/>
  <c r="S59" i="7"/>
  <c r="V59" i="7" s="1"/>
  <c r="S63" i="7"/>
  <c r="V63" i="7" s="1"/>
  <c r="S60" i="7"/>
  <c r="S62" i="7"/>
  <c r="V62" i="7" s="1"/>
  <c r="S58" i="7"/>
  <c r="Q48" i="7"/>
  <c r="S49" i="7"/>
  <c r="V49" i="7" s="1"/>
  <c r="P48" i="7"/>
  <c r="S42" i="7"/>
  <c r="S44" i="7"/>
  <c r="S45" i="7"/>
  <c r="S41" i="7"/>
  <c r="S46" i="7"/>
  <c r="S43" i="7"/>
  <c r="S36" i="7"/>
  <c r="S35" i="7"/>
  <c r="S34" i="7"/>
  <c r="V34" i="7" s="1"/>
  <c r="S33" i="7"/>
  <c r="P176" i="17"/>
  <c r="S29" i="7"/>
  <c r="P177" i="17"/>
  <c r="S32" i="7"/>
  <c r="S177" i="17" s="1"/>
  <c r="T177" i="17" s="1"/>
  <c r="S26" i="7"/>
  <c r="V26" i="7" s="1"/>
  <c r="S21" i="7"/>
  <c r="S19" i="7"/>
  <c r="S22" i="7"/>
  <c r="S20" i="7"/>
  <c r="T20" i="7" s="1"/>
  <c r="S23" i="7"/>
  <c r="S16" i="7"/>
  <c r="V16" i="7" s="1"/>
  <c r="S18" i="7"/>
  <c r="V18" i="7" s="1"/>
  <c r="S24" i="7"/>
  <c r="V24" i="7" s="1"/>
  <c r="S25" i="7"/>
  <c r="S17" i="7"/>
  <c r="V17" i="7" s="1"/>
  <c r="S26" i="6"/>
  <c r="V27" i="6"/>
  <c r="S24" i="6"/>
  <c r="V24" i="6" s="1"/>
  <c r="S25" i="6"/>
  <c r="V25" i="6" s="1"/>
  <c r="S27" i="6"/>
  <c r="S56" i="6"/>
  <c r="V56" i="6" s="1"/>
  <c r="S64" i="6"/>
  <c r="T64" i="6" s="1"/>
  <c r="S49" i="6"/>
  <c r="V49" i="6" s="1"/>
  <c r="S50" i="6"/>
  <c r="S52" i="6"/>
  <c r="V52" i="6" s="1"/>
  <c r="V61" i="6"/>
  <c r="V50" i="6"/>
  <c r="S55" i="6"/>
  <c r="S59" i="6"/>
  <c r="S51" i="6"/>
  <c r="V51" i="6" s="1"/>
  <c r="S58" i="6"/>
  <c r="V58" i="6" s="1"/>
  <c r="S54" i="6"/>
  <c r="S53" i="6"/>
  <c r="V53" i="6" s="1"/>
  <c r="S62" i="6"/>
  <c r="V62" i="6" s="1"/>
  <c r="S63" i="6"/>
  <c r="V63" i="6" s="1"/>
  <c r="S67" i="6"/>
  <c r="T67" i="6" s="1"/>
  <c r="S66" i="6"/>
  <c r="V66" i="6" s="1"/>
  <c r="P167" i="17"/>
  <c r="S101" i="6"/>
  <c r="T101" i="6" s="1"/>
  <c r="S95" i="6"/>
  <c r="S97" i="6"/>
  <c r="S96" i="6"/>
  <c r="T96" i="6" s="1"/>
  <c r="S98" i="6"/>
  <c r="S84" i="6"/>
  <c r="S83" i="6"/>
  <c r="S71" i="6"/>
  <c r="V71" i="6" s="1"/>
  <c r="S74" i="6"/>
  <c r="S77" i="6"/>
  <c r="V77" i="6" s="1"/>
  <c r="S79" i="6"/>
  <c r="S75" i="6"/>
  <c r="S76" i="6"/>
  <c r="V76" i="6" s="1"/>
  <c r="S81" i="6"/>
  <c r="S80" i="6"/>
  <c r="V80" i="6" s="1"/>
  <c r="S73" i="6"/>
  <c r="V73" i="6" s="1"/>
  <c r="S78" i="6"/>
  <c r="V78" i="6" s="1"/>
  <c r="Q116" i="16"/>
  <c r="Q139" i="17"/>
  <c r="Q141" i="17" s="1"/>
  <c r="S79" i="5"/>
  <c r="V79" i="5" s="1"/>
  <c r="S75" i="5"/>
  <c r="V75" i="5" s="1"/>
  <c r="S77" i="5"/>
  <c r="V77" i="5" s="1"/>
  <c r="S78" i="5"/>
  <c r="V78" i="5" s="1"/>
  <c r="S76" i="5"/>
  <c r="V76" i="5" s="1"/>
  <c r="S73" i="5"/>
  <c r="V73" i="5" s="1"/>
  <c r="S68" i="5"/>
  <c r="V68" i="5" s="1"/>
  <c r="S69" i="5"/>
  <c r="V69" i="5" s="1"/>
  <c r="S63" i="5"/>
  <c r="V63" i="5" s="1"/>
  <c r="S50" i="5"/>
  <c r="V50" i="5" s="1"/>
  <c r="S52" i="5"/>
  <c r="V52" i="5" s="1"/>
  <c r="S55" i="5"/>
  <c r="V55" i="5" s="1"/>
  <c r="S54" i="5"/>
  <c r="V54" i="5" s="1"/>
  <c r="S57" i="5"/>
  <c r="V57" i="5" s="1"/>
  <c r="S51" i="5"/>
  <c r="V51" i="5" s="1"/>
  <c r="S43" i="5"/>
  <c r="V43" i="5" s="1"/>
  <c r="S44" i="5"/>
  <c r="V44" i="5" s="1"/>
  <c r="S45" i="5"/>
  <c r="V45" i="5" s="1"/>
  <c r="S38" i="5"/>
  <c r="V38" i="5" s="1"/>
  <c r="P123" i="17"/>
  <c r="S32" i="5"/>
  <c r="S123" i="17" s="1"/>
  <c r="T123" i="17" s="1"/>
  <c r="S35" i="5"/>
  <c r="V35" i="5" s="1"/>
  <c r="S37" i="5"/>
  <c r="V37" i="5" s="1"/>
  <c r="P122" i="17"/>
  <c r="S29" i="5"/>
  <c r="S122" i="17" s="1"/>
  <c r="T122" i="17" s="1"/>
  <c r="S26" i="5"/>
  <c r="V26" i="5" s="1"/>
  <c r="S16" i="5"/>
  <c r="V16" i="5" s="1"/>
  <c r="S24" i="5"/>
  <c r="V24" i="5" s="1"/>
  <c r="P139" i="16"/>
  <c r="S100" i="4"/>
  <c r="V100" i="4" s="1"/>
  <c r="S102" i="4"/>
  <c r="S63" i="4"/>
  <c r="S45" i="4"/>
  <c r="V45" i="4" s="1"/>
  <c r="P96" i="17"/>
  <c r="S32" i="4"/>
  <c r="S96" i="17" s="1"/>
  <c r="T96" i="17" s="1"/>
  <c r="P95" i="17"/>
  <c r="S29" i="4"/>
  <c r="S95" i="17" s="1"/>
  <c r="T95" i="17" s="1"/>
  <c r="S89" i="4"/>
  <c r="S25" i="4"/>
  <c r="S22" i="4"/>
  <c r="P94" i="17"/>
  <c r="S13" i="4"/>
  <c r="S94" i="17" s="1"/>
  <c r="S20" i="4"/>
  <c r="T20" i="4" s="1"/>
  <c r="S81" i="3"/>
  <c r="V81" i="3" s="1"/>
  <c r="S72" i="3"/>
  <c r="T72" i="3" s="1"/>
  <c r="R230" i="9"/>
  <c r="S65" i="3"/>
  <c r="V65" i="3" s="1"/>
  <c r="S49" i="3"/>
  <c r="V49" i="3" s="1"/>
  <c r="R55" i="15"/>
  <c r="P69" i="17"/>
  <c r="S33" i="3"/>
  <c r="S69" i="17" s="1"/>
  <c r="T69" i="17" s="1"/>
  <c r="S37" i="3"/>
  <c r="T37" i="3" s="1"/>
  <c r="P68" i="17"/>
  <c r="S30" i="3"/>
  <c r="S68" i="17" s="1"/>
  <c r="T68" i="17" s="1"/>
  <c r="S26" i="3"/>
  <c r="V26" i="3" s="1"/>
  <c r="R76" i="17"/>
  <c r="P137" i="16"/>
  <c r="S137" i="16" s="1"/>
  <c r="S100" i="2"/>
  <c r="T100" i="2" s="1"/>
  <c r="S101" i="2"/>
  <c r="S102" i="2"/>
  <c r="S99" i="2"/>
  <c r="S98" i="2"/>
  <c r="S97" i="2"/>
  <c r="S95" i="2"/>
  <c r="S96" i="2"/>
  <c r="S72" i="2"/>
  <c r="S80" i="2"/>
  <c r="S73" i="2"/>
  <c r="S75" i="2"/>
  <c r="V75" i="2" s="1"/>
  <c r="S76" i="2"/>
  <c r="S74" i="2"/>
  <c r="S77" i="2"/>
  <c r="V77" i="2" s="1"/>
  <c r="S71" i="2"/>
  <c r="S66" i="2"/>
  <c r="V66" i="2" s="1"/>
  <c r="S67" i="2"/>
  <c r="S62" i="2"/>
  <c r="V62" i="2" s="1"/>
  <c r="S64" i="2"/>
  <c r="S53" i="2"/>
  <c r="V53" i="2" s="1"/>
  <c r="S54" i="2"/>
  <c r="S51" i="2"/>
  <c r="S50" i="2"/>
  <c r="V50" i="2" s="1"/>
  <c r="S49" i="2"/>
  <c r="S55" i="2"/>
  <c r="S52" i="2"/>
  <c r="S58" i="2"/>
  <c r="S48" i="2"/>
  <c r="S56" i="2"/>
  <c r="S57" i="2"/>
  <c r="S44" i="2"/>
  <c r="S41" i="2"/>
  <c r="S43" i="2"/>
  <c r="S45" i="2"/>
  <c r="V45" i="2" s="1"/>
  <c r="S42" i="2"/>
  <c r="S89" i="2"/>
  <c r="S34" i="2"/>
  <c r="S37" i="2"/>
  <c r="S32" i="2"/>
  <c r="S35" i="2"/>
  <c r="S36" i="2"/>
  <c r="S33" i="2"/>
  <c r="S30" i="2"/>
  <c r="V30" i="2" s="1"/>
  <c r="S22" i="2"/>
  <c r="S15" i="2"/>
  <c r="S21" i="2"/>
  <c r="S19" i="2"/>
  <c r="T19" i="2" s="1"/>
  <c r="S16" i="2"/>
  <c r="S23" i="2"/>
  <c r="S17" i="2"/>
  <c r="S50" i="10"/>
  <c r="S72" i="10"/>
  <c r="S30" i="10"/>
  <c r="S28" i="16"/>
  <c r="R9" i="16"/>
  <c r="M9" i="16"/>
  <c r="Q9" i="16"/>
  <c r="T46" i="10"/>
  <c r="R225" i="9"/>
  <c r="T58" i="9"/>
  <c r="V34" i="6"/>
  <c r="V98" i="5"/>
  <c r="T98" i="5"/>
  <c r="T94" i="5"/>
  <c r="V90" i="10"/>
  <c r="T90" i="10"/>
  <c r="V33" i="10"/>
  <c r="T33" i="10"/>
  <c r="V159" i="9"/>
  <c r="T159" i="9"/>
  <c r="V65" i="9"/>
  <c r="T65" i="9"/>
  <c r="V23" i="5"/>
  <c r="T23" i="5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4" i="5"/>
  <c r="T84" i="5"/>
  <c r="V74" i="5"/>
  <c r="T74" i="5"/>
  <c r="V56" i="5"/>
  <c r="T56" i="5"/>
  <c r="R102" i="15"/>
  <c r="R107" i="15"/>
  <c r="R181" i="17"/>
  <c r="P107" i="15"/>
  <c r="P181" i="17"/>
  <c r="R186" i="17"/>
  <c r="R34" i="16"/>
  <c r="S34" i="16" s="1"/>
  <c r="P34" i="16"/>
  <c r="P186" i="17"/>
  <c r="V94" i="3"/>
  <c r="R130" i="17"/>
  <c r="Q130" i="17"/>
  <c r="V44" i="4"/>
  <c r="P92" i="15"/>
  <c r="P99" i="17"/>
  <c r="V86" i="4"/>
  <c r="P104" i="15"/>
  <c r="P100" i="17"/>
  <c r="P31" i="16"/>
  <c r="P105" i="17"/>
  <c r="V21" i="3"/>
  <c r="T21" i="3"/>
  <c r="T30" i="6"/>
  <c r="R30" i="15"/>
  <c r="V15" i="10"/>
  <c r="R112" i="16"/>
  <c r="T27" i="3"/>
  <c r="T47" i="3"/>
  <c r="T17" i="10"/>
  <c r="R95" i="15"/>
  <c r="R180" i="17"/>
  <c r="R184" i="17" s="1"/>
  <c r="T48" i="6"/>
  <c r="V16" i="3"/>
  <c r="V18" i="3"/>
  <c r="Q91" i="15"/>
  <c r="P73" i="17"/>
  <c r="P103" i="15"/>
  <c r="P30" i="16"/>
  <c r="P78" i="17"/>
  <c r="P95" i="15"/>
  <c r="P180" i="17"/>
  <c r="R7" i="7"/>
  <c r="V20" i="5"/>
  <c r="T20" i="5"/>
  <c r="V18" i="5"/>
  <c r="T18" i="5"/>
  <c r="Q55" i="15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100" i="16"/>
  <c r="R108" i="16" s="1"/>
  <c r="R88" i="16"/>
  <c r="R96" i="16" s="1"/>
  <c r="R76" i="16"/>
  <c r="R84" i="16" s="1"/>
  <c r="R64" i="16"/>
  <c r="R40" i="16"/>
  <c r="R48" i="16" s="1"/>
  <c r="P100" i="16"/>
  <c r="P88" i="16"/>
  <c r="P96" i="16" s="1"/>
  <c r="P76" i="16"/>
  <c r="V69" i="10"/>
  <c r="T69" i="10"/>
  <c r="V65" i="10"/>
  <c r="T65" i="10"/>
  <c r="V66" i="10"/>
  <c r="T66" i="10"/>
  <c r="V55" i="10"/>
  <c r="T55" i="10"/>
  <c r="P64" i="16"/>
  <c r="P40" i="16"/>
  <c r="T21" i="9"/>
  <c r="T50" i="3"/>
  <c r="T60" i="9"/>
  <c r="V75" i="6"/>
  <c r="V57" i="6"/>
  <c r="V31" i="6"/>
  <c r="V125" i="9"/>
  <c r="V78" i="9"/>
  <c r="Q230" i="9"/>
  <c r="Q88" i="16"/>
  <c r="Q12" i="11"/>
  <c r="V66" i="3"/>
  <c r="V70" i="3"/>
  <c r="V51" i="3"/>
  <c r="Q52" i="16"/>
  <c r="Q60" i="16" s="1"/>
  <c r="Q64" i="16"/>
  <c r="Q92" i="15"/>
  <c r="Q99" i="17"/>
  <c r="Q95" i="15"/>
  <c r="Q180" i="17"/>
  <c r="Q11" i="11"/>
  <c r="V13" i="10"/>
  <c r="T13" i="10"/>
  <c r="Q100" i="16"/>
  <c r="Q108" i="16" s="1"/>
  <c r="Q100" i="17"/>
  <c r="Q104" i="15"/>
  <c r="V54" i="6"/>
  <c r="Q15" i="11"/>
  <c r="Q30" i="16"/>
  <c r="Q78" i="17"/>
  <c r="T116" i="9"/>
  <c r="Q102" i="15"/>
  <c r="Q103" i="15"/>
  <c r="Q73" i="17"/>
  <c r="V88" i="3"/>
  <c r="Q31" i="16"/>
  <c r="Q105" i="17"/>
  <c r="V94" i="4"/>
  <c r="Q13" i="11"/>
  <c r="Q14" i="11"/>
  <c r="T17" i="16"/>
  <c r="V35" i="6"/>
  <c r="Q40" i="16"/>
  <c r="Q48" i="16" s="1"/>
  <c r="Q34" i="16"/>
  <c r="Q186" i="17"/>
  <c r="T86" i="7"/>
  <c r="Q107" i="15"/>
  <c r="Q181" i="17"/>
  <c r="Q10" i="11"/>
  <c r="Q16" i="11"/>
  <c r="P127" i="17"/>
  <c r="P105" i="15"/>
  <c r="S88" i="7"/>
  <c r="V88" i="7" s="1"/>
  <c r="V85" i="7"/>
  <c r="V94" i="7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4" i="16" s="1"/>
  <c r="R21" i="16" s="1"/>
  <c r="R18" i="11" s="1"/>
  <c r="R217" i="9"/>
  <c r="V85" i="6"/>
  <c r="P106" i="15"/>
  <c r="P154" i="17"/>
  <c r="R154" i="17"/>
  <c r="R106" i="15"/>
  <c r="P94" i="15"/>
  <c r="P153" i="17"/>
  <c r="R153" i="17"/>
  <c r="R94" i="15"/>
  <c r="R233" i="9"/>
  <c r="P46" i="15"/>
  <c r="V47" i="6"/>
  <c r="V26" i="6"/>
  <c r="Q106" i="15"/>
  <c r="Q154" i="17"/>
  <c r="V87" i="6"/>
  <c r="V88" i="6"/>
  <c r="R58" i="15"/>
  <c r="P225" i="9"/>
  <c r="R34" i="15"/>
  <c r="V45" i="6"/>
  <c r="V60" i="6"/>
  <c r="Q153" i="17"/>
  <c r="Q94" i="15"/>
  <c r="V59" i="6"/>
  <c r="V28" i="6"/>
  <c r="R142" i="15"/>
  <c r="T83" i="6"/>
  <c r="P129" i="16"/>
  <c r="P58" i="15"/>
  <c r="V43" i="6"/>
  <c r="V38" i="6"/>
  <c r="V82" i="6"/>
  <c r="V65" i="6"/>
  <c r="V55" i="6"/>
  <c r="V81" i="6"/>
  <c r="V33" i="6"/>
  <c r="T36" i="6"/>
  <c r="V79" i="6"/>
  <c r="P162" i="17"/>
  <c r="P69" i="16"/>
  <c r="R69" i="16"/>
  <c r="R162" i="17"/>
  <c r="Q159" i="17"/>
  <c r="Q33" i="16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33" i="16" s="1"/>
  <c r="S150" i="17"/>
  <c r="T150" i="17" s="1"/>
  <c r="Q150" i="17"/>
  <c r="Q162" i="17"/>
  <c r="Q69" i="16"/>
  <c r="V37" i="6"/>
  <c r="V93" i="6"/>
  <c r="S159" i="17"/>
  <c r="T95" i="6"/>
  <c r="P33" i="16"/>
  <c r="P159" i="17"/>
  <c r="T83" i="5"/>
  <c r="P126" i="17"/>
  <c r="P93" i="15"/>
  <c r="T93" i="5"/>
  <c r="P32" i="16"/>
  <c r="S32" i="16" s="1"/>
  <c r="P132" i="17"/>
  <c r="T95" i="5"/>
  <c r="P68" i="16"/>
  <c r="S68" i="16" s="1"/>
  <c r="P135" i="17"/>
  <c r="R141" i="17"/>
  <c r="V83" i="4"/>
  <c r="V84" i="4"/>
  <c r="V87" i="4"/>
  <c r="V59" i="4"/>
  <c r="V81" i="4"/>
  <c r="V88" i="4"/>
  <c r="V47" i="4"/>
  <c r="V40" i="4"/>
  <c r="V55" i="4"/>
  <c r="T97" i="4"/>
  <c r="V75" i="4"/>
  <c r="V34" i="4"/>
  <c r="V24" i="4"/>
  <c r="T96" i="4"/>
  <c r="V56" i="4"/>
  <c r="V18" i="4"/>
  <c r="T88" i="4"/>
  <c r="T86" i="4"/>
  <c r="T87" i="4"/>
  <c r="V23" i="4"/>
  <c r="V50" i="4"/>
  <c r="V69" i="4"/>
  <c r="V52" i="4"/>
  <c r="V68" i="4"/>
  <c r="R138" i="15"/>
  <c r="V87" i="3"/>
  <c r="V69" i="3"/>
  <c r="V77" i="3"/>
  <c r="V59" i="3"/>
  <c r="V60" i="3"/>
  <c r="V62" i="3"/>
  <c r="V45" i="3"/>
  <c r="V43" i="3"/>
  <c r="V41" i="3"/>
  <c r="V25" i="3"/>
  <c r="T87" i="3"/>
  <c r="V44" i="3"/>
  <c r="V36" i="3"/>
  <c r="V46" i="3"/>
  <c r="V61" i="3"/>
  <c r="V39" i="3"/>
  <c r="V35" i="3"/>
  <c r="V71" i="3"/>
  <c r="V79" i="3"/>
  <c r="V67" i="3"/>
  <c r="Q187" i="9"/>
  <c r="V38" i="3"/>
  <c r="V58" i="3"/>
  <c r="P81" i="17"/>
  <c r="P66" i="16"/>
  <c r="S66" i="16" s="1"/>
  <c r="V23" i="3"/>
  <c r="Q81" i="17"/>
  <c r="Q66" i="16"/>
  <c r="Q86" i="17"/>
  <c r="Q85" i="17" s="1"/>
  <c r="Q126" i="16"/>
  <c r="Q114" i="16" s="1"/>
  <c r="P91" i="15"/>
  <c r="P72" i="17"/>
  <c r="T63" i="3"/>
  <c r="V53" i="3"/>
  <c r="Q43" i="15"/>
  <c r="R87" i="17"/>
  <c r="R29" i="16"/>
  <c r="S29" i="16" s="1"/>
  <c r="Q29" i="16"/>
  <c r="P29" i="16"/>
  <c r="V94" i="2"/>
  <c r="T40" i="17"/>
  <c r="P90" i="15"/>
  <c r="R213" i="9"/>
  <c r="R90" i="15"/>
  <c r="R49" i="17"/>
  <c r="Q49" i="17"/>
  <c r="Q90" i="15"/>
  <c r="R7" i="2"/>
  <c r="T86" i="2"/>
  <c r="R125" i="16"/>
  <c r="Q90" i="3"/>
  <c r="Q5" i="3" s="1"/>
  <c r="Q180" i="9" s="1"/>
  <c r="Q214" i="9"/>
  <c r="Q67" i="17"/>
  <c r="Q76" i="17" s="1"/>
  <c r="Q139" i="15"/>
  <c r="Q138" i="16"/>
  <c r="V42" i="4"/>
  <c r="V14" i="4"/>
  <c r="T46" i="4"/>
  <c r="V35" i="4"/>
  <c r="V17" i="4"/>
  <c r="V19" i="4"/>
  <c r="T62" i="9"/>
  <c r="T51" i="9"/>
  <c r="V19" i="9"/>
  <c r="V63" i="4"/>
  <c r="V25" i="4"/>
  <c r="T49" i="4"/>
  <c r="V77" i="4"/>
  <c r="V54" i="4"/>
  <c r="V38" i="4"/>
  <c r="V22" i="4"/>
  <c r="V61" i="4"/>
  <c r="V39" i="4"/>
  <c r="V78" i="4"/>
  <c r="P127" i="16"/>
  <c r="P113" i="17"/>
  <c r="P112" i="17" s="1"/>
  <c r="Q65" i="16"/>
  <c r="Q113" i="17"/>
  <c r="Q112" i="17" s="1"/>
  <c r="Q127" i="16"/>
  <c r="Q115" i="16" s="1"/>
  <c r="Q140" i="15"/>
  <c r="Q139" i="16"/>
  <c r="P138" i="15"/>
  <c r="V99" i="4"/>
  <c r="P108" i="17"/>
  <c r="P67" i="16"/>
  <c r="Q125" i="16"/>
  <c r="P125" i="16"/>
  <c r="R114" i="17"/>
  <c r="R116" i="17" s="1"/>
  <c r="Q138" i="15"/>
  <c r="Q67" i="16"/>
  <c r="Q108" i="17"/>
  <c r="P65" i="16"/>
  <c r="S65" i="16" s="1"/>
  <c r="T49" i="10"/>
  <c r="V48" i="3"/>
  <c r="T112" i="9"/>
  <c r="V16" i="9"/>
  <c r="V61" i="7"/>
  <c r="T69" i="7"/>
  <c r="V97" i="3"/>
  <c r="V78" i="3"/>
  <c r="V80" i="3"/>
  <c r="V76" i="3"/>
  <c r="V64" i="3"/>
  <c r="V57" i="3"/>
  <c r="Q31" i="15"/>
  <c r="V37" i="7"/>
  <c r="V97" i="7"/>
  <c r="V35" i="7"/>
  <c r="Q222" i="9"/>
  <c r="V34" i="9"/>
  <c r="V27" i="2"/>
  <c r="V61" i="2"/>
  <c r="V56" i="2"/>
  <c r="V20" i="2"/>
  <c r="V54" i="2"/>
  <c r="V25" i="2"/>
  <c r="V51" i="2"/>
  <c r="V37" i="2"/>
  <c r="V44" i="2"/>
  <c r="T40" i="9"/>
  <c r="Q96" i="10"/>
  <c r="Q9" i="10" s="1"/>
  <c r="V60" i="4"/>
  <c r="V15" i="4"/>
  <c r="V73" i="4"/>
  <c r="V33" i="4"/>
  <c r="P140" i="15"/>
  <c r="V37" i="4"/>
  <c r="T27" i="4"/>
  <c r="V51" i="4"/>
  <c r="V76" i="4"/>
  <c r="V76" i="7"/>
  <c r="V50" i="7"/>
  <c r="V75" i="7"/>
  <c r="V28" i="7"/>
  <c r="V65" i="7"/>
  <c r="V81" i="7"/>
  <c r="V53" i="4"/>
  <c r="V57" i="4"/>
  <c r="T58" i="4"/>
  <c r="V34" i="2"/>
  <c r="Q7" i="6"/>
  <c r="V33" i="5"/>
  <c r="T33" i="5"/>
  <c r="V41" i="5"/>
  <c r="T41" i="5"/>
  <c r="T41" i="4"/>
  <c r="V95" i="2"/>
  <c r="Q6" i="3"/>
  <c r="V20" i="15"/>
  <c r="T20" i="15"/>
  <c r="T16" i="15"/>
  <c r="V16" i="15"/>
  <c r="V69" i="6"/>
  <c r="T69" i="6"/>
  <c r="V19" i="15"/>
  <c r="T19" i="15"/>
  <c r="V44" i="9"/>
  <c r="T44" i="9"/>
  <c r="T28" i="3"/>
  <c r="Q215" i="9"/>
  <c r="Q32" i="15"/>
  <c r="V53" i="10"/>
  <c r="T53" i="10"/>
  <c r="V77" i="7"/>
  <c r="T36" i="5"/>
  <c r="V36" i="5"/>
  <c r="V34" i="5"/>
  <c r="T34" i="5"/>
  <c r="T81" i="3"/>
  <c r="V130" i="9"/>
  <c r="T130" i="9"/>
  <c r="V78" i="2"/>
  <c r="V63" i="2"/>
  <c r="P221" i="9"/>
  <c r="P42" i="15"/>
  <c r="T41" i="17"/>
  <c r="V68" i="2"/>
  <c r="V79" i="2"/>
  <c r="V39" i="2"/>
  <c r="V38" i="2"/>
  <c r="V47" i="2"/>
  <c r="V55" i="2"/>
  <c r="V59" i="2"/>
  <c r="V52" i="2"/>
  <c r="T124" i="9"/>
  <c r="V124" i="9"/>
  <c r="Q47" i="15"/>
  <c r="Q226" i="9"/>
  <c r="Q7" i="7"/>
  <c r="V16" i="10"/>
  <c r="T16" i="10"/>
  <c r="V35" i="10"/>
  <c r="T35" i="10"/>
  <c r="Q233" i="9"/>
  <c r="Q58" i="15"/>
  <c r="V73" i="10"/>
  <c r="V15" i="15"/>
  <c r="T15" i="15"/>
  <c r="P5" i="4"/>
  <c r="P181" i="9" s="1"/>
  <c r="V44" i="7"/>
  <c r="V26" i="10"/>
  <c r="V18" i="15"/>
  <c r="T18" i="15"/>
  <c r="T34" i="6"/>
  <c r="V79" i="4"/>
  <c r="V68" i="7"/>
  <c r="P232" i="9"/>
  <c r="P57" i="15"/>
  <c r="V77" i="10"/>
  <c r="T76" i="10"/>
  <c r="P6" i="4"/>
  <c r="V60" i="7"/>
  <c r="P226" i="9"/>
  <c r="P47" i="15"/>
  <c r="S176" i="17"/>
  <c r="T176" i="17" s="1"/>
  <c r="V25" i="7"/>
  <c r="P234" i="9"/>
  <c r="P59" i="15"/>
  <c r="V38" i="7"/>
  <c r="V52" i="7"/>
  <c r="V72" i="5"/>
  <c r="T72" i="5"/>
  <c r="V46" i="5"/>
  <c r="T46" i="5"/>
  <c r="T25" i="5"/>
  <c r="V25" i="5"/>
  <c r="V49" i="5"/>
  <c r="T49" i="5"/>
  <c r="V42" i="5"/>
  <c r="T42" i="5"/>
  <c r="P189" i="9"/>
  <c r="T17" i="3"/>
  <c r="V17" i="3"/>
  <c r="P187" i="9"/>
  <c r="V14" i="15"/>
  <c r="T14" i="15"/>
  <c r="Q7" i="2"/>
  <c r="Q44" i="15"/>
  <c r="Q223" i="9"/>
  <c r="P229" i="9"/>
  <c r="P54" i="15"/>
  <c r="T42" i="17"/>
  <c r="P6" i="2"/>
  <c r="V26" i="2"/>
  <c r="V43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V52" i="10"/>
  <c r="T52" i="10"/>
  <c r="V43" i="10"/>
  <c r="T43" i="10"/>
  <c r="V15" i="5"/>
  <c r="T15" i="5"/>
  <c r="V30" i="5"/>
  <c r="T30" i="5"/>
  <c r="V22" i="5"/>
  <c r="T22" i="5"/>
  <c r="T80" i="5"/>
  <c r="V80" i="5"/>
  <c r="T21" i="5"/>
  <c r="V21" i="5"/>
  <c r="Q42" i="15"/>
  <c r="Q221" i="9"/>
  <c r="P5" i="2"/>
  <c r="P179" i="9" s="1"/>
  <c r="T30" i="2"/>
  <c r="T15" i="9"/>
  <c r="V15" i="9"/>
  <c r="Q46" i="15"/>
  <c r="Q225" i="9"/>
  <c r="V43" i="4"/>
  <c r="V70" i="7"/>
  <c r="V40" i="7"/>
  <c r="V79" i="7"/>
  <c r="V62" i="5"/>
  <c r="T62" i="5"/>
  <c r="V67" i="5"/>
  <c r="T67" i="5"/>
  <c r="V96" i="6"/>
  <c r="R47" i="15"/>
  <c r="R49" i="15" s="1"/>
  <c r="R226" i="9"/>
  <c r="R234" i="9"/>
  <c r="R59" i="15"/>
  <c r="P39" i="10"/>
  <c r="S39" i="10" s="1"/>
  <c r="V31" i="10"/>
  <c r="T31" i="10"/>
  <c r="P231" i="9"/>
  <c r="P56" i="15"/>
  <c r="P44" i="15"/>
  <c r="P223" i="9"/>
  <c r="V70" i="4"/>
  <c r="V22" i="7"/>
  <c r="V53" i="7"/>
  <c r="V73" i="7"/>
  <c r="V55" i="7"/>
  <c r="R31" i="15"/>
  <c r="R214" i="9"/>
  <c r="R90" i="3"/>
  <c r="R5" i="3" s="1"/>
  <c r="R180" i="9" s="1"/>
  <c r="R218" i="9"/>
  <c r="R35" i="15"/>
  <c r="T41" i="10"/>
  <c r="V41" i="10"/>
  <c r="V48" i="10"/>
  <c r="T48" i="10"/>
  <c r="S149" i="17"/>
  <c r="T149" i="17" s="1"/>
  <c r="T42" i="4"/>
  <c r="V65" i="4"/>
  <c r="P215" i="9"/>
  <c r="P32" i="15"/>
  <c r="V46" i="4"/>
  <c r="V45" i="7"/>
  <c r="V39" i="7"/>
  <c r="V47" i="7"/>
  <c r="V43" i="7"/>
  <c r="V78" i="7"/>
  <c r="V27" i="7"/>
  <c r="V31" i="7"/>
  <c r="V82" i="7"/>
  <c r="T53" i="5"/>
  <c r="V53" i="5"/>
  <c r="T64" i="5"/>
  <c r="V64" i="5"/>
  <c r="V19" i="5"/>
  <c r="T19" i="5"/>
  <c r="T27" i="5"/>
  <c r="V27" i="5"/>
  <c r="P216" i="9"/>
  <c r="S121" i="17"/>
  <c r="P33" i="15"/>
  <c r="P5" i="5"/>
  <c r="P182" i="9" s="1"/>
  <c r="P45" i="15"/>
  <c r="P224" i="9"/>
  <c r="V17" i="5"/>
  <c r="T17" i="5"/>
  <c r="Q229" i="9"/>
  <c r="Q54" i="15"/>
  <c r="Q7" i="4"/>
  <c r="Q231" i="9"/>
  <c r="Q56" i="15"/>
  <c r="V35" i="2"/>
  <c r="V73" i="2"/>
  <c r="V70" i="2"/>
  <c r="V57" i="2"/>
  <c r="V76" i="2"/>
  <c r="V60" i="2"/>
  <c r="V65" i="2"/>
  <c r="V17" i="2"/>
  <c r="V69" i="2"/>
  <c r="V81" i="2"/>
  <c r="T70" i="9"/>
  <c r="V70" i="9"/>
  <c r="Q234" i="9"/>
  <c r="Q59" i="15"/>
  <c r="V68" i="10"/>
  <c r="T67" i="10"/>
  <c r="T18" i="10"/>
  <c r="V18" i="10"/>
  <c r="V58" i="5" l="1"/>
  <c r="T66" i="5"/>
  <c r="V20" i="7"/>
  <c r="T71" i="5"/>
  <c r="R227" i="9"/>
  <c r="V14" i="6"/>
  <c r="V14" i="7"/>
  <c r="V20" i="4"/>
  <c r="S48" i="7"/>
  <c r="T48" i="7" s="1"/>
  <c r="V23" i="7"/>
  <c r="T23" i="7"/>
  <c r="V67" i="6"/>
  <c r="T66" i="6"/>
  <c r="T48" i="5"/>
  <c r="V14" i="5"/>
  <c r="R96" i="10"/>
  <c r="R9" i="10" s="1"/>
  <c r="U9" i="10" s="1"/>
  <c r="P130" i="17"/>
  <c r="T80" i="6"/>
  <c r="T71" i="6"/>
  <c r="S130" i="16"/>
  <c r="S70" i="16"/>
  <c r="S71" i="7"/>
  <c r="T71" i="7" s="1"/>
  <c r="S129" i="16"/>
  <c r="S69" i="16"/>
  <c r="P115" i="16"/>
  <c r="S115" i="16" s="1"/>
  <c r="S127" i="16"/>
  <c r="S139" i="16"/>
  <c r="S67" i="16"/>
  <c r="P103" i="17"/>
  <c r="V37" i="3"/>
  <c r="R89" i="17"/>
  <c r="P108" i="16"/>
  <c r="S108" i="16" s="1"/>
  <c r="S100" i="16"/>
  <c r="S125" i="16"/>
  <c r="Q96" i="16"/>
  <c r="S96" i="16" s="1"/>
  <c r="S88" i="16"/>
  <c r="S64" i="16"/>
  <c r="P84" i="16"/>
  <c r="S84" i="16" s="1"/>
  <c r="S76" i="16"/>
  <c r="P48" i="16"/>
  <c r="S48" i="16" s="1"/>
  <c r="S40" i="16"/>
  <c r="R109" i="15"/>
  <c r="T62" i="2"/>
  <c r="R157" i="17"/>
  <c r="Q103" i="17"/>
  <c r="R143" i="17"/>
  <c r="T83" i="2"/>
  <c r="Q143" i="17"/>
  <c r="V67" i="7"/>
  <c r="T84" i="4"/>
  <c r="V47" i="3"/>
  <c r="V20" i="3"/>
  <c r="V36" i="6"/>
  <c r="V98" i="2"/>
  <c r="T98" i="2"/>
  <c r="V98" i="4"/>
  <c r="T98" i="4"/>
  <c r="V74" i="7"/>
  <c r="T74" i="7"/>
  <c r="V98" i="6"/>
  <c r="T98" i="6"/>
  <c r="V74" i="6"/>
  <c r="T74" i="6"/>
  <c r="T34" i="2"/>
  <c r="T88" i="3"/>
  <c r="T49" i="3"/>
  <c r="V73" i="3"/>
  <c r="V74" i="3"/>
  <c r="T74" i="3"/>
  <c r="V3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R62" i="17" s="1"/>
  <c r="V42" i="7"/>
  <c r="T42" i="7"/>
  <c r="V46" i="7"/>
  <c r="T46" i="7"/>
  <c r="V41" i="7"/>
  <c r="T41" i="7"/>
  <c r="P109" i="15"/>
  <c r="T43" i="3"/>
  <c r="T67" i="3"/>
  <c r="T24" i="3"/>
  <c r="S104" i="15"/>
  <c r="S100" i="17"/>
  <c r="T100" i="17" s="1"/>
  <c r="V97" i="6"/>
  <c r="T97" i="6"/>
  <c r="T56" i="6"/>
  <c r="V48" i="6"/>
  <c r="T62" i="6"/>
  <c r="V46" i="6"/>
  <c r="T46" i="6"/>
  <c r="V42" i="6"/>
  <c r="T42" i="6"/>
  <c r="V41" i="6"/>
  <c r="T41" i="6"/>
  <c r="V26" i="4"/>
  <c r="T26" i="4"/>
  <c r="T42" i="3"/>
  <c r="R145" i="15"/>
  <c r="R22" i="15" s="1"/>
  <c r="R23" i="15" s="1"/>
  <c r="V85" i="3"/>
  <c r="T85" i="3"/>
  <c r="Q7" i="3"/>
  <c r="R72" i="16"/>
  <c r="R33" i="17"/>
  <c r="R35" i="17" s="1"/>
  <c r="V41" i="4"/>
  <c r="Q87" i="17"/>
  <c r="Q89" i="17" s="1"/>
  <c r="V50" i="3"/>
  <c r="R235" i="9"/>
  <c r="V72" i="6"/>
  <c r="T58" i="6"/>
  <c r="T32" i="6"/>
  <c r="S233" i="9"/>
  <c r="S58" i="15"/>
  <c r="V32" i="6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52" i="16"/>
  <c r="T49" i="6"/>
  <c r="Q205" i="9"/>
  <c r="Q206" i="9" s="1"/>
  <c r="T59" i="3"/>
  <c r="Q33" i="17"/>
  <c r="Q35" i="17" s="1"/>
  <c r="T46" i="17"/>
  <c r="S102" i="15"/>
  <c r="S99" i="17"/>
  <c r="T99" i="17" s="1"/>
  <c r="S92" i="15"/>
  <c r="T27" i="17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V67" i="10"/>
  <c r="T28" i="17"/>
  <c r="V76" i="10"/>
  <c r="T30" i="17"/>
  <c r="V86" i="2"/>
  <c r="V18" i="16"/>
  <c r="S15" i="11"/>
  <c r="T18" i="16"/>
  <c r="T15" i="16"/>
  <c r="S12" i="11"/>
  <c r="V15" i="16"/>
  <c r="V95" i="6"/>
  <c r="T25" i="17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T29" i="17"/>
  <c r="T16" i="16"/>
  <c r="V16" i="16"/>
  <c r="S13" i="11"/>
  <c r="V101" i="6"/>
  <c r="T95" i="4"/>
  <c r="T33" i="4"/>
  <c r="V93" i="7"/>
  <c r="S186" i="17"/>
  <c r="T186" i="17" s="1"/>
  <c r="S78" i="17"/>
  <c r="T78" i="17" s="1"/>
  <c r="V93" i="3"/>
  <c r="V14" i="16"/>
  <c r="S11" i="11"/>
  <c r="T14" i="16"/>
  <c r="Q184" i="17"/>
  <c r="V86" i="5"/>
  <c r="S127" i="17"/>
  <c r="T127" i="17" s="1"/>
  <c r="S105" i="15"/>
  <c r="T97" i="7"/>
  <c r="T62" i="7"/>
  <c r="Q195" i="17"/>
  <c r="T83" i="7"/>
  <c r="V83" i="7"/>
  <c r="R195" i="17"/>
  <c r="R197" i="17" s="1"/>
  <c r="R61" i="15"/>
  <c r="V95" i="7"/>
  <c r="S189" i="17"/>
  <c r="S194" i="17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Q168" i="17"/>
  <c r="T159" i="17"/>
  <c r="S167" i="17"/>
  <c r="P36" i="16"/>
  <c r="S162" i="17"/>
  <c r="T162" i="17" s="1"/>
  <c r="R168" i="17"/>
  <c r="V83" i="5"/>
  <c r="S126" i="17"/>
  <c r="T126" i="17" s="1"/>
  <c r="S93" i="15"/>
  <c r="V93" i="5"/>
  <c r="S132" i="17"/>
  <c r="V95" i="5"/>
  <c r="S135" i="17"/>
  <c r="T135" i="17" s="1"/>
  <c r="P97" i="15"/>
  <c r="T23" i="4"/>
  <c r="T19" i="4"/>
  <c r="T15" i="4"/>
  <c r="T36" i="4"/>
  <c r="T85" i="4"/>
  <c r="V85" i="4"/>
  <c r="Q114" i="17"/>
  <c r="P114" i="17"/>
  <c r="V33" i="3"/>
  <c r="T33" i="3"/>
  <c r="Q198" i="9"/>
  <c r="Q200" i="9" s="1"/>
  <c r="T35" i="3"/>
  <c r="V63" i="3"/>
  <c r="V95" i="3"/>
  <c r="S81" i="17"/>
  <c r="T81" i="17" s="1"/>
  <c r="S91" i="15"/>
  <c r="S72" i="17"/>
  <c r="T72" i="17" s="1"/>
  <c r="T13" i="2"/>
  <c r="T51" i="17"/>
  <c r="V93" i="2"/>
  <c r="V13" i="2"/>
  <c r="P49" i="17"/>
  <c r="S90" i="15"/>
  <c r="T45" i="17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144" i="16"/>
  <c r="Q21" i="16" s="1"/>
  <c r="Q18" i="11" s="1"/>
  <c r="T99" i="4"/>
  <c r="T100" i="4"/>
  <c r="Q49" i="15"/>
  <c r="V49" i="4"/>
  <c r="P72" i="16"/>
  <c r="P113" i="16"/>
  <c r="Q145" i="15"/>
  <c r="Q22" i="15" s="1"/>
  <c r="Q23" i="15" s="1"/>
  <c r="P7" i="4"/>
  <c r="Q61" i="15"/>
  <c r="Q72" i="16"/>
  <c r="S138" i="15"/>
  <c r="Q60" i="17"/>
  <c r="Q62" i="17" s="1"/>
  <c r="S113" i="17"/>
  <c r="S140" i="15"/>
  <c r="Q113" i="16"/>
  <c r="Q120" i="16" s="1"/>
  <c r="Q20" i="16" s="1"/>
  <c r="Q132" i="16"/>
  <c r="S108" i="17"/>
  <c r="T94" i="17"/>
  <c r="T66" i="2"/>
  <c r="V99" i="2"/>
  <c r="M41" i="11"/>
  <c r="I41" i="11"/>
  <c r="T49" i="7"/>
  <c r="T34" i="7"/>
  <c r="V58" i="4"/>
  <c r="V66" i="7"/>
  <c r="T66" i="7"/>
  <c r="T80" i="7"/>
  <c r="V19" i="2"/>
  <c r="V30" i="3"/>
  <c r="T30" i="3"/>
  <c r="V33" i="7"/>
  <c r="T33" i="7"/>
  <c r="R219" i="9"/>
  <c r="V100" i="2"/>
  <c r="Q235" i="9"/>
  <c r="T99" i="2"/>
  <c r="T33" i="2"/>
  <c r="V33" i="2"/>
  <c r="V96" i="3"/>
  <c r="S216" i="9"/>
  <c r="T13" i="5"/>
  <c r="V13" i="5"/>
  <c r="S33" i="15"/>
  <c r="V13" i="4"/>
  <c r="T13" i="4"/>
  <c r="S32" i="15"/>
  <c r="S215" i="9"/>
  <c r="T29" i="6"/>
  <c r="V29" i="6"/>
  <c r="S225" i="9"/>
  <c r="S46" i="15"/>
  <c r="T40" i="10"/>
  <c r="V40" i="10"/>
  <c r="R198" i="9"/>
  <c r="R200" i="9" s="1"/>
  <c r="R205" i="9"/>
  <c r="V19" i="7"/>
  <c r="T19" i="7"/>
  <c r="T30" i="7"/>
  <c r="V30" i="7"/>
  <c r="T30" i="4"/>
  <c r="V30" i="4"/>
  <c r="V15" i="2"/>
  <c r="T15" i="2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V71" i="7" l="1"/>
  <c r="V48" i="7"/>
  <c r="R170" i="17"/>
  <c r="P116" i="17"/>
  <c r="Q116" i="17"/>
  <c r="S113" i="16"/>
  <c r="S72" i="16"/>
  <c r="P60" i="16"/>
  <c r="S60" i="16" s="1"/>
  <c r="S52" i="16"/>
  <c r="S36" i="16"/>
  <c r="P62" i="17"/>
  <c r="V16" i="11"/>
  <c r="T16" i="1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T26" i="17"/>
  <c r="Q197" i="17"/>
  <c r="V13" i="11"/>
  <c r="T13" i="11"/>
  <c r="V10" i="11"/>
  <c r="T10" i="11"/>
  <c r="Q170" i="17"/>
  <c r="T11" i="11"/>
  <c r="V11" i="11"/>
  <c r="T180" i="17"/>
  <c r="V12" i="11"/>
  <c r="T12" i="11"/>
  <c r="T15" i="11"/>
  <c r="V15" i="11"/>
  <c r="S130" i="17"/>
  <c r="T130" i="17" s="1"/>
  <c r="S109" i="15"/>
  <c r="T189" i="17"/>
  <c r="T194" i="17"/>
  <c r="T167" i="17"/>
  <c r="T132" i="17"/>
  <c r="S97" i="15"/>
  <c r="S49" i="17"/>
  <c r="T49" i="17" s="1"/>
  <c r="T59" i="17"/>
  <c r="T108" i="17"/>
  <c r="S112" i="17"/>
  <c r="T112" i="17" s="1"/>
  <c r="T113" i="17"/>
  <c r="T54" i="17"/>
  <c r="V5" i="5"/>
  <c r="T5" i="5"/>
  <c r="S182" i="9"/>
  <c r="S213" i="9"/>
  <c r="S30" i="15"/>
  <c r="R206" i="9"/>
  <c r="R208" i="9"/>
  <c r="R209" i="9" s="1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S181" i="9"/>
  <c r="T5" i="4"/>
  <c r="V5" i="4"/>
  <c r="S222" i="9"/>
  <c r="S227" i="9" s="1"/>
  <c r="S43" i="15"/>
  <c r="S49" i="15" s="1"/>
  <c r="T39" i="10"/>
  <c r="V39" i="10"/>
  <c r="V7" i="4" l="1"/>
  <c r="T7" i="4"/>
  <c r="S114" i="17"/>
  <c r="S60" i="17"/>
  <c r="V7" i="2"/>
  <c r="T7" i="2"/>
  <c r="T60" i="17" l="1"/>
  <c r="S62" i="17"/>
  <c r="T114" i="17"/>
  <c r="S116" i="17"/>
  <c r="P118" i="9" l="1"/>
  <c r="C106" i="9"/>
  <c r="L106" i="9" s="1"/>
  <c r="S118" i="9" l="1"/>
  <c r="V118" i="9" s="1"/>
  <c r="P106" i="9"/>
  <c r="S106" i="9" s="1"/>
  <c r="C17" i="17"/>
  <c r="P17" i="17" s="1"/>
  <c r="S17" i="17" s="1"/>
  <c r="C77" i="15"/>
  <c r="C85" i="15" s="1"/>
  <c r="C17" i="15" s="1"/>
  <c r="T118" i="9" l="1"/>
  <c r="P77" i="15"/>
  <c r="P85" i="15" s="1"/>
  <c r="C31" i="11"/>
  <c r="P17" i="15"/>
  <c r="S77" i="15" l="1"/>
  <c r="S85" i="15" s="1"/>
  <c r="V106" i="9"/>
  <c r="T106" i="9"/>
  <c r="S17" i="15"/>
  <c r="P31" i="11"/>
  <c r="T17" i="17" l="1"/>
  <c r="V17" i="15"/>
  <c r="T17" i="15"/>
  <c r="S31" i="11"/>
  <c r="V31" i="11" l="1"/>
  <c r="T31" i="11"/>
  <c r="P15" i="7"/>
  <c r="S15" i="7" s="1"/>
  <c r="P13" i="7"/>
  <c r="S13" i="7" s="1"/>
  <c r="V15" i="7" l="1"/>
  <c r="P218" i="9"/>
  <c r="P35" i="15"/>
  <c r="P175" i="17"/>
  <c r="P184" i="17" s="1"/>
  <c r="C175" i="17"/>
  <c r="C184" i="17" s="1"/>
  <c r="L13" i="7"/>
  <c r="C35" i="15"/>
  <c r="C89" i="7"/>
  <c r="L89" i="7" s="1"/>
  <c r="C218" i="9"/>
  <c r="S35" i="15" l="1"/>
  <c r="V13" i="7"/>
  <c r="S175" i="17"/>
  <c r="S218" i="9"/>
  <c r="C5" i="7"/>
  <c r="L5" i="7" s="1"/>
  <c r="C104" i="7"/>
  <c r="C100" i="7" s="1"/>
  <c r="P89" i="7"/>
  <c r="S89" i="7" s="1"/>
  <c r="L100" i="7" l="1"/>
  <c r="C142" i="16"/>
  <c r="C99" i="7"/>
  <c r="L99" i="7" s="1"/>
  <c r="C143" i="15"/>
  <c r="P100" i="7"/>
  <c r="S100" i="7" s="1"/>
  <c r="S184" i="17"/>
  <c r="T184" i="17" s="1"/>
  <c r="T175" i="17"/>
  <c r="P5" i="7"/>
  <c r="P184" i="9" s="1"/>
  <c r="C184" i="9"/>
  <c r="S5" i="7" l="1"/>
  <c r="V89" i="7"/>
  <c r="C118" i="16"/>
  <c r="C193" i="17"/>
  <c r="C195" i="17" s="1"/>
  <c r="C197" i="17" s="1"/>
  <c r="C102" i="7"/>
  <c r="L102" i="7" s="1"/>
  <c r="P99" i="7"/>
  <c r="S99" i="7" s="1"/>
  <c r="P142" i="16"/>
  <c r="S142" i="16" s="1"/>
  <c r="T100" i="7"/>
  <c r="P143" i="15"/>
  <c r="C6" i="7" l="1"/>
  <c r="L6" i="7" s="1"/>
  <c r="P102" i="7"/>
  <c r="S102" i="7" s="1"/>
  <c r="V5" i="7"/>
  <c r="S184" i="9"/>
  <c r="T5" i="7"/>
  <c r="S143" i="15"/>
  <c r="V100" i="7"/>
  <c r="P193" i="17"/>
  <c r="P195" i="17" s="1"/>
  <c r="P197" i="17" s="1"/>
  <c r="P118" i="16"/>
  <c r="S118" i="16" s="1"/>
  <c r="T99" i="7" l="1"/>
  <c r="V99" i="7"/>
  <c r="S193" i="17"/>
  <c r="P6" i="7"/>
  <c r="P7" i="7" s="1"/>
  <c r="C7" i="7"/>
  <c r="T7" i="7" s="1"/>
  <c r="S195" i="17" l="1"/>
  <c r="T193" i="17"/>
  <c r="S6" i="7"/>
  <c r="V102" i="7"/>
  <c r="V6" i="7" l="1"/>
  <c r="S7" i="7"/>
  <c r="V7" i="7" s="1"/>
  <c r="T6" i="7"/>
  <c r="S197" i="17"/>
  <c r="T195" i="17"/>
  <c r="T15" i="7"/>
  <c r="C34" i="15" l="1"/>
  <c r="C89" i="6"/>
  <c r="L89" i="6" s="1"/>
  <c r="P13" i="6"/>
  <c r="S13" i="6" s="1"/>
  <c r="C217" i="9"/>
  <c r="T13" i="7"/>
  <c r="C148" i="17"/>
  <c r="C157" i="17" s="1"/>
  <c r="P34" i="15" l="1"/>
  <c r="P148" i="17"/>
  <c r="P157" i="17" s="1"/>
  <c r="P217" i="9"/>
  <c r="T89" i="7"/>
  <c r="C5" i="6"/>
  <c r="L5" i="6" s="1"/>
  <c r="C105" i="6"/>
  <c r="C100" i="6" s="1"/>
  <c r="P89" i="6"/>
  <c r="S89" i="6" s="1"/>
  <c r="C108" i="6" l="1"/>
  <c r="L100" i="6"/>
  <c r="C183" i="9"/>
  <c r="V13" i="6"/>
  <c r="S217" i="9"/>
  <c r="S34" i="15"/>
  <c r="S148" i="17"/>
  <c r="T13" i="6"/>
  <c r="P5" i="6"/>
  <c r="P183" i="9" s="1"/>
  <c r="T102" i="7"/>
  <c r="C141" i="16"/>
  <c r="C99" i="6"/>
  <c r="L99" i="6" s="1"/>
  <c r="C142" i="15"/>
  <c r="P100" i="6"/>
  <c r="S100" i="6" s="1"/>
  <c r="S5" i="6" l="1"/>
  <c r="V89" i="6"/>
  <c r="T89" i="6"/>
  <c r="T148" i="17"/>
  <c r="S157" i="17"/>
  <c r="T157" i="17" s="1"/>
  <c r="P142" i="15"/>
  <c r="P141" i="16"/>
  <c r="S141" i="16" s="1"/>
  <c r="P99" i="6"/>
  <c r="S99" i="6" s="1"/>
  <c r="C166" i="17"/>
  <c r="C168" i="17" s="1"/>
  <c r="C170" i="17" s="1"/>
  <c r="C117" i="16"/>
  <c r="C102" i="6"/>
  <c r="L102" i="6" s="1"/>
  <c r="T101" i="7"/>
  <c r="C6" i="6" l="1"/>
  <c r="L6" i="6" s="1"/>
  <c r="P102" i="6"/>
  <c r="S102" i="6" s="1"/>
  <c r="V5" i="6"/>
  <c r="S183" i="9"/>
  <c r="T5" i="6"/>
  <c r="P166" i="17"/>
  <c r="P168" i="17" s="1"/>
  <c r="P170" i="17" s="1"/>
  <c r="P117" i="16"/>
  <c r="S117" i="16" s="1"/>
  <c r="V100" i="6"/>
  <c r="S142" i="15"/>
  <c r="T100" i="6"/>
  <c r="P6" i="6" l="1"/>
  <c r="P7" i="6" s="1"/>
  <c r="C7" i="6"/>
  <c r="T7" i="6" s="1"/>
  <c r="S166" i="17"/>
  <c r="V99" i="6"/>
  <c r="T99" i="6"/>
  <c r="S6" i="6" l="1"/>
  <c r="V102" i="6"/>
  <c r="T102" i="6"/>
  <c r="T166" i="17"/>
  <c r="S168" i="17"/>
  <c r="V6" i="6" l="1"/>
  <c r="S7" i="6"/>
  <c r="V7" i="6" s="1"/>
  <c r="T6" i="6"/>
  <c r="S170" i="17"/>
  <c r="T168" i="17"/>
  <c r="P19" i="3" l="1"/>
  <c r="S19" i="3" s="1"/>
  <c r="C13" i="3"/>
  <c r="C67" i="17" l="1"/>
  <c r="C76" i="17" s="1"/>
  <c r="L13" i="3"/>
  <c r="P13" i="3"/>
  <c r="C31" i="15"/>
  <c r="C37" i="15" s="1"/>
  <c r="C13" i="15" s="1"/>
  <c r="C27" i="11" s="1"/>
  <c r="V19" i="3"/>
  <c r="T19" i="3"/>
  <c r="C214" i="9"/>
  <c r="C219" i="9" s="1"/>
  <c r="C237" i="9" s="1"/>
  <c r="C90" i="3"/>
  <c r="L90" i="3" s="1"/>
  <c r="P31" i="15" l="1"/>
  <c r="P37" i="15" s="1"/>
  <c r="S13" i="3"/>
  <c r="V13" i="3" s="1"/>
  <c r="P67" i="17"/>
  <c r="P76" i="17" s="1"/>
  <c r="P13" i="15"/>
  <c r="S13" i="15" s="1"/>
  <c r="P214" i="9"/>
  <c r="P219" i="9" s="1"/>
  <c r="P90" i="3"/>
  <c r="C5" i="3"/>
  <c r="L5" i="3" s="1"/>
  <c r="P27" i="11"/>
  <c r="P5" i="3" l="1"/>
  <c r="P180" i="9" s="1"/>
  <c r="P198" i="9" s="1"/>
  <c r="S90" i="3"/>
  <c r="S5" i="3" s="1"/>
  <c r="S180" i="9" s="1"/>
  <c r="S67" i="17"/>
  <c r="T67" i="17" s="1"/>
  <c r="S214" i="9"/>
  <c r="S219" i="9" s="1"/>
  <c r="S31" i="15"/>
  <c r="S37" i="15" s="1"/>
  <c r="T13" i="3"/>
  <c r="W13" i="3" s="1"/>
  <c r="C180" i="9"/>
  <c r="V13" i="15"/>
  <c r="T13" i="15"/>
  <c r="S27" i="11"/>
  <c r="V5" i="3" l="1"/>
  <c r="T5" i="3"/>
  <c r="P205" i="9"/>
  <c r="P208" i="9" s="1"/>
  <c r="L100" i="3"/>
  <c r="S76" i="17"/>
  <c r="T76" i="17" s="1"/>
  <c r="T90" i="3"/>
  <c r="V27" i="11"/>
  <c r="T27" i="11"/>
  <c r="C205" i="9"/>
  <c r="C198" i="9"/>
  <c r="S205" i="9"/>
  <c r="S198" i="9"/>
  <c r="S208" i="9" l="1"/>
  <c r="C208" i="9"/>
  <c r="L88" i="10" l="1"/>
  <c r="P88" i="10"/>
  <c r="S88" i="10" s="1"/>
  <c r="T88" i="10" s="1"/>
  <c r="C87" i="10"/>
  <c r="L87" i="10" s="1"/>
  <c r="C81" i="10" l="1"/>
  <c r="C32" i="17"/>
  <c r="P32" i="17" s="1"/>
  <c r="S32" i="17" s="1"/>
  <c r="T32" i="17" s="1"/>
  <c r="P87" i="10"/>
  <c r="C124" i="16"/>
  <c r="V88" i="10"/>
  <c r="P81" i="10" l="1"/>
  <c r="L81" i="10"/>
  <c r="C80" i="10"/>
  <c r="C31" i="17" s="1"/>
  <c r="S87" i="10"/>
  <c r="P124" i="16"/>
  <c r="L80" i="10" l="1"/>
  <c r="C112" i="16"/>
  <c r="C96" i="10"/>
  <c r="S81" i="10"/>
  <c r="P80" i="10"/>
  <c r="S124" i="16"/>
  <c r="V87" i="10"/>
  <c r="T87" i="10"/>
  <c r="C33" i="17"/>
  <c r="P31" i="17"/>
  <c r="P112" i="16"/>
  <c r="V81" i="10" l="1"/>
  <c r="T81" i="10"/>
  <c r="L96" i="10"/>
  <c r="C9" i="10"/>
  <c r="L9" i="10" s="1"/>
  <c r="P96" i="10"/>
  <c r="S80" i="10"/>
  <c r="S112" i="16"/>
  <c r="S31" i="17"/>
  <c r="P33" i="17"/>
  <c r="V80" i="10" l="1"/>
  <c r="T80" i="10"/>
  <c r="S96" i="10"/>
  <c r="P9" i="10"/>
  <c r="S33" i="17"/>
  <c r="T31" i="17"/>
  <c r="S9" i="10" l="1"/>
  <c r="T96" i="10"/>
  <c r="V96" i="10"/>
  <c r="T33" i="17"/>
  <c r="V9" i="10" l="1"/>
  <c r="T9" i="10"/>
  <c r="C140" i="17"/>
  <c r="P101" i="5"/>
  <c r="S101" i="5" s="1"/>
  <c r="C128" i="16"/>
  <c r="C100" i="5"/>
  <c r="C141" i="15" l="1"/>
  <c r="L100" i="5"/>
  <c r="P128" i="16"/>
  <c r="S128" i="16" s="1"/>
  <c r="S140" i="17"/>
  <c r="T140" i="17" s="1"/>
  <c r="T101" i="5"/>
  <c r="V101" i="5"/>
  <c r="P100" i="5"/>
  <c r="C140" i="16"/>
  <c r="P140" i="17"/>
  <c r="C99" i="5"/>
  <c r="L99" i="5" s="1"/>
  <c r="P141" i="15" l="1"/>
  <c r="P140" i="16"/>
  <c r="S100" i="5"/>
  <c r="C116" i="16"/>
  <c r="C102" i="5"/>
  <c r="L102" i="5" s="1"/>
  <c r="C139" i="17"/>
  <c r="C141" i="17" s="1"/>
  <c r="C143" i="17" s="1"/>
  <c r="P99" i="5"/>
  <c r="S99" i="5" l="1"/>
  <c r="P116" i="16"/>
  <c r="P139" i="17"/>
  <c r="P141" i="17" s="1"/>
  <c r="P143" i="17" s="1"/>
  <c r="S141" i="15"/>
  <c r="V100" i="5"/>
  <c r="T100" i="5"/>
  <c r="P102" i="5"/>
  <c r="C6" i="5"/>
  <c r="L6" i="5" s="1"/>
  <c r="S140" i="16"/>
  <c r="C7" i="5" l="1"/>
  <c r="V99" i="5"/>
  <c r="S139" i="17"/>
  <c r="T99" i="5"/>
  <c r="P6" i="5"/>
  <c r="P7" i="5" s="1"/>
  <c r="S102" i="5"/>
  <c r="S116" i="16"/>
  <c r="T139" i="17" l="1"/>
  <c r="S141" i="17"/>
  <c r="V102" i="5"/>
  <c r="S6" i="5"/>
  <c r="T102" i="5"/>
  <c r="V6" i="5" l="1"/>
  <c r="S7" i="5"/>
  <c r="T6" i="5"/>
  <c r="S143" i="17"/>
  <c r="T141" i="17"/>
  <c r="L6" i="3"/>
  <c r="L102" i="3"/>
  <c r="L99" i="3"/>
  <c r="C86" i="17"/>
  <c r="C126" i="16"/>
  <c r="C132" i="16"/>
  <c r="C104" i="3"/>
  <c r="P101" i="3"/>
  <c r="P86" i="17" s="1"/>
  <c r="V7" i="5" l="1"/>
  <c r="T7" i="5"/>
  <c r="S101" i="3"/>
  <c r="P126" i="16"/>
  <c r="C100" i="3"/>
  <c r="D107" i="3"/>
  <c r="S126" i="16" l="1"/>
  <c r="P132" i="16"/>
  <c r="S132" i="16" s="1"/>
  <c r="T101" i="3"/>
  <c r="V101" i="3"/>
  <c r="S86" i="17"/>
  <c r="T86" i="17" s="1"/>
  <c r="C138" i="16"/>
  <c r="C144" i="16" s="1"/>
  <c r="C21" i="16" s="1"/>
  <c r="C161" i="9"/>
  <c r="L161" i="9" s="1"/>
  <c r="C99" i="3"/>
  <c r="C139" i="15"/>
  <c r="C145" i="15" s="1"/>
  <c r="C22" i="15" s="1"/>
  <c r="P100" i="3"/>
  <c r="P161" i="9" l="1"/>
  <c r="S161" i="9" s="1"/>
  <c r="V161" i="9" s="1"/>
  <c r="C146" i="9"/>
  <c r="L146" i="9" s="1"/>
  <c r="P99" i="3"/>
  <c r="C102" i="3"/>
  <c r="C114" i="16"/>
  <c r="C120" i="16" s="1"/>
  <c r="C20" i="16" s="1"/>
  <c r="C85" i="17"/>
  <c r="C87" i="17" s="1"/>
  <c r="C89" i="17" s="1"/>
  <c r="S100" i="3"/>
  <c r="P139" i="15"/>
  <c r="P145" i="15" s="1"/>
  <c r="P22" i="15" s="1"/>
  <c r="P138" i="16"/>
  <c r="C36" i="11"/>
  <c r="P36" i="11" s="1"/>
  <c r="S36" i="11" s="1"/>
  <c r="C18" i="11"/>
  <c r="P85" i="17" l="1"/>
  <c r="P87" i="17" s="1"/>
  <c r="P89" i="17" s="1"/>
  <c r="P114" i="16"/>
  <c r="S99" i="3"/>
  <c r="C17" i="11"/>
  <c r="C22" i="16"/>
  <c r="S138" i="16"/>
  <c r="P144" i="16"/>
  <c r="P146" i="9"/>
  <c r="S146" i="9" s="1"/>
  <c r="V146" i="9" s="1"/>
  <c r="C145" i="9"/>
  <c r="V100" i="3"/>
  <c r="S139" i="15"/>
  <c r="S145" i="15" s="1"/>
  <c r="S22" i="15" s="1"/>
  <c r="T100" i="3"/>
  <c r="C6" i="3"/>
  <c r="P102" i="3"/>
  <c r="T161" i="9"/>
  <c r="L145" i="9" l="1"/>
  <c r="P145" i="9"/>
  <c r="C7" i="3"/>
  <c r="T7" i="3" s="1"/>
  <c r="S144" i="16"/>
  <c r="P21" i="16"/>
  <c r="C9" i="16"/>
  <c r="P9" i="16" s="1"/>
  <c r="S9" i="16" s="1"/>
  <c r="S114" i="16"/>
  <c r="P120" i="16"/>
  <c r="C125" i="15"/>
  <c r="C133" i="15" s="1"/>
  <c r="C21" i="15" s="1"/>
  <c r="C21" i="17"/>
  <c r="C168" i="9"/>
  <c r="P168" i="9" s="1"/>
  <c r="S168" i="9" s="1"/>
  <c r="C197" i="9"/>
  <c r="S85" i="17"/>
  <c r="V99" i="3"/>
  <c r="T99" i="3"/>
  <c r="P6" i="3"/>
  <c r="P7" i="3" s="1"/>
  <c r="S102" i="3"/>
  <c r="V22" i="15"/>
  <c r="T22" i="15"/>
  <c r="T146" i="9"/>
  <c r="C19" i="11"/>
  <c r="S145" i="9" l="1"/>
  <c r="P125" i="15"/>
  <c r="P133" i="15" s="1"/>
  <c r="P197" i="9"/>
  <c r="C22" i="17"/>
  <c r="C35" i="17" s="1"/>
  <c r="P21" i="17"/>
  <c r="S87" i="17"/>
  <c r="T85" i="17"/>
  <c r="C209" i="9"/>
  <c r="C206" i="9"/>
  <c r="S120" i="16"/>
  <c r="P20" i="16"/>
  <c r="S21" i="16"/>
  <c r="P18" i="11"/>
  <c r="S6" i="3"/>
  <c r="V102" i="3"/>
  <c r="T102" i="3"/>
  <c r="P21" i="15"/>
  <c r="C35" i="11"/>
  <c r="C23" i="15"/>
  <c r="V9" i="16"/>
  <c r="T9" i="16"/>
  <c r="L168" i="9"/>
  <c r="T168" i="9"/>
  <c r="C9" i="9"/>
  <c r="P9" i="9" s="1"/>
  <c r="V168" i="9"/>
  <c r="P209" i="9" l="1"/>
  <c r="P206" i="9"/>
  <c r="S125" i="15"/>
  <c r="S133" i="15" s="1"/>
  <c r="S197" i="9"/>
  <c r="V145" i="9"/>
  <c r="T145" i="9"/>
  <c r="S9" i="9"/>
  <c r="S200" i="9" s="1"/>
  <c r="P200" i="9"/>
  <c r="S21" i="15"/>
  <c r="P23" i="15"/>
  <c r="C37" i="11"/>
  <c r="P35" i="11"/>
  <c r="S21" i="17"/>
  <c r="P22" i="17"/>
  <c r="P35" i="17" s="1"/>
  <c r="C200" i="9"/>
  <c r="L9" i="9"/>
  <c r="C9" i="15"/>
  <c r="P9" i="15" s="1"/>
  <c r="S9" i="15" s="1"/>
  <c r="V21" i="16"/>
  <c r="S18" i="11"/>
  <c r="V18" i="11" s="1"/>
  <c r="T21" i="16"/>
  <c r="S20" i="16"/>
  <c r="P22" i="16"/>
  <c r="S22" i="16" s="1"/>
  <c r="P17" i="11"/>
  <c r="P19" i="11" s="1"/>
  <c r="V6" i="3"/>
  <c r="S7" i="3"/>
  <c r="V7" i="3" s="1"/>
  <c r="T6" i="3"/>
  <c r="T87" i="17"/>
  <c r="S89" i="17"/>
  <c r="S209" i="9" l="1"/>
  <c r="S206" i="9"/>
  <c r="T9" i="9"/>
  <c r="V9" i="9"/>
  <c r="V22" i="16"/>
  <c r="T22" i="16"/>
  <c r="C41" i="11"/>
  <c r="T21" i="17"/>
  <c r="S22" i="17"/>
  <c r="V20" i="16"/>
  <c r="S17" i="11"/>
  <c r="T20" i="16"/>
  <c r="T9" i="15"/>
  <c r="L9" i="15"/>
  <c r="V9" i="15"/>
  <c r="P37" i="11"/>
  <c r="P41" i="11" s="1"/>
  <c r="S35" i="11"/>
  <c r="S23" i="15"/>
  <c r="V21" i="15"/>
  <c r="T21" i="15"/>
  <c r="V23" i="15" l="1"/>
  <c r="T23" i="15"/>
  <c r="V35" i="11"/>
  <c r="S37" i="11"/>
  <c r="T35" i="11"/>
  <c r="T22" i="17"/>
  <c r="S35" i="17"/>
  <c r="S19" i="11"/>
  <c r="V17" i="11"/>
  <c r="T17" i="11"/>
  <c r="V37" i="11" l="1"/>
  <c r="T37" i="11"/>
  <c r="V19" i="11"/>
  <c r="S41" i="11"/>
  <c r="T19" i="11"/>
  <c r="V41" i="11" l="1"/>
  <c r="T41" i="11"/>
</calcChain>
</file>

<file path=xl/comments1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porszívó, vérnyomásmérő, mosógép
</t>
        </r>
      </text>
    </comment>
  </commentList>
</comments>
</file>

<file path=xl/comments2.xml><?xml version="1.0" encoding="utf-8"?>
<comments xmlns="http://schemas.openxmlformats.org/spreadsheetml/2006/main">
  <authors>
    <author>Smidtné Nagy Terézia</author>
  </authors>
  <commentList>
    <comment ref="C81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+3000.000,-Ft rehabilitációs hozzájárulás
</t>
        </r>
      </text>
    </comment>
  </commentList>
</comments>
</file>

<file path=xl/comments3.xml><?xml version="1.0" encoding="utf-8"?>
<comments xmlns="http://schemas.openxmlformats.org/spreadsheetml/2006/main">
  <authors>
    <author>Smidtné Nagy Terézia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élélmiszer, tisztítószer, + pellet, kinti játékok, szőnyegek, textilek
</t>
        </r>
      </text>
    </comment>
    <comment ref="B58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bejárat, sütő, árnyékolás, csapok</t>
        </r>
      </text>
    </comment>
  </commentList>
</comments>
</file>

<file path=xl/comments4.xml><?xml version="1.0" encoding="utf-8"?>
<comments xmlns="http://schemas.openxmlformats.org/spreadsheetml/2006/main">
  <authors>
    <author>Smidtné Nagy Terézia</author>
  </authors>
  <commentList>
    <comment ref="B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telefonközpont, laptop
</t>
        </r>
      </text>
    </comment>
  </commentList>
</comments>
</file>

<file path=xl/comments5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Laptop intézményvezető
</t>
        </r>
      </text>
    </comment>
  </commentList>
</comments>
</file>

<file path=xl/sharedStrings.xml><?xml version="1.0" encoding="utf-8"?>
<sst xmlns="http://schemas.openxmlformats.org/spreadsheetml/2006/main" count="3817" uniqueCount="1545">
  <si>
    <t>K1</t>
  </si>
  <si>
    <t>K11</t>
  </si>
  <si>
    <t>K1101</t>
  </si>
  <si>
    <t>Személyi juttatások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</si>
  <si>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</si>
  <si>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</si>
  <si>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</si>
  <si>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</si>
  <si>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</si>
  <si>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</si>
  <si>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K1105</t>
  </si>
  <si>
    <t>K1107</t>
  </si>
  <si>
    <t>K1108</t>
  </si>
  <si>
    <t>K1109</t>
  </si>
  <si>
    <t>K1110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</si>
  <si>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</si>
  <si>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</si>
  <si>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</si>
  <si>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</si>
  <si>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</si>
  <si>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</si>
  <si>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</si>
  <si>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</si>
  <si>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</si>
  <si>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</si>
  <si>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</si>
  <si>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</si>
  <si>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</si>
  <si>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</si>
  <si>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</si>
  <si>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</si>
  <si>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</si>
  <si>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</si>
  <si>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</si>
  <si>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</si>
  <si>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</si>
  <si>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</si>
  <si>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</si>
  <si>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</si>
  <si>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</si>
  <si>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</si>
  <si>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</si>
  <si>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</si>
  <si>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</si>
  <si>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</si>
  <si>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</si>
  <si>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</si>
  <si>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</si>
  <si>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</si>
  <si>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</si>
  <si>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</si>
  <si>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</si>
  <si>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</si>
  <si>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</si>
  <si>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</si>
  <si>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</si>
  <si>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</si>
  <si>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</si>
  <si>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</si>
  <si>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</si>
  <si>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</si>
  <si>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</si>
  <si>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</si>
  <si>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</si>
  <si>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</si>
  <si>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</si>
  <si>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</si>
  <si>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</si>
  <si>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</si>
  <si>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</si>
  <si>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</si>
  <si>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</si>
  <si>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</si>
  <si>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</si>
  <si>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</si>
  <si>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</si>
  <si>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</si>
  <si>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</si>
  <si>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</si>
  <si>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</si>
  <si>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</si>
  <si>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</si>
  <si>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</si>
  <si>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</si>
  <si>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</si>
  <si>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</si>
  <si>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</si>
  <si>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</si>
  <si>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</si>
  <si>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</si>
  <si>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</si>
  <si>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</si>
  <si>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</si>
  <si>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</si>
  <si>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</si>
  <si>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</si>
  <si>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</si>
  <si>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</si>
  <si>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</si>
  <si>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</si>
  <si>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</si>
  <si>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</si>
  <si>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</si>
  <si>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</si>
  <si>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</si>
  <si>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</si>
  <si>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</si>
  <si>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</si>
  <si>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</si>
  <si>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</si>
  <si>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</si>
  <si>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</si>
  <si>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</si>
  <si>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</si>
  <si>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</si>
  <si>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</si>
  <si>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</si>
  <si>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</si>
  <si>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</si>
  <si>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</si>
  <si>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</si>
  <si>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</si>
  <si>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</si>
  <si>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</si>
  <si>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</si>
  <si>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</si>
  <si>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</si>
  <si>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</si>
  <si>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</si>
  <si>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</si>
  <si>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</si>
  <si>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</si>
  <si>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</si>
  <si>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</si>
  <si>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</si>
  <si>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</si>
  <si>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</si>
  <si>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</si>
  <si>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</si>
  <si>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</si>
  <si>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</si>
  <si>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</si>
  <si>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</si>
  <si>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</si>
  <si>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</si>
  <si>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</si>
  <si>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</si>
  <si>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</si>
  <si>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</si>
  <si>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</si>
  <si>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</si>
  <si>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</si>
  <si>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</si>
  <si>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</si>
  <si>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</si>
  <si>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</si>
  <si>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</si>
  <si>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</si>
  <si>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</si>
  <si>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</si>
  <si>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</si>
  <si>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</si>
  <si>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</si>
  <si>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</si>
  <si>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</si>
  <si>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</si>
  <si>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</si>
  <si>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</si>
  <si>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</si>
  <si>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</si>
  <si>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</si>
  <si>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</si>
  <si>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</si>
  <si>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</si>
  <si>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</si>
  <si>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</si>
  <si>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</si>
  <si>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</si>
  <si>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</si>
  <si>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</si>
  <si>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</si>
  <si>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</si>
  <si>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</si>
  <si>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</si>
  <si>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</si>
  <si>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</si>
  <si>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</si>
  <si>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</si>
  <si>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</si>
  <si>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</si>
  <si>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</si>
  <si>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</si>
  <si>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</si>
  <si>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</si>
  <si>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</si>
  <si>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</si>
  <si>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</si>
  <si>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</si>
  <si>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</si>
  <si>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</si>
  <si>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</si>
  <si>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</si>
  <si>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</si>
  <si>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</si>
  <si>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</si>
  <si>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</si>
  <si>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</si>
  <si>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</si>
  <si>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</si>
  <si>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</si>
  <si>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</si>
  <si>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</si>
  <si>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</si>
  <si>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</si>
  <si>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</si>
  <si>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</si>
  <si>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</si>
  <si>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</si>
  <si>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</si>
  <si>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</si>
  <si>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</si>
  <si>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</si>
  <si>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</si>
  <si>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</si>
  <si>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</si>
  <si>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</si>
  <si>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</si>
  <si>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</si>
  <si>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</si>
  <si>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</si>
  <si>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</si>
  <si>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</si>
  <si>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</si>
  <si>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</si>
  <si>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</si>
  <si>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</si>
  <si>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</si>
  <si>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</si>
  <si>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</si>
  <si>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</si>
  <si>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</si>
  <si>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</si>
  <si>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</si>
  <si>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</si>
  <si>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</si>
  <si>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</si>
  <si>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</si>
  <si>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</si>
  <si>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</si>
  <si>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</si>
  <si>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</si>
  <si>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</si>
  <si>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</si>
  <si>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</si>
  <si>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</si>
  <si>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</si>
  <si>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</si>
  <si>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</si>
  <si>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</si>
  <si>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</si>
  <si>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</si>
  <si>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</si>
  <si>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</si>
  <si>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</si>
  <si>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</si>
  <si>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</si>
  <si>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</si>
  <si>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</si>
  <si>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</si>
  <si>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</si>
  <si>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építményadó, telekadó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</si>
  <si>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</si>
  <si>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</si>
  <si>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</si>
  <si>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</si>
  <si>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</si>
  <si>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</si>
  <si>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</si>
  <si>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</si>
  <si>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</si>
  <si>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</si>
  <si>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</si>
  <si>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</si>
  <si>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</si>
  <si>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</si>
  <si>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</si>
  <si>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</si>
  <si>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</si>
  <si>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</si>
  <si>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</si>
  <si>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</si>
  <si>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</si>
  <si>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</si>
  <si>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</si>
  <si>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</si>
  <si>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</si>
  <si>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</si>
  <si>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</si>
  <si>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</si>
  <si>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</si>
  <si>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</si>
  <si>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</si>
  <si>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</si>
  <si>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</si>
  <si>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</si>
  <si>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</si>
  <si>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</si>
  <si>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</si>
  <si>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</si>
  <si>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</si>
  <si>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</si>
  <si>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</si>
  <si>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</si>
  <si>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</si>
  <si>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</si>
  <si>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</si>
  <si>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</si>
  <si>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</si>
  <si>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</si>
  <si>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</si>
  <si>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B62</t>
  </si>
  <si>
    <t>Működési célú cisszatérítendő támogatások, kölcsönök visszatérülése államháztartáson kívülről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</si>
  <si>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</si>
  <si>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</si>
  <si>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</si>
  <si>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</si>
  <si>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</si>
  <si>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</si>
  <si>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</si>
  <si>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</si>
  <si>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</si>
  <si>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</si>
  <si>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</si>
  <si>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</si>
  <si>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</si>
  <si>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</si>
  <si>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</si>
  <si>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</si>
  <si>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</si>
  <si>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</si>
  <si>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</si>
  <si>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</si>
  <si>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</si>
  <si>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</si>
  <si>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</si>
  <si>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</si>
  <si>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</si>
  <si>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</si>
  <si>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</si>
  <si>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</si>
  <si>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</si>
  <si>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</si>
  <si>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</si>
  <si>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</si>
  <si>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</si>
  <si>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</si>
  <si>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</si>
  <si>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</si>
  <si>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</si>
  <si>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</si>
  <si>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</si>
  <si>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</si>
  <si>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</si>
  <si>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</si>
  <si>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</si>
  <si>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</si>
  <si>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</si>
  <si>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</si>
  <si>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</si>
  <si>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</si>
  <si>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</si>
  <si>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</si>
  <si>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</si>
  <si>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</si>
  <si>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</si>
  <si>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</si>
  <si>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</si>
  <si>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</si>
  <si>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</si>
  <si>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</si>
  <si>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</si>
  <si>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</si>
  <si>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</si>
  <si>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Központi, irányító szervi támogatás</t>
  </si>
  <si>
    <t>K513</t>
  </si>
  <si>
    <t>B16-01</t>
  </si>
  <si>
    <t>Egyéb működési támogatás</t>
  </si>
  <si>
    <t>Tárgyi eszközök bérbeadásából származó bevétel</t>
  </si>
  <si>
    <t>B16-02</t>
  </si>
  <si>
    <t>B16-03</t>
  </si>
  <si>
    <t>Egyéb műk. c. tám. elkülönített állami pénzalaptól</t>
  </si>
  <si>
    <t>Működési c. támogatások államháztartáson belülről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</si>
  <si>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</si>
  <si>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</si>
  <si>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</si>
  <si>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</si>
  <si>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</si>
  <si>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</si>
  <si>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</si>
  <si>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</si>
  <si>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</si>
  <si>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</si>
  <si>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</si>
  <si>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</si>
  <si>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</si>
  <si>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</si>
  <si>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</si>
  <si>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</si>
  <si>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</si>
  <si>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t>Felhalmozási célú visszatérítendő támogatások, kölcsönök igénybevétele államháztartáson belülről</t>
  </si>
  <si>
    <t>REALIZÁLÁS</t>
  </si>
  <si>
    <t>%-ban</t>
  </si>
  <si>
    <t>Ft-ban</t>
  </si>
  <si>
    <r>
      <t xml:space="preserve">előirányzatok változása az </t>
    </r>
    <r>
      <rPr>
        <b/>
        <u/>
        <sz val="9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</si>
  <si>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rovat</t>
  </si>
  <si>
    <t>BEVÉTELEI</t>
  </si>
  <si>
    <t>KIADÁSAI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</si>
  <si>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</si>
  <si>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</si>
  <si>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</si>
  <si>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</si>
  <si>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</si>
  <si>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</si>
  <si>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</si>
  <si>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</si>
  <si>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</si>
  <si>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</si>
  <si>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</si>
  <si>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</si>
  <si>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</si>
  <si>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</si>
  <si>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</si>
  <si>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</si>
  <si>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</si>
  <si>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</si>
  <si>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</si>
  <si>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</si>
  <si>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</si>
  <si>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</si>
  <si>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</si>
  <si>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</si>
  <si>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</si>
  <si>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</si>
  <si>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</si>
  <si>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</si>
  <si>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</si>
  <si>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</si>
  <si>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</si>
  <si>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</si>
  <si>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</si>
  <si>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</si>
  <si>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</si>
  <si>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Csicsergő Napköziotthonos Óvoda</t>
  </si>
  <si>
    <t>Gólyahír Bőlcsőde</t>
  </si>
  <si>
    <t>BEVÉTELI SEGÉDTÁBLA</t>
  </si>
  <si>
    <t>B63</t>
  </si>
  <si>
    <t>Dr. Gáspár István HSZK</t>
  </si>
  <si>
    <t>Egyéb működési bevételek és kapott kamatok</t>
  </si>
  <si>
    <t>B411,B408</t>
  </si>
  <si>
    <t>SÜLYSÁPI CSICSERGŐ ÓVODA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</si>
  <si>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</si>
  <si>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</si>
  <si>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</si>
  <si>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Felhalmozási célú önkormányzati támogatások </t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</si>
  <si>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</si>
  <si>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t>Dr Gáspár HSZK</t>
  </si>
  <si>
    <t>Sülysápi Csicsergő Óvoda</t>
  </si>
  <si>
    <t>Sülysáp Város Önkormányzata</t>
  </si>
  <si>
    <t>Önkormányzatnál kapott támogatás (B113)</t>
  </si>
  <si>
    <t>Önkormányzatnál kapott támogatás (B112)</t>
  </si>
  <si>
    <t>a 2018.12.31-i a 2018.09.30-ihoz képest</t>
  </si>
  <si>
    <t>B113 (III.2. A települési önkormányzatok
szociális feladatainak egyéb
támogatása)</t>
  </si>
  <si>
    <t>Önkormányzatnál kapott támogatás (házi segítségnyújtás, időskorúak nap el., szoc étk) (B113)</t>
  </si>
  <si>
    <t>2018.</t>
  </si>
  <si>
    <t>Áru és készletértékesítés ellenértéke</t>
  </si>
  <si>
    <t>Elláttotak pénzbeli juttatásai</t>
  </si>
  <si>
    <t>Sülysáp Város Önkormányzata és Intézményei</t>
  </si>
  <si>
    <t>Sülysáp Város Önkormányzata és intézményei</t>
  </si>
  <si>
    <t>Önkormányzatnál a kapott támogatás (B114)</t>
  </si>
  <si>
    <t>Önkormányzat önerőből adott támogatásása</t>
  </si>
  <si>
    <t>B408, B411</t>
  </si>
  <si>
    <t>Kamatbevételek, Egyéb működési bevételek</t>
  </si>
  <si>
    <t>B402, B405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</si>
  <si>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</si>
  <si>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2019.01.01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</si>
  <si>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2019.06.30</t>
    </r>
  </si>
  <si>
    <r>
      <t xml:space="preserve">Módosított előirányzat </t>
    </r>
    <r>
      <rPr>
        <b/>
        <sz val="12"/>
        <rFont val="Arial"/>
        <family val="2"/>
        <charset val="238"/>
      </rPr>
      <t>2019.09.30</t>
    </r>
  </si>
  <si>
    <r>
      <rPr>
        <b/>
        <sz val="12"/>
        <rFont val="Arial"/>
        <family val="2"/>
        <charset val="238"/>
      </rPr>
      <t>2019.06.30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</si>
  <si>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2019.09.30-ig tényleges felhasználás</t>
  </si>
  <si>
    <r>
      <t>2019.06.30-i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</si>
  <si>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2019.09.30-i felhasználás </t>
    </r>
    <r>
      <rPr>
        <b/>
        <u/>
        <sz val="8"/>
        <rFont val="Arial"/>
        <family val="2"/>
        <charset val="238"/>
      </rPr>
      <t>2019.06.30-i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</si>
  <si>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2019.06.30-i</t>
    </r>
    <r>
      <rPr>
        <b/>
        <sz val="10"/>
        <rFont val="Arial"/>
        <family val="2"/>
        <charset val="238"/>
      </rPr>
      <t xml:space="preserve"> az eredetihez képest</t>
    </r>
  </si>
  <si>
    <t>a 2019.09.30-i a 2019.06.30-ihoz képest</t>
  </si>
  <si>
    <t>2019.</t>
  </si>
  <si>
    <t>PM_EUALAPELLÁTÁS_Egészségház</t>
  </si>
  <si>
    <t>Külterületi utak támogatás</t>
  </si>
  <si>
    <t>Tartalékok (Iparterület beruházás 2020. kiadásai)</t>
  </si>
  <si>
    <r>
      <rPr>
        <b/>
        <sz val="12"/>
        <rFont val="Arial"/>
        <family val="2"/>
        <charset val="238"/>
      </rPr>
      <t>2019.06.30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</si>
  <si>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2019.09.30-ig tényleges realizálás</t>
  </si>
  <si>
    <r>
      <t>2019.06.30-i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</si>
  <si>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2019.09.30-i realizálás </t>
    </r>
    <r>
      <rPr>
        <b/>
        <u/>
        <sz val="8"/>
        <rFont val="Arial"/>
        <family val="2"/>
        <charset val="238"/>
      </rPr>
      <t>2019.06.30-i módosított</t>
    </r>
    <r>
      <rPr>
        <b/>
        <sz val="8"/>
        <rFont val="Arial"/>
        <family val="2"/>
        <charset val="238"/>
      </rPr>
      <t xml:space="preserve"> előir-hoz képest</t>
    </r>
  </si>
  <si>
    <t>2019.12.31-ig tényleges felhasználás</t>
  </si>
  <si>
    <r>
      <t xml:space="preserve">Módosított előirányzat </t>
    </r>
    <r>
      <rPr>
        <b/>
        <sz val="12"/>
        <rFont val="Arial"/>
        <family val="2"/>
        <charset val="238"/>
      </rPr>
      <t>2019.12.31</t>
    </r>
  </si>
  <si>
    <r>
      <t xml:space="preserve">2019.12.31-i felhasználás </t>
    </r>
    <r>
      <rPr>
        <b/>
        <u/>
        <sz val="8"/>
        <rFont val="Arial"/>
        <family val="2"/>
        <charset val="238"/>
      </rPr>
      <t>2019.09.30-i módosított</t>
    </r>
    <r>
      <rPr>
        <b/>
        <sz val="8"/>
        <rFont val="Arial"/>
        <family val="2"/>
        <charset val="238"/>
      </rPr>
      <t xml:space="preserve"> előir-hoz képest</t>
    </r>
  </si>
  <si>
    <t>Piac támogatása, Dózsa Gy. Út feljítás tám.</t>
  </si>
  <si>
    <t xml:space="preserve"> </t>
  </si>
  <si>
    <t>ebrendészeti hozzájárulás, bírságok, mezőőri járulék, talajterhelési díj</t>
  </si>
  <si>
    <t>K1103, K1104</t>
  </si>
  <si>
    <t>Egyéb működési célú átvett pénzeszközök (Tám. visszafizetése), Működési célú kölcsönök visszafizetése</t>
  </si>
  <si>
    <t>a 2019.06.30-i az eredetihez képest</t>
  </si>
  <si>
    <t>a 2019.12.31-i a 2019.09.30-ihoz képest</t>
  </si>
  <si>
    <t>2019.12.31-i felhasználás 2019.09.30-i módosított előir-hoz képest</t>
  </si>
  <si>
    <t>Módosított előirányzat 2019.12.31</t>
  </si>
  <si>
    <t>2019.12.31-ig tényleges realizálás</t>
  </si>
  <si>
    <t>2019.12.31-i realizálás 2019.09.30-i módosított előir-hoz képest</t>
  </si>
  <si>
    <t>K1107, K1112</t>
  </si>
  <si>
    <t>Béren kívüli juttatások -cafetéria, támogatás</t>
  </si>
  <si>
    <t>Készentléti, ügyeleti, helyettesítési díj, túlóra; céljuttatás</t>
  </si>
  <si>
    <t xml:space="preserve">   Ebből: Elkülönített állami pénzalapok (közfoglalkoztatás)</t>
  </si>
  <si>
    <t xml:space="preserve">   Ebből: Egyéb fejezet kezelésű előirányzatok (mezőőri tám., nyári diákmunka tám., Bursa, illegális szemétlerakó megszün. tám.)</t>
  </si>
  <si>
    <t xml:space="preserve">   Ebből: társadalombiztosítás pénzügyi alapjai (OEP-től vődőnői feladatokra)</t>
  </si>
  <si>
    <t>B410, B411</t>
  </si>
  <si>
    <t>K1112, K1113</t>
  </si>
  <si>
    <t>Foglalkoztatottak egyéb személyi juttatásai, Szoc. tám.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</si>
  <si>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</si>
  <si>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</si>
  <si>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</si>
  <si>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</si>
  <si>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01</t>
  </si>
  <si>
    <t>2. melléklet I.5. A költségvetési szerveknél foglalkoztatottak 2018. évi áthúzódó és 2019. évi kompenzációja</t>
  </si>
  <si>
    <t>02</t>
  </si>
  <si>
    <t>2. melléklet I.6. Polgármesteri illetmény támogatása</t>
  </si>
  <si>
    <t>03</t>
  </si>
  <si>
    <t>2. melléklet III.1. Szociális ágazati  összevont pótlék és egészségügyi kiegészítő pótlék</t>
  </si>
  <si>
    <t>04</t>
  </si>
  <si>
    <t>2. melléklet III.2. A települési önkormányzatok szociális feladatainak egyéb támogatása</t>
  </si>
  <si>
    <t>08</t>
  </si>
  <si>
    <t>2. melléklet IV.1.d) Települési önkormányzatok nyilvános könyvtári és közművelődési feladatainak támogatása</t>
  </si>
  <si>
    <t>14</t>
  </si>
  <si>
    <t>2. melléklet IV.1. Könyvtári, közművelődési és múzeumi feladatok támogatása (5+…+13)</t>
  </si>
  <si>
    <t>19</t>
  </si>
  <si>
    <t>2. melléklet IV.3. Kulturális illetménypótlék</t>
  </si>
  <si>
    <t>34</t>
  </si>
  <si>
    <t>3. melléklet I.12. Kiegyenlítő bérrendezési alap</t>
  </si>
  <si>
    <t>35</t>
  </si>
  <si>
    <t>3. melléklet I. Helyi önkormányzatok működési célú költségvetési támogatásai összesen (20+….+ 34)</t>
  </si>
  <si>
    <t>39</t>
  </si>
  <si>
    <t>3. melléklet II.2.c) Belterületi utak, járdák, hidak felújítása</t>
  </si>
  <si>
    <t>41</t>
  </si>
  <si>
    <t>3. melléklet II.4.a) Közművelődési érdekeltségnövelő támogatás</t>
  </si>
  <si>
    <t>43</t>
  </si>
  <si>
    <t>3. melléklet II.4.c) Muzeális intézmények szakmai támogatása (Kubinyi Ágoston Program)</t>
  </si>
  <si>
    <t>60</t>
  </si>
  <si>
    <t>3. melléklet II. Helyi önkormányzatok felhalmozási célú költségvetési támogatásai összesen (36+…+59)</t>
  </si>
  <si>
    <t>92</t>
  </si>
  <si>
    <t>37. cím A minimálbér és a garantált bérminimum emelés hatásának kompenzációja</t>
  </si>
  <si>
    <t>106</t>
  </si>
  <si>
    <t>Mindösszesen (=1+2+3+4+14+18+19+35+60+…+105)</t>
  </si>
  <si>
    <t>A helyi önkormányzatok kiegészítő támogatásainak és egyéb kötött felhasználású támogatásainak elszámolása</t>
  </si>
  <si>
    <r>
      <t xml:space="preserve">2019.12.31-i realizálás </t>
    </r>
    <r>
      <rPr>
        <b/>
        <u/>
        <sz val="8"/>
        <rFont val="Arial"/>
        <family val="2"/>
        <charset val="238"/>
      </rPr>
      <t>2019.09.30-i módosított</t>
    </r>
    <r>
      <rPr>
        <b/>
        <sz val="8"/>
        <rFont val="Arial"/>
        <family val="2"/>
        <charset val="238"/>
      </rPr>
      <t xml:space="preserve"> előir-hoz képest</t>
    </r>
  </si>
  <si>
    <t>10. Melléklet</t>
  </si>
  <si>
    <t>2019. ÉVI ZÁRSZÁMADÁS</t>
  </si>
  <si>
    <t>Költségvetési törvény szerint igényelt támogatás</t>
  </si>
  <si>
    <t>Támogatás évközi változása - Május 15.</t>
  </si>
  <si>
    <t>Támogatás évközi változása - Október 7.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</si>
  <si>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</si>
  <si>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</si>
  <si>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</si>
  <si>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 (6. és 8. oszlop közül a kisebb érték)</t>
  </si>
  <si>
    <t>Többlettámogatás (ha a 7-6+9 &gt;0, akkor 7-6+9; egyébként 0)</t>
  </si>
  <si>
    <t>Visszafizetési kötelezettség (ha a 7-6+9 &lt;0, akkor 7-6+9 abszolútértéke; egyébként 0)</t>
  </si>
  <si>
    <t>11/A 92. sor szerinti 37. A minimálbér és a garantált bérminimum emelés hatásának kompenzációja címen nyújtott támogatás</t>
  </si>
  <si>
    <t>12. oszlop szerinti támogatásból az adott célra december 31-ig ténylegesen felhasznált összeg</t>
  </si>
  <si>
    <t>11/A 84. sor szerinti 29. A nappali melegedők hosszított nyitvatartásának támogatása címen nyújtott támogatás</t>
  </si>
  <si>
    <t>14. oszlop szerinti támogatásból az adott célra december 31-ig ténylegesen felhasznált összeg</t>
  </si>
  <si>
    <t>11/A 90. sor szerinti 35. A falu- és tanyagondnoki szolgálatok kiegészítő támogatása címen nyújtott támogatás</t>
  </si>
  <si>
    <t>16. oszlop szerinti támogatásból az adott célra december 31-ig ténylegesen felhasznált összeg</t>
  </si>
  <si>
    <t>I.1. A települési  önkormányzatok működésének támogatása 09 01 01 01 00</t>
  </si>
  <si>
    <t>I.3. Határátkelőhelyek fenntartásának támogatása 09 01 01 03 00</t>
  </si>
  <si>
    <t>05</t>
  </si>
  <si>
    <t>II. A települési önkormányzatok egyes köznevelési feladatainak támogatása 09 01 02 00 00</t>
  </si>
  <si>
    <t>06</t>
  </si>
  <si>
    <t>III.3. Egyes szociális és gyermekjóléti feladatok támogatása - család és gyermekjóléti szolgálat/központ 09 01 03 03 01</t>
  </si>
  <si>
    <t>07</t>
  </si>
  <si>
    <t>III.3. Egyes szociális és gyermekjóléti feladatok támogatása - család és gyermekjóléti szolgálat/központ kivételével 09 01 03 03 02</t>
  </si>
  <si>
    <t>09</t>
  </si>
  <si>
    <t>III.5.a Intézményi gyermekétkeztetés támogatása 09 01 03 05 01</t>
  </si>
  <si>
    <t>10</t>
  </si>
  <si>
    <t>III.5.b Rászoruló gyermekek szünidei étkeztetése 09 01 03 05 02</t>
  </si>
  <si>
    <t>11</t>
  </si>
  <si>
    <t>III.6. Bölcsőde, mini bölcsőde támogatása 09 01 03 06 00</t>
  </si>
  <si>
    <t>12</t>
  </si>
  <si>
    <t>Összesen  (=1+…+11)</t>
  </si>
  <si>
    <t>11. Melléklet</t>
  </si>
  <si>
    <t>Az önkormányzatok általános, köznevelési és szociális feladataihoz kapcsolódó támogatások elszámolása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</si>
  <si>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</si>
  <si>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</si>
  <si>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</si>
  <si>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</si>
  <si>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</si>
  <si>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</si>
  <si>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</si>
  <si>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</si>
  <si>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</si>
  <si>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</si>
  <si>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</si>
  <si>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</si>
  <si>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</si>
  <si>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</si>
  <si>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</si>
  <si>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</si>
  <si>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29</t>
  </si>
  <si>
    <t>B/I/1 Vásárolt készletek</t>
  </si>
  <si>
    <t>32</t>
  </si>
  <si>
    <t>B/I/4  Befejezetlen termelés, félkész termékek, késztermékek</t>
  </si>
  <si>
    <t>B/I Készletek (=B/I/1+…+B/I/5)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</si>
  <si>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</si>
  <si>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</si>
  <si>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</si>
  <si>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</si>
  <si>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</si>
  <si>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</si>
  <si>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</si>
  <si>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</si>
  <si>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</si>
  <si>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</si>
  <si>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</si>
  <si>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</si>
  <si>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</si>
  <si>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</si>
  <si>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</si>
  <si>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</si>
  <si>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</si>
  <si>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</si>
  <si>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</si>
  <si>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</si>
  <si>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</si>
  <si>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</si>
  <si>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</si>
  <si>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</si>
  <si>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</si>
  <si>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</si>
  <si>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</si>
  <si>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</si>
  <si>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</si>
  <si>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</si>
  <si>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</si>
  <si>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81</t>
  </si>
  <si>
    <t>D/I/5b - ebből: költségvetési évben esedékes követelések ingatlanok értékesítésére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</si>
  <si>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</si>
  <si>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</si>
  <si>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</si>
  <si>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</si>
  <si>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</si>
  <si>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</si>
  <si>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D/I/7c - ebből: költségvetési évben esedékes követelések felhalmozási célú visszatérítendő támogatások, kölcsönök visszatérülésére államháztartáson kívülről</t>
  </si>
  <si>
    <t>101</t>
  </si>
  <si>
    <t>D/I Költségvetési évben esedékes követelések (=D/I/1+…+D/I/8)</t>
  </si>
  <si>
    <t>D/II/3 Költségvetési évet követően esedékes követelések közhatalmi bevételre (=D/II/3a+…+D/II/3f)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</si>
  <si>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</si>
  <si>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</si>
  <si>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</si>
  <si>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</si>
  <si>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142</t>
  </si>
  <si>
    <t>D/II Költségvetési évet követően esedékes követelések (=D/II/1+…+D/II/8)</t>
  </si>
  <si>
    <t>143</t>
  </si>
  <si>
    <t>D/III/1 Adott előlegek (=D/III/1a+…+D/III/1f)</t>
  </si>
  <si>
    <t>148</t>
  </si>
  <si>
    <t>D/III/1e - ebből: foglalkoztatottaknak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</si>
  <si>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</si>
  <si>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</si>
  <si>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</si>
  <si>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</si>
  <si>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</si>
  <si>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</si>
  <si>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</si>
  <si>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</si>
  <si>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</si>
  <si>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</si>
  <si>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</si>
  <si>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</si>
  <si>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</si>
  <si>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</si>
  <si>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</si>
  <si>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</si>
  <si>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</si>
  <si>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</si>
  <si>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</si>
  <si>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</si>
  <si>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</si>
  <si>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</si>
  <si>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</si>
  <si>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</si>
  <si>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</si>
  <si>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</si>
  <si>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</si>
  <si>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</si>
  <si>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</si>
  <si>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</si>
  <si>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</si>
  <si>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H/I/3 Költségvetési évben esedékes kötelezettségek dologi kiadásokra</t>
  </si>
  <si>
    <t>187</t>
  </si>
  <si>
    <t>H/I/4 Költségvetési évben esedékes kötelezettségek ellátottak pénzbeli juttatásaira</t>
  </si>
  <si>
    <t>188</t>
  </si>
  <si>
    <t>H/I/5 Költségvetési évben esedékes kötelezettségek egyéb működési célú kiadásokra (&gt;=H/I/5a+H/I/5b)</t>
  </si>
  <si>
    <t>191</t>
  </si>
  <si>
    <t>H/I/6 Költségvetési évben esedékes kötelezettségek beruházásokra</t>
  </si>
  <si>
    <t>192</t>
  </si>
  <si>
    <t>H/I/7 Költségvetési évben esedékes kötelezettségek felújításokra</t>
  </si>
  <si>
    <t>209</t>
  </si>
  <si>
    <t>H/I Költségvetési évben esedékes kötelezettségek (=H/I/1+…+H/I/9)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</si>
  <si>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</si>
  <si>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</si>
  <si>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</si>
  <si>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</si>
  <si>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</si>
  <si>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</si>
  <si>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</si>
  <si>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</si>
  <si>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</si>
  <si>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</si>
  <si>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243</t>
  </si>
  <si>
    <t>H/III Kötelezettség jellegű sajátos elszámolások (=H/III/1+…+H/III/10)</t>
  </si>
  <si>
    <t>244</t>
  </si>
  <si>
    <t>H) KÖTELEZETTSÉGEK (=H/I+H/II+H/III)</t>
  </si>
  <si>
    <t>246</t>
  </si>
  <si>
    <t>J/1 Eredményszemléletű bevételek passzív időbeli elhatárolása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</si>
  <si>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</si>
  <si>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</si>
  <si>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</si>
  <si>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</si>
  <si>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</si>
  <si>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</si>
  <si>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</si>
  <si>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</si>
  <si>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>Sülysáp Város Önkormányzatának  2019. évi mérlege</t>
  </si>
  <si>
    <t>2019. ÉVI ZÁRSZÁMADÁS 12. Melléklet</t>
  </si>
  <si>
    <t>A/I/1 Vagyoni értékű jogok</t>
  </si>
  <si>
    <t>72</t>
  </si>
  <si>
    <t>D/I/4c - ebből: költségvetési évben esedékes követelések ellátási díjakra</t>
  </si>
  <si>
    <t>2019. ÉVI ZÁRSZÁMADÁS 13. Melléklet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</si>
  <si>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</si>
  <si>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</si>
  <si>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</si>
  <si>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</si>
  <si>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</si>
  <si>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</si>
  <si>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</si>
  <si>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</si>
  <si>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</si>
  <si>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</si>
  <si>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</si>
  <si>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</si>
  <si>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</si>
  <si>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Értékesítés</t>
  </si>
  <si>
    <t>Hiány, selejtezés, megsemmisülés</t>
  </si>
  <si>
    <t>13</t>
  </si>
  <si>
    <t>Egyéb csökkenés</t>
  </si>
  <si>
    <t>Összes csökkenés (=09+…+13)</t>
  </si>
  <si>
    <t>15</t>
  </si>
  <si>
    <t>Bruttó érték összesen (=01+08-14)</t>
  </si>
  <si>
    <t>Terv szerinti értékcsökkenés nyitó állománya</t>
  </si>
  <si>
    <t>17</t>
  </si>
  <si>
    <t>Terv szerinti értékcsökkenés növekedése</t>
  </si>
  <si>
    <t>18</t>
  </si>
  <si>
    <t>Terv szerinti értékcsökkenés csökkenése</t>
  </si>
  <si>
    <t>Terv szerinti értékcsökkenés záró állománya  (=16+17-18)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</si>
  <si>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</si>
  <si>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</si>
  <si>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</si>
  <si>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</si>
  <si>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</si>
  <si>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</si>
  <si>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Kimutatás az immateriális javak, tárgyi eszközök koncesszióba, vagyonkezelésbe adott eszközök állományának alakulásáról</t>
  </si>
  <si>
    <t xml:space="preserve">Sülysáp Város Önkormányzat és intézményei </t>
  </si>
  <si>
    <t>2019. ÉV Zárszámadás - 14. Melléklet</t>
  </si>
  <si>
    <t>Vagyonkimutatás - 2019</t>
  </si>
  <si>
    <t>Értéktípus: Forint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</si>
  <si>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</si>
  <si>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</si>
  <si>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</si>
  <si>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</si>
  <si>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</si>
  <si>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</si>
  <si>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</si>
  <si>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</si>
  <si>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</si>
  <si>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</si>
  <si>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>A/ NEMZETI VAGYONBA TARTOZÓ BEFEKTETETT ESZKÖZÖK</t>
  </si>
  <si>
    <t>A</t>
  </si>
  <si>
    <t>6 447 575 207</t>
  </si>
  <si>
    <t>6 665 482 579</t>
  </si>
  <si>
    <t>103,38</t>
  </si>
  <si>
    <t>I. IMMATERIÁLIS JAVAK</t>
  </si>
  <si>
    <t>A/I</t>
  </si>
  <si>
    <t>2 160 124</t>
  </si>
  <si>
    <t>1 202 466</t>
  </si>
  <si>
    <t>55,67</t>
  </si>
  <si>
    <t>1. Vagyoni értékű jogok</t>
  </si>
  <si>
    <t>A/I/1</t>
  </si>
  <si>
    <t>100 364</t>
  </si>
  <si>
    <t>50 864</t>
  </si>
  <si>
    <t>50,68</t>
  </si>
  <si>
    <t>a) Forgalomképtelen törzsvagyon</t>
  </si>
  <si>
    <t>A/I/1/a</t>
  </si>
  <si>
    <t/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</si>
  <si>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</si>
  <si>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</si>
  <si>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</si>
  <si>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</si>
  <si>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</si>
  <si>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</si>
  <si>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</si>
  <si>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</si>
  <si>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2 059 760</t>
  </si>
  <si>
    <t>1 151 602</t>
  </si>
  <si>
    <t>55,91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</si>
  <si>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</si>
  <si>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</si>
  <si>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</si>
  <si>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</si>
  <si>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</si>
  <si>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</si>
  <si>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</si>
  <si>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</si>
  <si>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</si>
  <si>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</si>
  <si>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</si>
  <si>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</si>
  <si>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6 427 736 043</t>
  </si>
  <si>
    <t>6 646 601 073</t>
  </si>
  <si>
    <t>103,41</t>
  </si>
  <si>
    <t>1. Ingatlanok és kapcsolódó vagyoni értékű jogok</t>
  </si>
  <si>
    <t>A/II/1</t>
  </si>
  <si>
    <t>6 171 845 127</t>
  </si>
  <si>
    <t>6 272 066 011</t>
  </si>
  <si>
    <t>101,62</t>
  </si>
  <si>
    <t>A/II/1/a</t>
  </si>
  <si>
    <t>1 927 359 278</t>
  </si>
  <si>
    <t>2 038 038 621</t>
  </si>
  <si>
    <t>105,74</t>
  </si>
  <si>
    <t>A/II/1/b</t>
  </si>
  <si>
    <t>24 312 000</t>
  </si>
  <si>
    <t>23 701 463</t>
  </si>
  <si>
    <t>97,49</t>
  </si>
  <si>
    <t>A/II/1/c</t>
  </si>
  <si>
    <t>3 579 309 978</t>
  </si>
  <si>
    <t>3 581 563 470</t>
  </si>
  <si>
    <t>100,06</t>
  </si>
  <si>
    <t>A/II/1/d</t>
  </si>
  <si>
    <t>640 863 871</t>
  </si>
  <si>
    <t>628 762 457</t>
  </si>
  <si>
    <t>98,11</t>
  </si>
  <si>
    <t>2. Gépek, berendezések, felszerelések, járművek</t>
  </si>
  <si>
    <t>A/II/2</t>
  </si>
  <si>
    <t>188 440 087</t>
  </si>
  <si>
    <t>144 080 933</t>
  </si>
  <si>
    <t>76,46</t>
  </si>
  <si>
    <t>A/II/2/a</t>
  </si>
  <si>
    <t>4 955 890</t>
  </si>
  <si>
    <t>5 074 000</t>
  </si>
  <si>
    <t>102,38</t>
  </si>
  <si>
    <t>A/II/2/b</t>
  </si>
  <si>
    <t>A/II/2/c</t>
  </si>
  <si>
    <t>164 034 361</t>
  </si>
  <si>
    <t>122 259 683</t>
  </si>
  <si>
    <t>74,53</t>
  </si>
  <si>
    <t>A/II/2/d</t>
  </si>
  <si>
    <t>19 449 836</t>
  </si>
  <si>
    <t>16 747 250</t>
  </si>
  <si>
    <t>86,10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</si>
  <si>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</si>
  <si>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</si>
  <si>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</si>
  <si>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</si>
  <si>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</si>
  <si>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</si>
  <si>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</si>
  <si>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</si>
  <si>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67 450 829</t>
  </si>
  <si>
    <t>230 454 129</t>
  </si>
  <si>
    <t>341,66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</si>
  <si>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</si>
  <si>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</si>
  <si>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</si>
  <si>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</si>
  <si>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</si>
  <si>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</si>
  <si>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</si>
  <si>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</si>
  <si>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</si>
  <si>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</si>
  <si>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</si>
  <si>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</si>
  <si>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17 679 040</t>
  </si>
  <si>
    <t>100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</si>
  <si>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</si>
  <si>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</si>
  <si>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</si>
  <si>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</si>
  <si>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</si>
  <si>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</si>
  <si>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</si>
  <si>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</si>
  <si>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</si>
  <si>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</si>
  <si>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</si>
  <si>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</si>
  <si>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</si>
  <si>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</si>
  <si>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</si>
  <si>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</si>
  <si>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</si>
  <si>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</si>
  <si>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</si>
  <si>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</si>
  <si>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</si>
  <si>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</si>
  <si>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</si>
  <si>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</si>
  <si>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</si>
  <si>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</si>
  <si>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</si>
  <si>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</si>
  <si>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</si>
  <si>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</si>
  <si>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</si>
  <si>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</si>
  <si>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</si>
  <si>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</si>
  <si>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176 922 956</t>
  </si>
  <si>
    <t>3 768 055</t>
  </si>
  <si>
    <t>2,13</t>
  </si>
  <si>
    <t>I. Készletek</t>
  </si>
  <si>
    <t>B/I</t>
  </si>
  <si>
    <t>II. Értékpapírok</t>
  </si>
  <si>
    <t>B/II</t>
  </si>
  <si>
    <t>C/ PÉNZESZKÖZÖK</t>
  </si>
  <si>
    <t>C</t>
  </si>
  <si>
    <t>489 698 873</t>
  </si>
  <si>
    <t>I. Lekötött bankbetétek</t>
  </si>
  <si>
    <t>C/I</t>
  </si>
  <si>
    <t>II. Pénztárak, csekkek, betétkönyvek</t>
  </si>
  <si>
    <t>C/II</t>
  </si>
  <si>
    <t>1 299 845</t>
  </si>
  <si>
    <t>1 184 320</t>
  </si>
  <si>
    <t>91,11</t>
  </si>
  <si>
    <t>III. Forintszámlák</t>
  </si>
  <si>
    <t>C/III</t>
  </si>
  <si>
    <t>488 399 028</t>
  </si>
  <si>
    <t>103,54</t>
  </si>
  <si>
    <t>IV. Devizaszámlák</t>
  </si>
  <si>
    <t>C/IV</t>
  </si>
  <si>
    <t>D/ KÖVETELÉSEK</t>
  </si>
  <si>
    <t>D</t>
  </si>
  <si>
    <t>208 913 444</t>
  </si>
  <si>
    <t>181 488 276</t>
  </si>
  <si>
    <t>86,87</t>
  </si>
  <si>
    <t>I. Költségvetési évben esedékes követelések</t>
  </si>
  <si>
    <t>D/I</t>
  </si>
  <si>
    <t>117 094 727</t>
  </si>
  <si>
    <t>84 408 005</t>
  </si>
  <si>
    <t>72,09</t>
  </si>
  <si>
    <t>II. Költségvetési évet követően esedékes követelések</t>
  </si>
  <si>
    <t>D/II</t>
  </si>
  <si>
    <t>82 435 948</t>
  </si>
  <si>
    <t>95 975 910</t>
  </si>
  <si>
    <t>116,42</t>
  </si>
  <si>
    <t>III. Követelés jellegű sajátos elszámolások</t>
  </si>
  <si>
    <t>D/III</t>
  </si>
  <si>
    <t>9 382 769</t>
  </si>
  <si>
    <t>1 104 361</t>
  </si>
  <si>
    <t>11,77</t>
  </si>
  <si>
    <t>E/ EGYÉB SAJÁTOS ESZKÖZOLDALI ELSZÁMOLÁSOK</t>
  </si>
  <si>
    <t>E</t>
  </si>
  <si>
    <t>909 304</t>
  </si>
  <si>
    <t>-342 453</t>
  </si>
  <si>
    <t>-37,66</t>
  </si>
  <si>
    <t>F/ AKTÍV IDŐBELI ELHATÁROLÁSOK</t>
  </si>
  <si>
    <t>F</t>
  </si>
  <si>
    <t>ESZKÖZÖK ÖSSZESEN</t>
  </si>
  <si>
    <t>A+..+F</t>
  </si>
  <si>
    <t>7 324 019 784</t>
  </si>
  <si>
    <t>100,45</t>
  </si>
  <si>
    <t>FORRÁSOK</t>
  </si>
  <si>
    <t>G/ SAJÁT TŐKE</t>
  </si>
  <si>
    <t>G</t>
  </si>
  <si>
    <t>5 209 101 838</t>
  </si>
  <si>
    <t>99,85</t>
  </si>
  <si>
    <t>I. Nemzeti vagyon induláskori értéke</t>
  </si>
  <si>
    <t>G/I</t>
  </si>
  <si>
    <t>1 801 242 944</t>
  </si>
  <si>
    <t>II. Nemzeti vagyon változásai</t>
  </si>
  <si>
    <t>G/II</t>
  </si>
  <si>
    <t>1 434 641 766</t>
  </si>
  <si>
    <t>III. Egyéb eszközök induláskori értéke és változásai</t>
  </si>
  <si>
    <t>G/III</t>
  </si>
  <si>
    <t>49 932 024</t>
  </si>
  <si>
    <t>IV. Felhalmozott eredmény</t>
  </si>
  <si>
    <t>G/IV</t>
  </si>
  <si>
    <t>1 952 138 310</t>
  </si>
  <si>
    <t>98,52</t>
  </si>
  <si>
    <t>V. Eszközök értékhelyesbítésének forrása</t>
  </si>
  <si>
    <t>G/V</t>
  </si>
  <si>
    <t>VI. Mérleg szerinti eredmény</t>
  </si>
  <si>
    <t>G/VI</t>
  </si>
  <si>
    <t>-28 853 206</t>
  </si>
  <si>
    <t>27,18</t>
  </si>
  <si>
    <t>H/ KÖTELEZETTSÉGEK</t>
  </si>
  <si>
    <t>H</t>
  </si>
  <si>
    <t>59 387 745</t>
  </si>
  <si>
    <t>134,01</t>
  </si>
  <si>
    <t>I. Költségvetési évben esedékes kötelezettségek</t>
  </si>
  <si>
    <t>H/I</t>
  </si>
  <si>
    <t>6 875 941</t>
  </si>
  <si>
    <t>15 593 670</t>
  </si>
  <si>
    <t>226,79</t>
  </si>
  <si>
    <t>II. Költségvetési évet követően esedékes kötelezettségek</t>
  </si>
  <si>
    <t>H/II</t>
  </si>
  <si>
    <t>17 918 748</t>
  </si>
  <si>
    <t>21 292 624</t>
  </si>
  <si>
    <t>118,83</t>
  </si>
  <si>
    <t>III. Kötelezettség jellegű sajátos elszámolások</t>
  </si>
  <si>
    <t>H/III</t>
  </si>
  <si>
    <t>34 593 056</t>
  </si>
  <si>
    <t>123,43</t>
  </si>
  <si>
    <t>I/ KINCSTÁRI SZÁMLAVEZETÉSSEL KAPCSOLATOS ELSZÁMOLÁSOK</t>
  </si>
  <si>
    <t>I</t>
  </si>
  <si>
    <t>J/ PASSZÍV IDŐBELI ELHATÁROLÁSOK (=K/1+K/2+K/3)</t>
  </si>
  <si>
    <t>J</t>
  </si>
  <si>
    <t>2 055 530 201</t>
  </si>
  <si>
    <t>2 076 414 764</t>
  </si>
  <si>
    <t>101,02</t>
  </si>
  <si>
    <t>FORRÁSOK ÖSSZESEN</t>
  </si>
  <si>
    <t>G+...+J</t>
  </si>
  <si>
    <t>MÉRLEGEN KÍVÜLI TÉTELEK</t>
  </si>
  <si>
    <t>L</t>
  </si>
  <si>
    <t>"0"-ra írt eszközök</t>
  </si>
  <si>
    <t>L/1</t>
  </si>
  <si>
    <t>170 166 110</t>
  </si>
  <si>
    <t>257 919 806</t>
  </si>
  <si>
    <t>151,57</t>
  </si>
  <si>
    <t>Használatban lévő kisértékű immateriális javak, tárgyi eszközök</t>
  </si>
  <si>
    <t>L/2</t>
  </si>
  <si>
    <t>30 573 086</t>
  </si>
  <si>
    <t>33 668 591</t>
  </si>
  <si>
    <t>110,12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</si>
  <si>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</si>
  <si>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</si>
  <si>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</si>
  <si>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</si>
  <si>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384 539 371</t>
  </si>
  <si>
    <t>231 180 913</t>
  </si>
  <si>
    <t>60,12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</si>
  <si>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</si>
  <si>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</si>
  <si>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</si>
  <si>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</si>
  <si>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</si>
  <si>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</si>
  <si>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150 000 000</t>
  </si>
  <si>
    <t>Biztos (jövőbeni) követelések</t>
  </si>
  <si>
    <t>L/8</t>
  </si>
  <si>
    <t>Az Áht. 24.§ (4) bekezdésének c.) pontja szerinti közvetett támogatásokról:</t>
  </si>
  <si>
    <t>Összeg</t>
  </si>
  <si>
    <t>Hivatkozás</t>
  </si>
  <si>
    <t>Iparűzési adó</t>
  </si>
  <si>
    <t>1990. évi C. tv. a helyi adókról, 39/C. (3) alapján háziorvosnak adható kedvezmény</t>
  </si>
  <si>
    <t>Építményadó</t>
  </si>
  <si>
    <t>Sülysáp Város Önkormányzata Képviselő Testületének 15/2015 (XI.27.) önkormányzati rendelete 5. § 1. bekezdése alapján</t>
  </si>
  <si>
    <t>Gépjárműadó</t>
  </si>
  <si>
    <t>Gjt. 1992. évi LXXXII. tv. 5. §. alapján</t>
  </si>
  <si>
    <t>Ebrendészeti hozzájárulás</t>
  </si>
  <si>
    <t>Sülysáp Város Önkormányzata Képviselő-testületének az ebrendészeti hozzájárulásról szóló 24/2012. (XI. 30.) önkormányzati rendeletének 3. § 2. bekezdése alapján</t>
  </si>
  <si>
    <t xml:space="preserve">Összesen: </t>
  </si>
  <si>
    <t>2019. ÉVI ZÁRSZÁMADÁS 15. Melléklet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</si>
  <si>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</si>
  <si>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</si>
  <si>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</si>
  <si>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</si>
  <si>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</si>
  <si>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</si>
  <si>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</si>
  <si>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</si>
  <si>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</si>
  <si>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</si>
  <si>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</si>
  <si>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</si>
  <si>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</si>
  <si>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</si>
  <si>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</si>
  <si>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</si>
  <si>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</si>
  <si>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</si>
  <si>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20</t>
  </si>
  <si>
    <t>16 Bérjárulékok</t>
  </si>
  <si>
    <t>V Személyi jellegű ráfordítások (=14+15+16)</t>
  </si>
  <si>
    <t>22</t>
  </si>
  <si>
    <t>VI Értékcsökkenési leírás</t>
  </si>
  <si>
    <t>23</t>
  </si>
  <si>
    <t>VII Egyéb ráfordítások</t>
  </si>
  <si>
    <t>A)  TEVÉKENYSÉGEK EREDMÉNYE (=I±II+III-IV-V-VI-VII)</t>
  </si>
  <si>
    <t>20 Egyéb kapott (járó) kamatok és kamatjellegű eredményszemléletű bevételek</t>
  </si>
  <si>
    <t>21 Pénzügyi műveletek egyéb eredményszemléletű bevételei (&gt;=21a+21b)</t>
  </si>
  <si>
    <t>VIII Pénzügyi műveletek eredményszemléletű bevételei (=17+18+19+20+21)</t>
  </si>
  <si>
    <t>26 Pénzügyi műveletek egyéb ráfordításai (&gt;=26a+26b)</t>
  </si>
  <si>
    <t>42</t>
  </si>
  <si>
    <t>IX Pénzügyi műveletek ráfordításai (=22+23+24+25+26)</t>
  </si>
  <si>
    <t>B)  PÉNZÜGYI MŰVELETEK EREDMÉNYE (=VIII-IX)</t>
  </si>
  <si>
    <t>44</t>
  </si>
  <si>
    <t>C)  MÉRLEG SZERINTI EREDMÉNY (=±A±B)</t>
  </si>
  <si>
    <t xml:space="preserve"> Összesített eredménykimutatás</t>
  </si>
  <si>
    <t>2019. ÉVI Zárszámadás - 17. Melléklet</t>
  </si>
  <si>
    <t>Adatok Ft-ban</t>
  </si>
  <si>
    <t>2019. ÉVI Zárszámadás - 23. Melléklet</t>
  </si>
  <si>
    <t>Közvetett támogatások 2019. év</t>
  </si>
  <si>
    <t>2019. ÉVI Zárszámadás - 16. Melléklet</t>
  </si>
  <si>
    <t>Eredménykimutatás</t>
  </si>
  <si>
    <t xml:space="preserve">Sülysáp Város Önkormányzata és intézményei </t>
  </si>
  <si>
    <t>Sülysáp Város Önkormányzata és intézményei - Konszolidált mérleg 2019. év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</si>
  <si>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</si>
  <si>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</si>
  <si>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</si>
  <si>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</si>
  <si>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</si>
  <si>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</si>
  <si>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</si>
  <si>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</si>
  <si>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</si>
  <si>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</si>
  <si>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>2019. ÉVI Zárszámadás - 18. Melléklet</t>
  </si>
  <si>
    <t xml:space="preserve">Hitel, kölcsön </t>
  </si>
  <si>
    <t>Kölcsön-
nyújtás
éve</t>
  </si>
  <si>
    <t xml:space="preserve">Lejárat
éve </t>
  </si>
  <si>
    <t>Hitel, kölcsön állomány december 31-én</t>
  </si>
  <si>
    <t>2020. után</t>
  </si>
  <si>
    <t xml:space="preserve">Rövid lejáratú </t>
  </si>
  <si>
    <t>Rövid lejáratú tételesen</t>
  </si>
  <si>
    <t>Hosszú lejáratú</t>
  </si>
  <si>
    <t>Pénzügyi lízing</t>
  </si>
  <si>
    <t>Összesen (1+8)</t>
  </si>
  <si>
    <t>2019. ÉVI Zárszámadás - 19. Melléklet</t>
  </si>
  <si>
    <t>Hitel- és kölcsönkimutatás 2018-2019. ÉV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</si>
  <si>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</si>
  <si>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</si>
  <si>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</si>
  <si>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</si>
  <si>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</si>
  <si>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</si>
  <si>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</si>
  <si>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</si>
  <si>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</si>
  <si>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</si>
  <si>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</si>
  <si>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</si>
  <si>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</si>
  <si>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</si>
  <si>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</si>
  <si>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</si>
  <si>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</si>
  <si>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</si>
  <si>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</si>
  <si>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</si>
  <si>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</si>
  <si>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</si>
  <si>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</si>
  <si>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</si>
  <si>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Egyéb adósság</t>
  </si>
  <si>
    <t>Belföldi összesen:</t>
  </si>
  <si>
    <t>Külföldi szállítók</t>
  </si>
  <si>
    <t>Külföldi összesen:</t>
  </si>
  <si>
    <t>Adósságállomány mindösszesen:</t>
  </si>
  <si>
    <t>Adósság állomány alakulása lejárat, eszközök, bel- és külföldi hitelezők szerinti bontásban 2019.  december 31-én</t>
  </si>
  <si>
    <t>ezer forintban</t>
  </si>
  <si>
    <r>
      <t xml:space="preserve">                           </t>
    </r>
    <r>
      <rPr>
        <b/>
        <sz val="12"/>
        <rFont val="Arial CE"/>
        <family val="2"/>
        <charset val="238"/>
      </rPr>
      <t xml:space="preserve">       Bevételek</t>
    </r>
  </si>
  <si>
    <t xml:space="preserve">                          Kiadások</t>
  </si>
  <si>
    <t>teljesítés</t>
  </si>
  <si>
    <t>mód. ei.</t>
  </si>
  <si>
    <t>Működési célú.támogatások ÁHT-n belülről (B1)</t>
  </si>
  <si>
    <t>Személyi juttatások (K1)</t>
  </si>
  <si>
    <t>Közatalmi bevételek (B3)</t>
  </si>
  <si>
    <t>Munkaadót terhelő járulék,szoc.ho. (K2)</t>
  </si>
  <si>
    <t>Működési bevételek (B4)</t>
  </si>
  <si>
    <t>Dologi kiadások (K3)</t>
  </si>
  <si>
    <t>Ellátottak pénzbeli juttatása (K4)</t>
  </si>
  <si>
    <t>Működési célú átvett pénzeszközök (B6)</t>
  </si>
  <si>
    <t>Egyéb működési célú kiadások (K5)</t>
  </si>
  <si>
    <t xml:space="preserve"> -tartalékok</t>
  </si>
  <si>
    <t>Működési költségvetési bevételek</t>
  </si>
  <si>
    <t>Működési költségvetési kiadások</t>
  </si>
  <si>
    <t>Egyenleg - Hiány - Többlet</t>
  </si>
  <si>
    <t>Tagi kölcsön(ÖKOVÍZ)</t>
  </si>
  <si>
    <t xml:space="preserve"> - hitelfelvétel</t>
  </si>
  <si>
    <t xml:space="preserve"> -hiteltörlesztés+kamata</t>
  </si>
  <si>
    <t xml:space="preserve"> - maradvány igénybevétele</t>
  </si>
  <si>
    <t>megelőlegezés</t>
  </si>
  <si>
    <t xml:space="preserve"> -ÁHT-n belüli megelőlegezés-MÁK-tól</t>
  </si>
  <si>
    <t>MŰKÖDÉSI BEVÉTELEK ÖSSZESEN</t>
  </si>
  <si>
    <t>MŰKÖDÉSI KIADÁSOK ÖSSZESEN</t>
  </si>
  <si>
    <t>Működési és felhalmozási bevételek összesen</t>
  </si>
  <si>
    <t>Működési és felhalmozási kiadások összesen</t>
  </si>
  <si>
    <t>I. negyedév</t>
  </si>
  <si>
    <t>II. negyedév</t>
  </si>
  <si>
    <t>III. negyedév</t>
  </si>
  <si>
    <t>IV. negyedév</t>
  </si>
  <si>
    <t>Összesen</t>
  </si>
  <si>
    <t>Nyitó pénzkészlet</t>
  </si>
  <si>
    <t>Bevétel</t>
  </si>
  <si>
    <t xml:space="preserve">Kiadás </t>
  </si>
  <si>
    <t>36..fkv.forgalma</t>
  </si>
  <si>
    <t>Záró pénzkészlet</t>
  </si>
  <si>
    <t>Sülysáp Város Önkormányzat és intézményei - Pénzeszközök változása 2019. év</t>
  </si>
  <si>
    <t>2019. ÉVI Zárszámadás - 20. Melléklet</t>
  </si>
  <si>
    <t>2019. ÉVI Zárszámadás - 21. Melléklet</t>
  </si>
  <si>
    <t xml:space="preserve">    II. Felhalmozási bevételek és kiadások</t>
  </si>
  <si>
    <t>Bevételek</t>
  </si>
  <si>
    <t xml:space="preserve">                                    </t>
  </si>
  <si>
    <t xml:space="preserve">                                                        Kiadások                                </t>
  </si>
  <si>
    <t xml:space="preserve">                                         </t>
  </si>
  <si>
    <t>Kiadások</t>
  </si>
  <si>
    <t>mód.ei.</t>
  </si>
  <si>
    <t>Felhalmozási célú támog. ÁHT belülről (B2)</t>
  </si>
  <si>
    <t>Beruházások (K6)</t>
  </si>
  <si>
    <t>Felhalmozási bevételek (B5)</t>
  </si>
  <si>
    <t>Felújítások (K7)</t>
  </si>
  <si>
    <t>Egyéb felhalmozási célú kiadások (K8)</t>
  </si>
  <si>
    <t>Felhalmozási célú átvett pénzeszközök (pályázatok) (B7)</t>
  </si>
  <si>
    <t>Felhalmozási költségvetési bevételek</t>
  </si>
  <si>
    <t>Felhalmozási költségvetési kiadások</t>
  </si>
  <si>
    <t xml:space="preserve">Finaszírozási kiadások </t>
  </si>
  <si>
    <t xml:space="preserve"> -maradvány igénybevétele</t>
  </si>
  <si>
    <t>FELHALMOZÁSI  BEVÉTELEK ÖSSZESEN</t>
  </si>
  <si>
    <t>FELHALMOZÁSI KIADÁSOK ÖSSZESEN</t>
  </si>
  <si>
    <t>MÉRLEGE 2019. év</t>
  </si>
  <si>
    <t>2019. ÉVI Zárszámadás - 22. Melléklet</t>
  </si>
  <si>
    <t>I. Működési bevételek és működési kiadások MÉRLEGE 2019.</t>
  </si>
  <si>
    <t>Beruházások és felújítások 2019. év</t>
  </si>
  <si>
    <t>Partner</t>
  </si>
  <si>
    <t>Intézmény</t>
  </si>
  <si>
    <t>Officeplaza Kft.</t>
  </si>
  <si>
    <t>forgószék</t>
  </si>
  <si>
    <t>Mxp-Store Kft.</t>
  </si>
  <si>
    <t>Huawei P Smart mobiltelefon</t>
  </si>
  <si>
    <t>Hangszerdiszkont.hu Kft.</t>
  </si>
  <si>
    <t>Involight fényvezérlõ</t>
  </si>
  <si>
    <t>Péter Zoltán e.v.</t>
  </si>
  <si>
    <t>Fujitsu Esprimo számítógép</t>
  </si>
  <si>
    <t>Sallai Attila</t>
  </si>
  <si>
    <t xml:space="preserve">Lenovo Laptop </t>
  </si>
  <si>
    <t>WAMKK beruházási ÁFA összesen:</t>
  </si>
  <si>
    <t>WAMKK összesen</t>
  </si>
  <si>
    <t>Dell asztali gép monitorral, billentyűzettel, egérrel</t>
  </si>
  <si>
    <t>Bölcsőde</t>
  </si>
  <si>
    <t>USN Trade Hungary Kft.</t>
  </si>
  <si>
    <t>Dell Inspiron 3567 notebook</t>
  </si>
  <si>
    <t>Elektriko Kft.</t>
  </si>
  <si>
    <t>Savaia fagyasztószekrény</t>
  </si>
  <si>
    <t>LG Mosógép</t>
  </si>
  <si>
    <t>MMXH Lakberendezési Kft.</t>
  </si>
  <si>
    <t>Görgős konténer</t>
  </si>
  <si>
    <t>Hoppline Kft.</t>
  </si>
  <si>
    <t>Gamer szék (szürke)</t>
  </si>
  <si>
    <t>Inteba Kft</t>
  </si>
  <si>
    <t>Íróasztal</t>
  </si>
  <si>
    <t>Paradox riasztó rendszer</t>
  </si>
  <si>
    <t>Bölcsőde beruházási ÁFA összesen:</t>
  </si>
  <si>
    <t>Bölcsőde összesen</t>
  </si>
  <si>
    <t>Szabó Margit ev</t>
  </si>
  <si>
    <t>Tisztító eszközök, irodaszerek, porszívó</t>
  </si>
  <si>
    <t>Dr. Gáspár</t>
  </si>
  <si>
    <t>Dr.Gáspár beruházási ÁFA összesen:</t>
  </si>
  <si>
    <t>Dr.Gáspár összesen</t>
  </si>
  <si>
    <t>Aqua Optima Kft.</t>
  </si>
  <si>
    <t>Lenovo Ideapad Laptop, tp link, SSD</t>
  </si>
  <si>
    <t>Óvoda</t>
  </si>
  <si>
    <t>Kartyaolvaso.hu Kft.</t>
  </si>
  <si>
    <t>Reiner kártyaolvasó</t>
  </si>
  <si>
    <t>MS E-Commerce Kft.</t>
  </si>
  <si>
    <t>Ventilátor, hűtőszekrény, gőzállomás, porszívó</t>
  </si>
  <si>
    <t>Smartpone Hungary Kft.</t>
  </si>
  <si>
    <t>Xiaomi Redmi 6 okostelefon (4 db)</t>
  </si>
  <si>
    <t>VSWEB Kft.</t>
  </si>
  <si>
    <t>Erba kézikocsi 300kg (3db)</t>
  </si>
  <si>
    <t>Auchan Magyarország Kft.</t>
  </si>
  <si>
    <t>Lamináló gép fóliával</t>
  </si>
  <si>
    <t>hűtőszekrény</t>
  </si>
  <si>
    <t>HOR Zrt.</t>
  </si>
  <si>
    <t>Fektetőágyak</t>
  </si>
  <si>
    <t>Manó székek</t>
  </si>
  <si>
    <t>tanulobicikli.hu Kft.</t>
  </si>
  <si>
    <t>Tanuló biciklik</t>
  </si>
  <si>
    <t>Extreme Digital Zrt.</t>
  </si>
  <si>
    <t>Panasonic dect telefon</t>
  </si>
  <si>
    <t>Alza.hu</t>
  </si>
  <si>
    <t>Karcher ipari porszívó</t>
  </si>
  <si>
    <t>V &amp; V Bt.</t>
  </si>
  <si>
    <t>Bútorok</t>
  </si>
  <si>
    <t>Óvoda beruházási ÁFA összesen:</t>
  </si>
  <si>
    <t>Óvoda összesen</t>
  </si>
  <si>
    <t>New Port Hungary Kft</t>
  </si>
  <si>
    <t>Lenovo V320 Notebook</t>
  </si>
  <si>
    <t>PH</t>
  </si>
  <si>
    <t>Tele-Med Kereskedelmi és Szolgáltató Bt</t>
  </si>
  <si>
    <t>Telefonközpont korszerűsítése</t>
  </si>
  <si>
    <t>LG monitor, BenQ monitor</t>
  </si>
  <si>
    <t>Dante International Kft</t>
  </si>
  <si>
    <t>Irodai szék</t>
  </si>
  <si>
    <t>Biri-Ker Kft.</t>
  </si>
  <si>
    <t>Sharp mikro hifi rendszer</t>
  </si>
  <si>
    <t>Redola Kft.</t>
  </si>
  <si>
    <t>Vezetői szék</t>
  </si>
  <si>
    <t>PH beruházási ÁFA összesen</t>
  </si>
  <si>
    <t>PH összesen</t>
  </si>
  <si>
    <t>Pestterv Kft.</t>
  </si>
  <si>
    <t>Sülysáp Város TRT fv-hoz készült KV és KÖVH fv.</t>
  </si>
  <si>
    <t>Önkormányzat</t>
  </si>
  <si>
    <t>Sülysáp Város TRE részleges módosítása 0431/9 és 033/221. hr</t>
  </si>
  <si>
    <t>LENOVO IdeaPad 330 Laptop Win 10 (81DC0KQHV)</t>
  </si>
  <si>
    <t>Xiaomi Redmi 6 Dual SIM LTE okostelefonok Védõnõk</t>
  </si>
  <si>
    <t>HUDÁK Kft.</t>
  </si>
  <si>
    <t>Mûködési célú költség, zsák, gereblye, fûnyíró, talicska</t>
  </si>
  <si>
    <t>Xiaomi Redmi 6 Dual SIM LTE okostelefon Mezõõr</t>
  </si>
  <si>
    <t>LuckyPhones Kft.</t>
  </si>
  <si>
    <t>Xiaomi Redmi 6 3GB 32GB Dual SIM (B20) fekete - piacfelügyel</t>
  </si>
  <si>
    <t>UMWELT Kft.</t>
  </si>
  <si>
    <t>Roading Maxi függesztett gréder - TÁVÜSZ Kft.</t>
  </si>
  <si>
    <t>KÁTA ÉPSZÖV Kft.</t>
  </si>
  <si>
    <t>PM_EUALAPELLATAS_2017/4 egészségügyi alapellátást nyújtó int</t>
  </si>
  <si>
    <t>L-TERVEZ Kft.</t>
  </si>
  <si>
    <t>Építendõ egészségközpont kivitelezési munkáinak mûszaki elle</t>
  </si>
  <si>
    <t>NKM Földgázhálózati Kft.</t>
  </si>
  <si>
    <t>Iparterület csatlakozási díj</t>
  </si>
  <si>
    <t>PMG Építõipari Kft.</t>
  </si>
  <si>
    <t>Ipari park létesítése VEKOP-1.2.2-15-2016-00025</t>
  </si>
  <si>
    <t>N+F Mérnökiroda Kft.</t>
  </si>
  <si>
    <t>Kiviteli tervdokumentáció elkészítése - Iparterület</t>
  </si>
  <si>
    <t>Folyamat Kft.</t>
  </si>
  <si>
    <t xml:space="preserve">Ipari park létesítése VEKOP-1.2.2-15-2016-00025 út-és közmû </t>
  </si>
  <si>
    <t>Önkormányzat beruházási áfa összesen</t>
  </si>
  <si>
    <t>Önkormányzat beruházás összesen</t>
  </si>
  <si>
    <t>Önkormányzat és intézményei beruházások összesen:</t>
  </si>
  <si>
    <t>FELÚJÍTÁSOK</t>
  </si>
  <si>
    <t>Faberland Kft.</t>
  </si>
  <si>
    <t>Játszótér felújítás (Kastélykert)</t>
  </si>
  <si>
    <t>ILLEBAU Ipari Ker. és Szolg. Kft</t>
  </si>
  <si>
    <t>Tetõhéjazat csere Sülysáp Csicsergõ Óvoda Balassi B. u.</t>
  </si>
  <si>
    <t>Szûcs Tihamér</t>
  </si>
  <si>
    <t>Villanyszerelés WAMK villanyhálózat felújítás</t>
  </si>
  <si>
    <t>Kültéri fém játszótéri eszközök gyártása, telepítése Sülysáp</t>
  </si>
  <si>
    <t>Útkorona Kft.</t>
  </si>
  <si>
    <t xml:space="preserve">Dózsa György utca út- és járdafelújításaPM_ONKORMUT_2018/4. </t>
  </si>
  <si>
    <t>Csaba István</t>
  </si>
  <si>
    <t>Gázkazán, bölcsõde</t>
  </si>
  <si>
    <t>Dózsa György utca út- és járdafelújításaPM_ONKORMUT_2018/4.</t>
  </si>
  <si>
    <t>Pintér Ferenc</t>
  </si>
  <si>
    <t>Akácfa, Nap és Váci Mihály utcák - Sülysáp útburkolat felújí</t>
  </si>
  <si>
    <t>SMIRO CAR Kft.</t>
  </si>
  <si>
    <t>Kéményszerelés, bölcsõde</t>
  </si>
  <si>
    <t>Fûtésszerelés és gázszerelési anyagok, bölcsõde</t>
  </si>
  <si>
    <t>Szõke és Társa Mélyépítõ Kft.</t>
  </si>
  <si>
    <t>Geodéziai felmérés, tervdokumentáció készítés-Dankó utca</t>
  </si>
  <si>
    <t>Spindelbau Kft</t>
  </si>
  <si>
    <t>Gólyahír Bölcsõde kazánok beüzemelése</t>
  </si>
  <si>
    <t>Petrik József</t>
  </si>
  <si>
    <t>Gáz-és fûtésszerelési munkák bölcsõde - Sülysáp, Szilvafasor</t>
  </si>
  <si>
    <t>Sülysáp Akácfa, Nap, Váci Mihály utcák felújítása - elõleg s</t>
  </si>
  <si>
    <t>AOP-Civil Bt.</t>
  </si>
  <si>
    <t>Útépítési munkák mûszaki ellenõrzése-Sülysáp, Dózsa György u</t>
  </si>
  <si>
    <t>Sülysáp Akácfa, Nap, Váci Mihály utcák felújítása</t>
  </si>
  <si>
    <t>Belterületi utak vízelvezetõ árkaiba 300-as csõátereszek beé</t>
  </si>
  <si>
    <t>Lukács Zoltán</t>
  </si>
  <si>
    <t>Kapás József Helytörténeti Múzeum felújítása érd.növ.</t>
  </si>
  <si>
    <t>Kompanik Színpadtechnikai kft.</t>
  </si>
  <si>
    <t>Színpadtechnikai berendezések és színpadi elõfüggöny telepít</t>
  </si>
  <si>
    <t>Klíma- Express Kft.</t>
  </si>
  <si>
    <t>Klímaberendezés - WAMKK</t>
  </si>
  <si>
    <t>Önkormányzat felújítási ÁFA összesen:</t>
  </si>
  <si>
    <t>Önkormányzat felújítás összesen</t>
  </si>
  <si>
    <t>Önkormányzat és intézményei felújítások összesen:</t>
  </si>
  <si>
    <t xml:space="preserve">Egyeztetés </t>
  </si>
  <si>
    <t>Főkönyv összesített sorok</t>
  </si>
  <si>
    <t>Eltérés</t>
  </si>
  <si>
    <t>K6 önk és intézmények összesen</t>
  </si>
  <si>
    <t>K7 önk és intézmények összesen</t>
  </si>
  <si>
    <t>2019. ÉVI Zárszámadás - 24. Melléklet</t>
  </si>
  <si>
    <t>Finanszírozási bevételek (B8)</t>
  </si>
  <si>
    <t>2019. ÉVI Zárszámadás - 25. Melléklet</t>
  </si>
  <si>
    <t>505 626 368</t>
  </si>
  <si>
    <t>506 810 688</t>
  </si>
  <si>
    <t>103,49</t>
  </si>
  <si>
    <t>7 357 207 145</t>
  </si>
  <si>
    <t>1 923 190 218</t>
  </si>
  <si>
    <t>-7 794 479</t>
  </si>
  <si>
    <t>79 579 908</t>
  </si>
  <si>
    <t>5 201 212 473</t>
  </si>
  <si>
    <t>42 693 614</t>
  </si>
  <si>
    <t xml:space="preserve">Sülysáp Város Önkormányzata </t>
  </si>
  <si>
    <t>Dr.Gáspár István HSZK</t>
  </si>
  <si>
    <t>Wass Albert Művelődési Központ</t>
  </si>
  <si>
    <t>ÖSSZESÍTETT MARADVÁNYKIMUTATÁS</t>
  </si>
  <si>
    <t>Mar 2018.</t>
  </si>
  <si>
    <t>Bev 02</t>
  </si>
  <si>
    <t>Bev 04</t>
  </si>
  <si>
    <t>Kiad 01</t>
  </si>
  <si>
    <t>Kiad 03</t>
  </si>
  <si>
    <t>Össz bev</t>
  </si>
  <si>
    <t>Össz kiad.</t>
  </si>
  <si>
    <t>Ell.:</t>
  </si>
  <si>
    <t>III. Külföldi hitelezők</t>
  </si>
  <si>
    <t>Intézmények</t>
  </si>
  <si>
    <t>2019.12.31-én fennálló szállítói állomány összege</t>
  </si>
  <si>
    <t>II. Belföldi szállítói állomány év végén (Nem lejárt szállítói állomány)</t>
  </si>
  <si>
    <t>2019. ÉVI Zárszámadás - 26. Melléklet</t>
  </si>
  <si>
    <t>Európai Uniós projektek bemutatása 2019. év</t>
  </si>
  <si>
    <t>adatok Ft-ban</t>
  </si>
  <si>
    <t>MEGNEVEZÉS</t>
  </si>
  <si>
    <t>KÖTELEZŐ FELADAT</t>
  </si>
  <si>
    <t>ÖNKÉNT VÁLLALT FELADAT</t>
  </si>
  <si>
    <t>ÁLLAMIGAZ-GATÁSI  FELADATOK</t>
  </si>
  <si>
    <t>Munkaadót terh.jár.és szoc.hozzáj.adó</t>
  </si>
  <si>
    <t>Ellátottak pénzbeli juttatásai</t>
  </si>
  <si>
    <t>Elvonások, befizetések</t>
  </si>
  <si>
    <t>Egyéb műk.c.támog.áh.n belülre</t>
  </si>
  <si>
    <t>Műk.c.visszat.támog., kölcs.nyújt.áh.n kívülre</t>
  </si>
  <si>
    <t>Egyéb műk.c.támog.áh.n kívülre</t>
  </si>
  <si>
    <t>Tartalékok</t>
  </si>
  <si>
    <t xml:space="preserve">Egyéb </t>
  </si>
  <si>
    <t>Többlet</t>
  </si>
  <si>
    <t>Működési kiadás összesen:</t>
  </si>
  <si>
    <t xml:space="preserve">beruházások </t>
  </si>
  <si>
    <t xml:space="preserve">  - Önkormányzat </t>
  </si>
  <si>
    <t xml:space="preserve">  - Beruházások intézmények</t>
  </si>
  <si>
    <t>beruházások összesen</t>
  </si>
  <si>
    <t xml:space="preserve">felújítások 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</si>
  <si>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</si>
  <si>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</si>
  <si>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</si>
  <si>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</si>
  <si>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</si>
  <si>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</si>
  <si>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KIADÁS ÖSSZESEN</t>
  </si>
  <si>
    <t>Államháztartáson belüli megelőlegezés visszafizetés</t>
  </si>
  <si>
    <t>Pénzeszköz betét elhelyezés</t>
  </si>
  <si>
    <t>Finanszírozási kiadások összesen</t>
  </si>
  <si>
    <t>KIADÁSOK MINDÖSSZESEN</t>
  </si>
  <si>
    <t>ÁLLAMIGAZ-GATÁSI FELADATOK</t>
  </si>
  <si>
    <t>Önkormányzatok működési támogatásai</t>
  </si>
  <si>
    <t xml:space="preserve">Egyéb műk.c.tám.bev. áh.n belülről </t>
  </si>
  <si>
    <t xml:space="preserve">Közhatalmi bevételek </t>
  </si>
  <si>
    <t>Műk.c.visszat.tám.,kölcs.visszat.áh.n kívülről</t>
  </si>
  <si>
    <t>Egyéb működési célú átvett pénzeszk.</t>
  </si>
  <si>
    <t>Műk.bev.felh.célra</t>
  </si>
  <si>
    <t>Működésicélú bevételek összesen</t>
  </si>
  <si>
    <t>Felhalmozási célú önkorm.i támogatások</t>
  </si>
  <si>
    <t xml:space="preserve">Egyéb felhalm.c.tám.bev. áh.n belülről </t>
  </si>
  <si>
    <t>Immat. jav.,ingatlanok., egyéb tárgyi e.érték.</t>
  </si>
  <si>
    <t>Felhalm.c.visszat.tám.,kölcs.visszat.áh.n kívülről</t>
  </si>
  <si>
    <t>Egyéb felhalmozási célú átvett pénzeszk.</t>
  </si>
  <si>
    <t>Műk.bev.felhalm.célra</t>
  </si>
  <si>
    <t>Felhalmozási célú költségvetési bevételek összesen</t>
  </si>
  <si>
    <t>Maradvány igénybevétele felj.célra</t>
  </si>
  <si>
    <t>Maradvány igénybevétele műk.célra</t>
  </si>
  <si>
    <t>Maradvány igénybevétele finanszírozási célra</t>
  </si>
  <si>
    <t>Áh.n belüli megelőlegezés</t>
  </si>
  <si>
    <t>Lekötött bankbetétek megszüntetése</t>
  </si>
  <si>
    <t>Belföldi értékpapírok bevételei</t>
  </si>
  <si>
    <t>Költségvetési bevételek összesen</t>
  </si>
  <si>
    <t xml:space="preserve">Előző évi pénzmaradvány igénybevétele működési célra (finanszírozási c. bev.) </t>
  </si>
  <si>
    <t>Előző évi pénzmaradvány igénybevétele felhalmozási célra (finanszírozási c. bev.)</t>
  </si>
  <si>
    <t>ÁH-n belüli megelőlegezések</t>
  </si>
  <si>
    <t>Finanszírozási bevételek összesen</t>
  </si>
  <si>
    <t>BEVÉTELEK MINDÖSSZESEN</t>
  </si>
  <si>
    <t>2019. ÉVI Zárszámadás - 28. Melléklet</t>
  </si>
  <si>
    <t>Bevételek és kiadások megbontása - kötelező, önként vállalt, államigazgatási feladatok szerint</t>
  </si>
  <si>
    <t>2019. ÉVI Zárszámadás - 29. Melléklet</t>
  </si>
  <si>
    <t>Sülysáp Város Önkormányzata és intézményei összesen</t>
  </si>
  <si>
    <t>Összesített bevételek és kiadások megbontása - kötelező, önként vállalt, államigazgatási feladatok szerint</t>
  </si>
  <si>
    <t>sorszám</t>
  </si>
  <si>
    <t>támogatással érintett projekt</t>
  </si>
  <si>
    <t>támogatási pályázat</t>
  </si>
  <si>
    <t>önerő</t>
  </si>
  <si>
    <t>alapadatai</t>
  </si>
  <si>
    <t>összege</t>
  </si>
  <si>
    <t>neve</t>
  </si>
  <si>
    <t>megkezdése</t>
  </si>
  <si>
    <t>lezárása</t>
  </si>
  <si>
    <t xml:space="preserve"> neve</t>
  </si>
  <si>
    <t>beadás éve</t>
  </si>
  <si>
    <t>elbírálás éve</t>
  </si>
  <si>
    <t>megpályázva</t>
  </si>
  <si>
    <t>hiánypótlás alatt</t>
  </si>
  <si>
    <t>elbírálatlan</t>
  </si>
  <si>
    <t>elnyert</t>
  </si>
  <si>
    <t>előző évben beérkezett</t>
  </si>
  <si>
    <t>tárgyévben beérkezett</t>
  </si>
  <si>
    <t>következő évre várható</t>
  </si>
  <si>
    <t>korábban elfogadott</t>
  </si>
  <si>
    <t>ténylegesen szükséges</t>
  </si>
  <si>
    <t>pótforrás-igény</t>
  </si>
  <si>
    <t>Megjegyzés</t>
  </si>
  <si>
    <t>VP6-7.2.1-7.4.1.2-16 Külterületi helyi közutak fejlesztése, önkormányzati utak kezeléséhez, állapotjavításához, karbantartááshoz szükséges erő- és munkagépek beszerzése</t>
  </si>
  <si>
    <t>Külterületi utak fejlesztése Sülysápon</t>
  </si>
  <si>
    <t>NR</t>
  </si>
  <si>
    <t>Folyamatban lévő projekt</t>
  </si>
  <si>
    <t>7.</t>
  </si>
  <si>
    <t xml:space="preserve">VP6-7.2.1-7.4.1.3-17 A vidéki térségek kismértékű infrastruktúrájának és alapvető szolgáltatásainak fejlesztésére </t>
  </si>
  <si>
    <t>Piacfejlesztés Sülysápon</t>
  </si>
  <si>
    <t>VP6-19.2.1.-41-5-17 A HAJT-A Csapat Akciócsoport területén megvalósíott kulturális és egészségmegőrző rendezvények támogatása</t>
  </si>
  <si>
    <t xml:space="preserve">Sülysápi Őszbeforduló - Sülysápi Városnap és I. Sülysápi Mackó Fesztivál </t>
  </si>
  <si>
    <t>Lezárt projekt</t>
  </si>
  <si>
    <t>KEHOP-1.2.1-08-2018-00199 Helyi klímastratégiák kidolgozása, valamint klímatudatosságot erősítő szemléletformálás</t>
  </si>
  <si>
    <t>Helyi klímastratégia kidolgozása Sülysápon</t>
  </si>
  <si>
    <t xml:space="preserve">VEKOP-1.2.2-15 Üzleti infrastruktúra fejlesztése Pest megyében </t>
  </si>
  <si>
    <t>Iparterület kialakítása Sülysápon</t>
  </si>
  <si>
    <t>VP6-19.2.1.-41-7-17 Települések arculatának fejlesztése, élhetővé tétele, bel- és külterületének gazdasági és infrastrukturális fejlesztése</t>
  </si>
  <si>
    <t>Játszótérfejlesztés Sülysápon</t>
  </si>
  <si>
    <t>VP6-19.2.1.-41-2-17 A HAJT-A Csapat Akciócsoport területén megvalósított Turisztikai attrakciók, fejlesztések támogatása</t>
  </si>
  <si>
    <t>nem megkezdett</t>
  </si>
  <si>
    <t>2020-05-53</t>
  </si>
  <si>
    <t xml:space="preserve">Tájház épületének külső felújítása Sülysápon </t>
  </si>
  <si>
    <t>Nem megkezdett projekt</t>
  </si>
  <si>
    <t>Elemi költségvetés</t>
  </si>
  <si>
    <t>Változás</t>
  </si>
  <si>
    <t>Zárszámadás</t>
  </si>
  <si>
    <t>Fő</t>
  </si>
  <si>
    <t>Létszámadatok</t>
  </si>
  <si>
    <t>2019. ÉVI Zárszámadás - 27. Melléklet</t>
  </si>
  <si>
    <t xml:space="preserve">                        Ebből: közfogalalkoztatottak</t>
  </si>
  <si>
    <t>Gazdálkodó szervezet megnevezése</t>
  </si>
  <si>
    <t>Részesedés mértéke (%-ban)</t>
  </si>
  <si>
    <t>Részesedés összege     (Ft-ban)</t>
  </si>
  <si>
    <t>Működésből származó kötelezettségek összege XII. 31-én
 (Ft-ban)</t>
  </si>
  <si>
    <t xml:space="preserve">       ÖSSZESEN:</t>
  </si>
  <si>
    <t>Sülysáp Város Önkormányzata tulajdonában álló gazdálkodó szervezetek működéséből származó kötelezettségek és részesedések alakulása 2019. évben</t>
  </si>
  <si>
    <t>2019. ÉVI Zárszámadás - 30. Melléklet</t>
  </si>
  <si>
    <t>Üzleti (forgalomképes) más egyéb tartós részesedés (Többs. áll.tul. belf. nem püi. vállban rész.  2008-2017.)</t>
  </si>
  <si>
    <t>Főkönyvi megnevezés</t>
  </si>
  <si>
    <t>TÁVÜSZ Kft</t>
  </si>
  <si>
    <t>Üzleti (forgalomképes) más egyéb tartós részesedés</t>
  </si>
  <si>
    <t>Sülysáp Szennyvíztisztító és Csatornamű Kft (v.a.)</t>
  </si>
  <si>
    <t>KÖZVIL Első Magyar Közvilágítási Zártkörűen Működő Részvénytársaság</t>
  </si>
  <si>
    <t>DTkH Duna-Tisza Közi Hulladékgazdálkodási Nonprofit Korlátolt Felelősségű Társaság (Ökovíz Kft.)</t>
  </si>
  <si>
    <t>Strázsa-Felső Tápió Nonprofit Kft. f.a.</t>
  </si>
  <si>
    <t>TRV Zrt.</t>
  </si>
  <si>
    <t>Üzleti (forgalomképes) más egyéb tartós részesedés (Javasolt a leírás.)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</si>
</sst>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F_t_-;\-* #,##0.00\ _F_t_-;_-* &quot;-&quot;??\ _F_t_-;_-@_-"/>
    <numFmt numFmtId="164" formatCode="_-* #,##0.00\ &quot;HUF&quot;_-;\-* #,##0.00\ &quot;HUF&quot;_-;_-* &quot;-&quot;??\ &quot;HUF&quot;_-;_-@_-"/>
    <numFmt numFmtId="165" formatCode="_-* #,##0\ _F_t_-;\-* #,##0\ _F_t_-;_-* &quot;-&quot;??\ _F_t_-;_-@_-"/>
    <numFmt numFmtId="166" formatCode="#,##0_ ;\-#,##0\ "/>
    <numFmt numFmtId="167" formatCode="_-* #,##0\ &quot;Ft&quot;_-;\-* #,##0\ &quot;Ft&quot;_-;_-* &quot;-&quot;??\ &quot;Ft&quot;_-;_-@_-"/>
    <numFmt numFmtId="168" formatCode="#,##0&quot; Ft&quot;;[Red]\-#,##0&quot; Ft&quot;"/>
    <numFmt numFmtId="169" formatCode="#,###"/>
    <numFmt numFmtId="170" formatCode="_-* #,##0\ [$Ft-40E]_-;\-* #,##0\ [$Ft-40E]_-;_-* &quot;-&quot;??\ [$Ft-40E]_-;_-@_-"/>
    <numFmt numFmtId="171" formatCode="###\ ###\ ###\ ###\ ##0.00"/>
    <numFmt numFmtId="172" formatCode="#,##0\ &quot;Ft&quot;"/>
    <numFmt numFmtId="173" formatCode="yyyy\-mm\-dd;@"/>
  </numFmts>
  <fonts count="1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Black"/>
      <family val="2"/>
      <charset val="238"/>
    </font>
    <font>
      <u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sz val="12"/>
      <name val="Arial CE"/>
      <charset val="238"/>
    </font>
    <font>
      <b/>
      <i/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Arial CE"/>
      <charset val="238"/>
    </font>
    <font>
      <sz val="10"/>
      <name val="MS Sans Serif"/>
      <charset val="238"/>
    </font>
    <font>
      <b/>
      <sz val="8"/>
      <name val="Times New Roman CE"/>
      <charset val="238"/>
    </font>
    <font>
      <sz val="10"/>
      <name val="Arial"/>
      <charset val="238"/>
    </font>
    <font>
      <sz val="11"/>
      <color rgb="FFFF0000"/>
      <name val="Calibri"/>
      <family val="2"/>
      <charset val="238"/>
      <scheme val="minor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Times New Roman"/>
      <family val="1"/>
      <charset val="238"/>
    </font>
    <font>
      <strike/>
      <sz val="10"/>
      <name val="Cambria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b/>
      <i/>
      <sz val="13"/>
      <name val="Bookman Old Style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i/>
      <sz val="10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00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0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1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5" borderId="0" applyNumberFormat="0" applyBorder="0" applyAlignment="0" applyProtection="0"/>
    <xf numFmtId="0" fontId="54" fillId="30" borderId="0" applyNumberFormat="0" applyBorder="0" applyAlignment="0" applyProtection="0"/>
    <xf numFmtId="0" fontId="54" fillId="33" borderId="0" applyNumberFormat="0" applyBorder="0" applyAlignment="0" applyProtection="0"/>
    <xf numFmtId="0" fontId="55" fillId="23" borderId="41" applyNumberFormat="0" applyAlignment="0" applyProtection="0"/>
    <xf numFmtId="0" fontId="56" fillId="0" borderId="0" applyNumberFormat="0" applyFill="0" applyBorder="0" applyAlignment="0" applyProtection="0"/>
    <xf numFmtId="0" fontId="57" fillId="0" borderId="42" applyNumberFormat="0" applyFill="0" applyAlignment="0" applyProtection="0"/>
    <xf numFmtId="0" fontId="58" fillId="0" borderId="43" applyNumberFormat="0" applyFill="0" applyAlignment="0" applyProtection="0"/>
    <xf numFmtId="0" fontId="59" fillId="0" borderId="44" applyNumberFormat="0" applyFill="0" applyAlignment="0" applyProtection="0"/>
    <xf numFmtId="0" fontId="59" fillId="0" borderId="0" applyNumberFormat="0" applyFill="0" applyBorder="0" applyAlignment="0" applyProtection="0"/>
    <xf numFmtId="0" fontId="60" fillId="34" borderId="45" applyNumberFormat="0" applyAlignment="0" applyProtection="0"/>
    <xf numFmtId="43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46" applyNumberFormat="0" applyFill="0" applyAlignment="0" applyProtection="0"/>
    <xf numFmtId="0" fontId="52" fillId="35" borderId="47" applyNumberFormat="0" applyFont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9" borderId="0" applyNumberFormat="0" applyBorder="0" applyAlignment="0" applyProtection="0"/>
    <xf numFmtId="0" fontId="54" fillId="16" borderId="0" applyNumberFormat="0" applyBorder="0" applyAlignment="0" applyProtection="0"/>
    <xf numFmtId="0" fontId="54" fillId="24" borderId="0" applyNumberFormat="0" applyBorder="0" applyAlignment="0" applyProtection="0"/>
    <xf numFmtId="0" fontId="63" fillId="20" borderId="0" applyNumberFormat="0" applyBorder="0" applyAlignment="0" applyProtection="0"/>
    <xf numFmtId="0" fontId="64" fillId="36" borderId="48" applyNumberFormat="0" applyAlignment="0" applyProtection="0"/>
    <xf numFmtId="0" fontId="65" fillId="0" borderId="0" applyNumberFormat="0" applyFill="0" applyBorder="0" applyAlignment="0" applyProtection="0"/>
    <xf numFmtId="0" fontId="53" fillId="0" borderId="0"/>
    <xf numFmtId="0" fontId="66" fillId="0" borderId="49" applyNumberFormat="0" applyFill="0" applyAlignment="0" applyProtection="0"/>
    <xf numFmtId="0" fontId="67" fillId="19" borderId="0" applyNumberFormat="0" applyBorder="0" applyAlignment="0" applyProtection="0"/>
    <xf numFmtId="0" fontId="68" fillId="37" borderId="0" applyNumberFormat="0" applyBorder="0" applyAlignment="0" applyProtection="0"/>
    <xf numFmtId="0" fontId="69" fillId="36" borderId="41" applyNumberFormat="0" applyAlignment="0" applyProtection="0"/>
    <xf numFmtId="164" fontId="77" fillId="0" borderId="0" applyFont="0" applyFill="0" applyBorder="0" applyAlignment="0" applyProtection="0"/>
    <xf numFmtId="0" fontId="89" fillId="0" borderId="0"/>
    <xf numFmtId="0" fontId="53" fillId="0" borderId="0"/>
    <xf numFmtId="0" fontId="115" fillId="0" borderId="0"/>
    <xf numFmtId="0" fontId="105" fillId="0" borderId="0"/>
    <xf numFmtId="0" fontId="119" fillId="0" borderId="0"/>
  </cellStyleXfs>
  <cellXfs count="1562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5" fontId="0" fillId="0" borderId="0" xfId="1" applyNumberFormat="1" applyFont="1" applyBorder="1"/>
    <xf numFmtId="165" fontId="3" fillId="2" borderId="2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wrapText="1"/>
    </xf>
    <xf numFmtId="165" fontId="6" fillId="0" borderId="1" xfId="1" applyNumberFormat="1" applyFont="1" applyBorder="1"/>
    <xf numFmtId="165" fontId="6" fillId="0" borderId="0" xfId="1" applyNumberFormat="1" applyFont="1"/>
    <xf numFmtId="0" fontId="7" fillId="0" borderId="1" xfId="0" applyFont="1" applyFill="1" applyBorder="1" applyAlignment="1">
      <alignment wrapText="1"/>
    </xf>
    <xf numFmtId="165" fontId="6" fillId="0" borderId="0" xfId="0" applyNumberFormat="1" applyFont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0" xfId="0" applyFont="1" applyBorder="1"/>
    <xf numFmtId="165" fontId="6" fillId="0" borderId="0" xfId="1" applyNumberFormat="1" applyFont="1" applyBorder="1"/>
    <xf numFmtId="0" fontId="7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9" fontId="3" fillId="2" borderId="1" xfId="3" applyFont="1" applyFill="1" applyBorder="1"/>
    <xf numFmtId="165" fontId="4" fillId="2" borderId="2" xfId="1" applyNumberFormat="1" applyFont="1" applyFill="1" applyBorder="1"/>
    <xf numFmtId="9" fontId="3" fillId="0" borderId="1" xfId="3" applyFont="1" applyFill="1" applyBorder="1"/>
    <xf numFmtId="0" fontId="6" fillId="0" borderId="1" xfId="0" applyFont="1" applyFill="1" applyBorder="1"/>
    <xf numFmtId="9" fontId="6" fillId="0" borderId="1" xfId="3" applyFont="1" applyFill="1" applyBorder="1"/>
    <xf numFmtId="9" fontId="3" fillId="0" borderId="0" xfId="3" applyFont="1" applyFill="1" applyBorder="1"/>
    <xf numFmtId="9" fontId="0" fillId="0" borderId="0" xfId="3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3" applyFont="1" applyBorder="1"/>
    <xf numFmtId="165" fontId="6" fillId="4" borderId="1" xfId="1" applyNumberFormat="1" applyFont="1" applyFill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165" fontId="7" fillId="4" borderId="2" xfId="1" applyNumberFormat="1" applyFont="1" applyFill="1" applyBorder="1"/>
    <xf numFmtId="0" fontId="5" fillId="4" borderId="0" xfId="0" applyFont="1" applyFill="1"/>
    <xf numFmtId="0" fontId="3" fillId="5" borderId="1" xfId="0" applyFont="1" applyFill="1" applyBorder="1" applyAlignment="1">
      <alignment wrapText="1"/>
    </xf>
    <xf numFmtId="165" fontId="3" fillId="5" borderId="1" xfId="1" applyNumberFormat="1" applyFont="1" applyFill="1" applyBorder="1"/>
    <xf numFmtId="9" fontId="3" fillId="5" borderId="1" xfId="3" applyFont="1" applyFill="1" applyBorder="1"/>
    <xf numFmtId="0" fontId="5" fillId="4" borderId="1" xfId="0" applyFont="1" applyFill="1" applyBorder="1" applyAlignment="1">
      <alignment wrapText="1"/>
    </xf>
    <xf numFmtId="0" fontId="3" fillId="6" borderId="1" xfId="0" applyFont="1" applyFill="1" applyBorder="1"/>
    <xf numFmtId="0" fontId="1" fillId="0" borderId="0" xfId="0" applyFont="1" applyBorder="1"/>
    <xf numFmtId="165" fontId="0" fillId="0" borderId="0" xfId="3" applyNumberFormat="1" applyFont="1"/>
    <xf numFmtId="9" fontId="3" fillId="0" borderId="0" xfId="3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4" fillId="2" borderId="1" xfId="0" applyNumberFormat="1" applyFont="1" applyFill="1" applyBorder="1"/>
    <xf numFmtId="3" fontId="3" fillId="2" borderId="1" xfId="1" applyNumberFormat="1" applyFont="1" applyFill="1" applyBorder="1"/>
    <xf numFmtId="3" fontId="6" fillId="0" borderId="1" xfId="1" applyNumberFormat="1" applyFont="1" applyBorder="1"/>
    <xf numFmtId="3" fontId="7" fillId="0" borderId="1" xfId="1" applyNumberFormat="1" applyFont="1" applyBorder="1"/>
    <xf numFmtId="3" fontId="3" fillId="2" borderId="1" xfId="0" applyNumberFormat="1" applyFont="1" applyFill="1" applyBorder="1"/>
    <xf numFmtId="3" fontId="6" fillId="0" borderId="1" xfId="0" applyNumberFormat="1" applyFont="1" applyBorder="1"/>
    <xf numFmtId="3" fontId="7" fillId="5" borderId="1" xfId="1" applyNumberFormat="1" applyFont="1" applyFill="1" applyBorder="1"/>
    <xf numFmtId="3" fontId="6" fillId="0" borderId="0" xfId="0" applyNumberFormat="1" applyFont="1" applyBorder="1"/>
    <xf numFmtId="3" fontId="6" fillId="0" borderId="0" xfId="1" applyNumberFormat="1" applyFont="1" applyBorder="1"/>
    <xf numFmtId="3" fontId="8" fillId="0" borderId="0" xfId="1" applyNumberFormat="1" applyFont="1" applyBorder="1"/>
    <xf numFmtId="0" fontId="4" fillId="8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166" fontId="3" fillId="2" borderId="1" xfId="1" applyNumberFormat="1" applyFont="1" applyFill="1" applyBorder="1"/>
    <xf numFmtId="166" fontId="7" fillId="0" borderId="1" xfId="1" applyNumberFormat="1" applyFont="1" applyBorder="1"/>
    <xf numFmtId="166" fontId="3" fillId="2" borderId="1" xfId="0" applyNumberFormat="1" applyFont="1" applyFill="1" applyBorder="1"/>
    <xf numFmtId="166" fontId="4" fillId="2" borderId="1" xfId="0" applyNumberFormat="1" applyFont="1" applyFill="1" applyBorder="1"/>
    <xf numFmtId="166" fontId="6" fillId="0" borderId="0" xfId="1" applyNumberFormat="1" applyFont="1" applyBorder="1"/>
    <xf numFmtId="9" fontId="14" fillId="2" borderId="1" xfId="3" applyFont="1" applyFill="1" applyBorder="1"/>
    <xf numFmtId="0" fontId="2" fillId="0" borderId="0" xfId="0" applyFont="1"/>
    <xf numFmtId="0" fontId="17" fillId="0" borderId="0" xfId="0" applyFont="1" applyBorder="1"/>
    <xf numFmtId="3" fontId="3" fillId="0" borderId="5" xfId="0" applyNumberFormat="1" applyFont="1" applyBorder="1" applyAlignment="1">
      <alignment horizontal="center"/>
    </xf>
    <xf numFmtId="3" fontId="4" fillId="2" borderId="1" xfId="1" applyNumberFormat="1" applyFont="1" applyFill="1" applyBorder="1"/>
    <xf numFmtId="3" fontId="4" fillId="2" borderId="2" xfId="1" applyNumberFormat="1" applyFont="1" applyFill="1" applyBorder="1"/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6" fillId="0" borderId="2" xfId="1" applyNumberFormat="1" applyFont="1" applyBorder="1"/>
    <xf numFmtId="3" fontId="6" fillId="0" borderId="0" xfId="1" applyNumberFormat="1" applyFont="1"/>
    <xf numFmtId="3" fontId="6" fillId="0" borderId="0" xfId="0" applyNumberFormat="1" applyFont="1"/>
    <xf numFmtId="3" fontId="13" fillId="0" borderId="19" xfId="0" applyNumberFormat="1" applyFont="1" applyFill="1" applyBorder="1"/>
    <xf numFmtId="3" fontId="13" fillId="0" borderId="20" xfId="0" applyNumberFormat="1" applyFont="1" applyFill="1" applyBorder="1"/>
    <xf numFmtId="3" fontId="13" fillId="0" borderId="21" xfId="0" applyNumberFormat="1" applyFont="1" applyFill="1" applyBorder="1"/>
    <xf numFmtId="3" fontId="13" fillId="0" borderId="10" xfId="0" applyNumberFormat="1" applyFont="1" applyFill="1" applyBorder="1"/>
    <xf numFmtId="3" fontId="4" fillId="0" borderId="19" xfId="0" applyNumberFormat="1" applyFont="1" applyFill="1" applyBorder="1"/>
    <xf numFmtId="9" fontId="3" fillId="0" borderId="20" xfId="1" applyNumberFormat="1" applyFont="1" applyFill="1" applyBorder="1"/>
    <xf numFmtId="3" fontId="4" fillId="0" borderId="20" xfId="0" applyNumberFormat="1" applyFont="1" applyFill="1" applyBorder="1"/>
    <xf numFmtId="9" fontId="3" fillId="0" borderId="20" xfId="3" applyFont="1" applyFill="1" applyBorder="1"/>
    <xf numFmtId="9" fontId="3" fillId="0" borderId="21" xfId="3" applyFont="1" applyFill="1" applyBorder="1"/>
    <xf numFmtId="3" fontId="13" fillId="0" borderId="4" xfId="0" applyNumberFormat="1" applyFont="1" applyFill="1" applyBorder="1"/>
    <xf numFmtId="3" fontId="13" fillId="0" borderId="5" xfId="0" applyNumberFormat="1" applyFont="1" applyFill="1" applyBorder="1"/>
    <xf numFmtId="3" fontId="13" fillId="0" borderId="23" xfId="0" applyNumberFormat="1" applyFont="1" applyFill="1" applyBorder="1"/>
    <xf numFmtId="3" fontId="13" fillId="0" borderId="22" xfId="0" applyNumberFormat="1" applyFont="1" applyFill="1" applyBorder="1"/>
    <xf numFmtId="3" fontId="4" fillId="0" borderId="4" xfId="0" applyNumberFormat="1" applyFont="1" applyFill="1" applyBorder="1"/>
    <xf numFmtId="9" fontId="3" fillId="0" borderId="5" xfId="1" applyNumberFormat="1" applyFont="1" applyFill="1" applyBorder="1"/>
    <xf numFmtId="3" fontId="4" fillId="0" borderId="5" xfId="0" applyNumberFormat="1" applyFont="1" applyFill="1" applyBorder="1"/>
    <xf numFmtId="9" fontId="3" fillId="0" borderId="5" xfId="3" applyFont="1" applyFill="1" applyBorder="1"/>
    <xf numFmtId="9" fontId="3" fillId="0" borderId="23" xfId="3" applyFont="1" applyFill="1" applyBorder="1"/>
    <xf numFmtId="3" fontId="6" fillId="0" borderId="2" xfId="0" applyNumberFormat="1" applyFont="1" applyBorder="1"/>
    <xf numFmtId="9" fontId="3" fillId="2" borderId="2" xfId="3" applyFont="1" applyFill="1" applyBorder="1"/>
    <xf numFmtId="0" fontId="6" fillId="0" borderId="2" xfId="0" applyFont="1" applyBorder="1"/>
    <xf numFmtId="9" fontId="6" fillId="0" borderId="2" xfId="3" applyFont="1" applyBorder="1"/>
    <xf numFmtId="9" fontId="3" fillId="0" borderId="2" xfId="3" applyFont="1" applyBorder="1"/>
    <xf numFmtId="3" fontId="0" fillId="0" borderId="0" xfId="0" applyNumberFormat="1"/>
    <xf numFmtId="3" fontId="19" fillId="0" borderId="0" xfId="0" applyNumberFormat="1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3" fontId="22" fillId="7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23" fillId="3" borderId="1" xfId="0" applyFont="1" applyFill="1" applyBorder="1" applyAlignment="1">
      <alignment horizontal="center" vertical="center" textRotation="90" wrapText="1"/>
    </xf>
    <xf numFmtId="9" fontId="4" fillId="2" borderId="1" xfId="3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3" applyFont="1" applyBorder="1"/>
    <xf numFmtId="166" fontId="6" fillId="4" borderId="1" xfId="1" applyNumberFormat="1" applyFont="1" applyFill="1" applyBorder="1"/>
    <xf numFmtId="166" fontId="6" fillId="9" borderId="1" xfId="1" applyNumberFormat="1" applyFont="1" applyFill="1" applyBorder="1"/>
    <xf numFmtId="3" fontId="3" fillId="0" borderId="1" xfId="0" applyNumberFormat="1" applyFont="1" applyBorder="1"/>
    <xf numFmtId="3" fontId="5" fillId="0" borderId="1" xfId="1" applyNumberFormat="1" applyFont="1" applyBorder="1"/>
    <xf numFmtId="3" fontId="1" fillId="0" borderId="1" xfId="0" applyNumberFormat="1" applyFont="1" applyBorder="1"/>
    <xf numFmtId="3" fontId="1" fillId="0" borderId="1" xfId="1" applyNumberFormat="1" applyFont="1" applyBorder="1"/>
    <xf numFmtId="3" fontId="6" fillId="4" borderId="1" xfId="0" applyNumberFormat="1" applyFont="1" applyFill="1" applyBorder="1"/>
    <xf numFmtId="3" fontId="6" fillId="4" borderId="1" xfId="1" applyNumberFormat="1" applyFont="1" applyFill="1" applyBorder="1"/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9" fontId="14" fillId="0" borderId="1" xfId="3" applyFont="1" applyFill="1" applyBorder="1"/>
    <xf numFmtId="0" fontId="3" fillId="0" borderId="2" xfId="0" applyFont="1" applyBorder="1" applyAlignment="1">
      <alignment horizontal="center"/>
    </xf>
    <xf numFmtId="3" fontId="31" fillId="0" borderId="1" xfId="0" applyNumberFormat="1" applyFont="1" applyFill="1" applyBorder="1"/>
    <xf numFmtId="166" fontId="26" fillId="9" borderId="1" xfId="1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6" fontId="6" fillId="0" borderId="1" xfId="1" applyNumberFormat="1" applyFont="1" applyFill="1" applyBorder="1"/>
    <xf numFmtId="166" fontId="4" fillId="0" borderId="1" xfId="1" applyNumberFormat="1" applyFont="1" applyFill="1" applyBorder="1"/>
    <xf numFmtId="3" fontId="4" fillId="0" borderId="22" xfId="0" applyNumberFormat="1" applyFont="1" applyFill="1" applyBorder="1" applyAlignment="1">
      <alignment vertical="center"/>
    </xf>
    <xf numFmtId="3" fontId="6" fillId="0" borderId="10" xfId="1" applyNumberFormat="1" applyFont="1" applyBorder="1" applyAlignment="1">
      <alignment vertical="center"/>
    </xf>
    <xf numFmtId="166" fontId="3" fillId="0" borderId="1" xfId="1" applyNumberFormat="1" applyFont="1" applyFill="1" applyBorder="1"/>
    <xf numFmtId="3" fontId="6" fillId="0" borderId="1" xfId="1" applyNumberFormat="1" applyFont="1" applyBorder="1" applyAlignment="1">
      <alignment vertical="center"/>
    </xf>
    <xf numFmtId="3" fontId="19" fillId="0" borderId="3" xfId="0" applyNumberFormat="1" applyFont="1" applyBorder="1"/>
    <xf numFmtId="3" fontId="19" fillId="0" borderId="23" xfId="0" applyNumberFormat="1" applyFont="1" applyBorder="1"/>
    <xf numFmtId="3" fontId="6" fillId="0" borderId="22" xfId="1" applyNumberFormat="1" applyFont="1" applyFill="1" applyBorder="1"/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/>
    <xf numFmtId="3" fontId="1" fillId="0" borderId="1" xfId="1" applyNumberFormat="1" applyFont="1" applyFill="1" applyBorder="1"/>
    <xf numFmtId="9" fontId="2" fillId="0" borderId="1" xfId="3" applyFont="1" applyFill="1" applyBorder="1"/>
    <xf numFmtId="0" fontId="26" fillId="0" borderId="1" xfId="0" applyFont="1" applyFill="1" applyBorder="1" applyAlignment="1">
      <alignment wrapText="1"/>
    </xf>
    <xf numFmtId="166" fontId="26" fillId="0" borderId="1" xfId="1" applyNumberFormat="1" applyFont="1" applyFill="1" applyBorder="1"/>
    <xf numFmtId="3" fontId="19" fillId="0" borderId="3" xfId="0" applyNumberFormat="1" applyFont="1" applyFill="1" applyBorder="1"/>
    <xf numFmtId="3" fontId="19" fillId="0" borderId="23" xfId="0" applyNumberFormat="1" applyFont="1" applyFill="1" applyBorder="1"/>
    <xf numFmtId="0" fontId="0" fillId="0" borderId="20" xfId="0" applyBorder="1"/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165" fontId="3" fillId="9" borderId="1" xfId="1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textRotation="90" wrapText="1"/>
    </xf>
    <xf numFmtId="0" fontId="24" fillId="9" borderId="1" xfId="0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/>
    <xf numFmtId="3" fontId="7" fillId="0" borderId="2" xfId="1" applyNumberFormat="1" applyFont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7" fillId="5" borderId="2" xfId="1" applyNumberFormat="1" applyFont="1" applyFill="1" applyBorder="1"/>
    <xf numFmtId="3" fontId="19" fillId="0" borderId="6" xfId="0" applyNumberFormat="1" applyFont="1" applyBorder="1"/>
    <xf numFmtId="3" fontId="19" fillId="0" borderId="22" xfId="0" applyNumberFormat="1" applyFont="1" applyBorder="1"/>
    <xf numFmtId="0" fontId="0" fillId="0" borderId="6" xfId="0" applyBorder="1"/>
    <xf numFmtId="3" fontId="19" fillId="0" borderId="1" xfId="0" applyNumberFormat="1" applyFont="1" applyBorder="1"/>
    <xf numFmtId="3" fontId="31" fillId="0" borderId="2" xfId="0" applyNumberFormat="1" applyFont="1" applyFill="1" applyBorder="1"/>
    <xf numFmtId="0" fontId="3" fillId="0" borderId="22" xfId="0" applyFont="1" applyFill="1" applyBorder="1" applyAlignment="1">
      <alignment horizontal="center"/>
    </xf>
    <xf numFmtId="9" fontId="36" fillId="2" borderId="1" xfId="3" applyFont="1" applyFill="1" applyBorder="1"/>
    <xf numFmtId="9" fontId="36" fillId="2" borderId="2" xfId="3" applyFont="1" applyFill="1" applyBorder="1"/>
    <xf numFmtId="9" fontId="3" fillId="0" borderId="3" xfId="3" applyFont="1" applyFill="1" applyBorder="1"/>
    <xf numFmtId="3" fontId="6" fillId="0" borderId="8" xfId="1" applyNumberFormat="1" applyFont="1" applyBorder="1"/>
    <xf numFmtId="9" fontId="2" fillId="0" borderId="1" xfId="1" applyNumberFormat="1" applyFont="1" applyBorder="1"/>
    <xf numFmtId="9" fontId="2" fillId="0" borderId="1" xfId="3" applyNumberFormat="1" applyFont="1" applyBorder="1"/>
    <xf numFmtId="9" fontId="14" fillId="2" borderId="1" xfId="1" applyNumberFormat="1" applyFont="1" applyFill="1" applyBorder="1"/>
    <xf numFmtId="9" fontId="14" fillId="0" borderId="1" xfId="1" applyNumberFormat="1" applyFont="1" applyBorder="1"/>
    <xf numFmtId="9" fontId="14" fillId="6" borderId="1" xfId="1" applyNumberFormat="1" applyFont="1" applyFill="1" applyBorder="1"/>
    <xf numFmtId="9" fontId="14" fillId="2" borderId="1" xfId="1" applyNumberFormat="1" applyFont="1" applyFill="1" applyBorder="1" applyAlignment="1"/>
    <xf numFmtId="9" fontId="2" fillId="0" borderId="1" xfId="0" applyNumberFormat="1" applyFont="1" applyBorder="1" applyAlignment="1"/>
    <xf numFmtId="9" fontId="36" fillId="2" borderId="1" xfId="0" applyNumberFormat="1" applyFont="1" applyFill="1" applyBorder="1" applyAlignment="1"/>
    <xf numFmtId="9" fontId="2" fillId="0" borderId="1" xfId="1" applyNumberFormat="1" applyFont="1" applyBorder="1" applyAlignment="1"/>
    <xf numFmtId="3" fontId="6" fillId="0" borderId="6" xfId="1" applyNumberFormat="1" applyFont="1" applyFill="1" applyBorder="1"/>
    <xf numFmtId="3" fontId="3" fillId="6" borderId="1" xfId="1" applyNumberFormat="1" applyFont="1" applyFill="1" applyBorder="1"/>
    <xf numFmtId="3" fontId="3" fillId="2" borderId="1" xfId="1" applyNumberFormat="1" applyFont="1" applyFill="1" applyBorder="1" applyAlignment="1"/>
    <xf numFmtId="3" fontId="6" fillId="0" borderId="0" xfId="1" applyNumberFormat="1" applyFont="1" applyBorder="1" applyAlignment="1"/>
    <xf numFmtId="3" fontId="6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6" fillId="0" borderId="1" xfId="0" applyNumberFormat="1" applyFont="1" applyBorder="1" applyAlignment="1"/>
    <xf numFmtId="3" fontId="6" fillId="0" borderId="1" xfId="1" applyNumberFormat="1" applyFont="1" applyBorder="1" applyAlignment="1"/>
    <xf numFmtId="0" fontId="6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0" fontId="35" fillId="0" borderId="0" xfId="0" applyFont="1" applyBorder="1" applyAlignment="1">
      <alignment horizontal="right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35" fillId="0" borderId="0" xfId="0" applyFont="1" applyBorder="1" applyAlignment="1">
      <alignment vertical="center"/>
    </xf>
    <xf numFmtId="0" fontId="35" fillId="0" borderId="0" xfId="0" applyFont="1" applyBorder="1" applyAlignment="1"/>
    <xf numFmtId="0" fontId="6" fillId="8" borderId="1" xfId="0" applyFont="1" applyFill="1" applyBorder="1" applyAlignment="1">
      <alignment vertical="center"/>
    </xf>
    <xf numFmtId="3" fontId="13" fillId="8" borderId="1" xfId="0" applyNumberFormat="1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7" fillId="0" borderId="19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9" fontId="27" fillId="0" borderId="1" xfId="3" applyFont="1" applyFill="1" applyBorder="1"/>
    <xf numFmtId="3" fontId="19" fillId="0" borderId="8" xfId="0" applyNumberFormat="1" applyFont="1" applyFill="1" applyBorder="1"/>
    <xf numFmtId="3" fontId="19" fillId="0" borderId="1" xfId="0" applyNumberFormat="1" applyFont="1" applyFill="1" applyBorder="1"/>
    <xf numFmtId="3" fontId="22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1" fillId="8" borderId="1" xfId="0" applyFont="1" applyFill="1" applyBorder="1" applyAlignment="1">
      <alignment vertical="center" wrapText="1"/>
    </xf>
    <xf numFmtId="3" fontId="31" fillId="8" borderId="1" xfId="0" applyNumberFormat="1" applyFont="1" applyFill="1" applyBorder="1" applyAlignment="1">
      <alignment vertical="center"/>
    </xf>
    <xf numFmtId="9" fontId="32" fillId="8" borderId="1" xfId="3" applyFont="1" applyFill="1" applyBorder="1" applyAlignment="1">
      <alignment vertical="center"/>
    </xf>
    <xf numFmtId="9" fontId="3" fillId="8" borderId="1" xfId="3" applyFont="1" applyFill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0" fontId="31" fillId="2" borderId="1" xfId="0" applyFont="1" applyFill="1" applyBorder="1" applyAlignment="1">
      <alignment wrapText="1"/>
    </xf>
    <xf numFmtId="3" fontId="31" fillId="2" borderId="1" xfId="1" applyNumberFormat="1" applyFont="1" applyFill="1" applyBorder="1"/>
    <xf numFmtId="0" fontId="11" fillId="2" borderId="1" xfId="0" applyFont="1" applyFill="1" applyBorder="1" applyAlignment="1">
      <alignment wrapText="1"/>
    </xf>
    <xf numFmtId="3" fontId="11" fillId="2" borderId="1" xfId="1" applyNumberFormat="1" applyFont="1" applyFill="1" applyBorder="1"/>
    <xf numFmtId="3" fontId="20" fillId="0" borderId="5" xfId="0" applyNumberFormat="1" applyFont="1" applyBorder="1" applyAlignment="1">
      <alignment horizontal="center"/>
    </xf>
    <xf numFmtId="3" fontId="20" fillId="0" borderId="22" xfId="0" applyNumberFormat="1" applyFont="1" applyFill="1" applyBorder="1" applyAlignment="1">
      <alignment horizontal="center"/>
    </xf>
    <xf numFmtId="3" fontId="19" fillId="0" borderId="1" xfId="1" applyNumberFormat="1" applyFont="1" applyBorder="1"/>
    <xf numFmtId="3" fontId="20" fillId="2" borderId="1" xfId="1" applyNumberFormat="1" applyFont="1" applyFill="1" applyBorder="1"/>
    <xf numFmtId="3" fontId="20" fillId="0" borderId="1" xfId="1" applyNumberFormat="1" applyFont="1" applyBorder="1"/>
    <xf numFmtId="3" fontId="20" fillId="6" borderId="1" xfId="1" applyNumberFormat="1" applyFont="1" applyFill="1" applyBorder="1"/>
    <xf numFmtId="3" fontId="20" fillId="2" borderId="1" xfId="1" applyNumberFormat="1" applyFont="1" applyFill="1" applyBorder="1" applyAlignment="1"/>
    <xf numFmtId="3" fontId="20" fillId="2" borderId="1" xfId="0" applyNumberFormat="1" applyFont="1" applyFill="1" applyBorder="1" applyAlignment="1"/>
    <xf numFmtId="9" fontId="21" fillId="2" borderId="1" xfId="3" applyFont="1" applyFill="1" applyBorder="1"/>
    <xf numFmtId="9" fontId="37" fillId="0" borderId="1" xfId="3" applyFont="1" applyBorder="1"/>
    <xf numFmtId="9" fontId="21" fillId="0" borderId="1" xfId="3" applyFont="1" applyBorder="1"/>
    <xf numFmtId="9" fontId="21" fillId="6" borderId="1" xfId="3" applyFont="1" applyFill="1" applyBorder="1"/>
    <xf numFmtId="9" fontId="21" fillId="2" borderId="1" xfId="3" applyFont="1" applyFill="1" applyBorder="1" applyAlignment="1"/>
    <xf numFmtId="9" fontId="40" fillId="2" borderId="1" xfId="3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7" fillId="0" borderId="1" xfId="1" applyNumberFormat="1" applyFont="1" applyFill="1" applyBorder="1"/>
    <xf numFmtId="3" fontId="33" fillId="7" borderId="1" xfId="1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/>
    <xf numFmtId="3" fontId="6" fillId="0" borderId="0" xfId="1" applyNumberFormat="1" applyFont="1" applyAlignment="1"/>
    <xf numFmtId="3" fontId="6" fillId="0" borderId="0" xfId="0" applyNumberFormat="1" applyFont="1" applyAlignment="1"/>
    <xf numFmtId="9" fontId="21" fillId="0" borderId="1" xfId="3" applyFont="1" applyFill="1" applyBorder="1"/>
    <xf numFmtId="9" fontId="21" fillId="5" borderId="1" xfId="3" applyFont="1" applyFill="1" applyBorder="1"/>
    <xf numFmtId="0" fontId="8" fillId="0" borderId="10" xfId="0" applyFont="1" applyBorder="1"/>
    <xf numFmtId="0" fontId="8" fillId="0" borderId="10" xfId="0" applyFont="1" applyBorder="1" applyAlignment="1">
      <alignment wrapText="1"/>
    </xf>
    <xf numFmtId="3" fontId="6" fillId="0" borderId="10" xfId="1" applyNumberFormat="1" applyFont="1" applyBorder="1" applyAlignment="1">
      <alignment horizontal="right"/>
    </xf>
    <xf numFmtId="3" fontId="6" fillId="0" borderId="10" xfId="1" applyNumberFormat="1" applyFont="1" applyBorder="1" applyAlignment="1"/>
    <xf numFmtId="9" fontId="21" fillId="0" borderId="10" xfId="3" applyFont="1" applyFill="1" applyBorder="1"/>
    <xf numFmtId="9" fontId="6" fillId="0" borderId="19" xfId="3" applyFont="1" applyBorder="1"/>
    <xf numFmtId="0" fontId="1" fillId="2" borderId="1" xfId="0" applyFont="1" applyFill="1" applyBorder="1" applyAlignment="1">
      <alignment wrapText="1"/>
    </xf>
    <xf numFmtId="3" fontId="3" fillId="5" borderId="1" xfId="1" applyNumberFormat="1" applyFont="1" applyFill="1" applyBorder="1"/>
    <xf numFmtId="3" fontId="3" fillId="0" borderId="2" xfId="1" applyNumberFormat="1" applyFont="1" applyFill="1" applyBorder="1"/>
    <xf numFmtId="3" fontId="3" fillId="5" borderId="1" xfId="0" applyNumberFormat="1" applyFont="1" applyFill="1" applyBorder="1"/>
    <xf numFmtId="3" fontId="7" fillId="4" borderId="2" xfId="0" applyNumberFormat="1" applyFont="1" applyFill="1" applyBorder="1"/>
    <xf numFmtId="3" fontId="7" fillId="4" borderId="2" xfId="1" applyNumberFormat="1" applyFont="1" applyFill="1" applyBorder="1"/>
    <xf numFmtId="3" fontId="0" fillId="0" borderId="0" xfId="1" applyNumberFormat="1" applyFont="1" applyBorder="1"/>
    <xf numFmtId="3" fontId="3" fillId="2" borderId="2" xfId="1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35" fillId="0" borderId="0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/>
    </xf>
    <xf numFmtId="3" fontId="6" fillId="0" borderId="2" xfId="1" applyNumberFormat="1" applyFont="1" applyBorder="1" applyAlignment="1">
      <alignment horizontal="right"/>
    </xf>
    <xf numFmtId="3" fontId="7" fillId="0" borderId="1" xfId="1" applyNumberFormat="1" applyFont="1" applyBorder="1" applyAlignment="1"/>
    <xf numFmtId="3" fontId="6" fillId="0" borderId="2" xfId="0" applyNumberFormat="1" applyFont="1" applyBorder="1" applyAlignment="1"/>
    <xf numFmtId="3" fontId="6" fillId="0" borderId="2" xfId="1" applyNumberFormat="1" applyFont="1" applyBorder="1" applyAlignment="1"/>
    <xf numFmtId="3" fontId="4" fillId="2" borderId="1" xfId="1" applyNumberFormat="1" applyFont="1" applyFill="1" applyBorder="1" applyAlignment="1"/>
    <xf numFmtId="3" fontId="7" fillId="0" borderId="1" xfId="0" applyNumberFormat="1" applyFont="1" applyFill="1" applyBorder="1" applyAlignment="1"/>
    <xf numFmtId="3" fontId="6" fillId="0" borderId="1" xfId="1" applyNumberFormat="1" applyFont="1" applyFill="1" applyBorder="1" applyAlignment="1"/>
    <xf numFmtId="3" fontId="3" fillId="2" borderId="1" xfId="0" applyNumberFormat="1" applyFont="1" applyFill="1" applyBorder="1" applyAlignment="1"/>
    <xf numFmtId="3" fontId="6" fillId="0" borderId="2" xfId="1" applyNumberFormat="1" applyFont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1" fillId="0" borderId="0" xfId="0" applyNumberFormat="1" applyFont="1" applyBorder="1"/>
    <xf numFmtId="0" fontId="26" fillId="0" borderId="0" xfId="0" applyFont="1" applyBorder="1"/>
    <xf numFmtId="0" fontId="3" fillId="0" borderId="0" xfId="0" applyFont="1" applyBorder="1"/>
    <xf numFmtId="3" fontId="26" fillId="0" borderId="0" xfId="0" applyNumberFormat="1" applyFont="1" applyBorder="1" applyAlignment="1">
      <alignment horizontal="center"/>
    </xf>
    <xf numFmtId="3" fontId="26" fillId="5" borderId="0" xfId="0" applyNumberFormat="1" applyFont="1" applyFill="1" applyBorder="1" applyAlignment="1">
      <alignment horizontal="center"/>
    </xf>
    <xf numFmtId="3" fontId="6" fillId="5" borderId="0" xfId="0" applyNumberFormat="1" applyFont="1" applyFill="1" applyBorder="1"/>
    <xf numFmtId="3" fontId="26" fillId="0" borderId="0" xfId="0" applyNumberFormat="1" applyFont="1" applyFill="1" applyBorder="1" applyAlignment="1">
      <alignment horizontal="center"/>
    </xf>
    <xf numFmtId="3" fontId="25" fillId="5" borderId="0" xfId="0" applyNumberFormat="1" applyFont="1" applyFill="1" applyBorder="1"/>
    <xf numFmtId="0" fontId="1" fillId="0" borderId="0" xfId="0" applyFont="1" applyFill="1" applyBorder="1"/>
    <xf numFmtId="0" fontId="41" fillId="0" borderId="0" xfId="0" applyFont="1" applyFill="1" applyBorder="1"/>
    <xf numFmtId="3" fontId="41" fillId="0" borderId="0" xfId="1" applyNumberFormat="1" applyFont="1" applyBorder="1"/>
    <xf numFmtId="0" fontId="41" fillId="0" borderId="0" xfId="0" applyFont="1"/>
    <xf numFmtId="0" fontId="43" fillId="0" borderId="0" xfId="0" applyFont="1" applyBorder="1"/>
    <xf numFmtId="3" fontId="43" fillId="0" borderId="0" xfId="0" applyNumberFormat="1" applyFont="1" applyBorder="1"/>
    <xf numFmtId="3" fontId="43" fillId="0" borderId="0" xfId="1" applyNumberFormat="1" applyFont="1" applyBorder="1"/>
    <xf numFmtId="0" fontId="6" fillId="10" borderId="0" xfId="0" applyFont="1" applyFill="1" applyBorder="1"/>
    <xf numFmtId="3" fontId="6" fillId="10" borderId="0" xfId="0" applyNumberFormat="1" applyFont="1" applyFill="1" applyBorder="1"/>
    <xf numFmtId="3" fontId="6" fillId="10" borderId="0" xfId="1" applyNumberFormat="1" applyFont="1" applyFill="1" applyBorder="1"/>
    <xf numFmtId="165" fontId="6" fillId="10" borderId="0" xfId="1" applyNumberFormat="1" applyFont="1" applyFill="1" applyBorder="1"/>
    <xf numFmtId="0" fontId="6" fillId="10" borderId="0" xfId="0" applyFont="1" applyFill="1"/>
    <xf numFmtId="0" fontId="1" fillId="11" borderId="2" xfId="0" applyFont="1" applyFill="1" applyBorder="1"/>
    <xf numFmtId="3" fontId="6" fillId="11" borderId="8" xfId="0" applyNumberFormat="1" applyFont="1" applyFill="1" applyBorder="1"/>
    <xf numFmtId="3" fontId="6" fillId="11" borderId="9" xfId="0" applyNumberFormat="1" applyFont="1" applyFill="1" applyBorder="1"/>
    <xf numFmtId="3" fontId="3" fillId="3" borderId="8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Border="1"/>
    <xf numFmtId="3" fontId="13" fillId="0" borderId="0" xfId="0" applyNumberFormat="1" applyFont="1" applyFill="1" applyBorder="1"/>
    <xf numFmtId="3" fontId="4" fillId="0" borderId="0" xfId="0" applyNumberFormat="1" applyFont="1" applyFill="1" applyBorder="1"/>
    <xf numFmtId="9" fontId="3" fillId="0" borderId="0" xfId="1" applyNumberFormat="1" applyFont="1" applyFill="1" applyBorder="1"/>
    <xf numFmtId="3" fontId="31" fillId="0" borderId="0" xfId="0" applyNumberFormat="1" applyFont="1" applyFill="1" applyBorder="1"/>
    <xf numFmtId="3" fontId="22" fillId="7" borderId="0" xfId="0" applyNumberFormat="1" applyFont="1" applyFill="1" applyBorder="1" applyAlignment="1">
      <alignment horizontal="center"/>
    </xf>
    <xf numFmtId="0" fontId="4" fillId="8" borderId="0" xfId="0" applyFont="1" applyFill="1" applyBorder="1"/>
    <xf numFmtId="0" fontId="31" fillId="8" borderId="0" xfId="0" applyFont="1" applyFill="1" applyBorder="1" applyAlignment="1">
      <alignment vertical="center" wrapText="1"/>
    </xf>
    <xf numFmtId="3" fontId="31" fillId="8" borderId="0" xfId="0" applyNumberFormat="1" applyFont="1" applyFill="1" applyBorder="1" applyAlignment="1">
      <alignment vertical="center"/>
    </xf>
    <xf numFmtId="3" fontId="13" fillId="8" borderId="0" xfId="0" applyNumberFormat="1" applyFont="1" applyFill="1" applyBorder="1" applyAlignment="1">
      <alignment vertical="center"/>
    </xf>
    <xf numFmtId="9" fontId="3" fillId="8" borderId="0" xfId="1" applyNumberFormat="1" applyFont="1" applyFill="1" applyBorder="1" applyAlignment="1">
      <alignment vertical="center"/>
    </xf>
    <xf numFmtId="9" fontId="32" fillId="8" borderId="0" xfId="3" applyFont="1" applyFill="1" applyBorder="1" applyAlignment="1">
      <alignment vertical="center"/>
    </xf>
    <xf numFmtId="0" fontId="4" fillId="0" borderId="0" xfId="0" applyFont="1" applyFill="1" applyBorder="1"/>
    <xf numFmtId="0" fontId="13" fillId="0" borderId="0" xfId="0" applyFont="1" applyFill="1" applyBorder="1" applyAlignment="1">
      <alignment wrapText="1"/>
    </xf>
    <xf numFmtId="9" fontId="12" fillId="0" borderId="0" xfId="1" applyNumberFormat="1" applyFont="1" applyFill="1" applyBorder="1"/>
    <xf numFmtId="9" fontId="27" fillId="0" borderId="0" xfId="3" applyFont="1" applyFill="1" applyBorder="1"/>
    <xf numFmtId="0" fontId="3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3" fontId="7" fillId="0" borderId="0" xfId="1" applyNumberFormat="1" applyFont="1" applyBorder="1"/>
    <xf numFmtId="9" fontId="12" fillId="0" borderId="0" xfId="3" applyFont="1" applyFill="1" applyBorder="1"/>
    <xf numFmtId="0" fontId="3" fillId="11" borderId="0" xfId="0" applyFont="1" applyFill="1" applyBorder="1"/>
    <xf numFmtId="3" fontId="3" fillId="11" borderId="0" xfId="0" applyNumberFormat="1" applyFont="1" applyFill="1" applyBorder="1"/>
    <xf numFmtId="3" fontId="7" fillId="0" borderId="20" xfId="1" applyNumberFormat="1" applyFont="1" applyBorder="1"/>
    <xf numFmtId="9" fontId="26" fillId="0" borderId="1" xfId="3" applyFont="1" applyFill="1" applyBorder="1"/>
    <xf numFmtId="0" fontId="45" fillId="0" borderId="1" xfId="0" applyFont="1" applyFill="1" applyBorder="1" applyAlignment="1">
      <alignment wrapText="1"/>
    </xf>
    <xf numFmtId="3" fontId="20" fillId="0" borderId="2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166" fontId="1" fillId="4" borderId="1" xfId="1" applyNumberFormat="1" applyFont="1" applyFill="1" applyBorder="1"/>
    <xf numFmtId="3" fontId="46" fillId="0" borderId="0" xfId="0" applyNumberFormat="1" applyFont="1" applyBorder="1"/>
    <xf numFmtId="166" fontId="1" fillId="0" borderId="1" xfId="1" applyNumberFormat="1" applyFont="1" applyFill="1" applyBorder="1"/>
    <xf numFmtId="3" fontId="3" fillId="0" borderId="2" xfId="1" applyNumberFormat="1" applyFont="1" applyBorder="1"/>
    <xf numFmtId="165" fontId="3" fillId="0" borderId="1" xfId="1" applyNumberFormat="1" applyFont="1" applyBorder="1"/>
    <xf numFmtId="166" fontId="4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25" fillId="0" borderId="20" xfId="0" applyNumberFormat="1" applyFont="1" applyBorder="1"/>
    <xf numFmtId="0" fontId="25" fillId="0" borderId="20" xfId="0" applyFont="1" applyBorder="1"/>
    <xf numFmtId="166" fontId="3" fillId="0" borderId="0" xfId="0" applyNumberFormat="1" applyFont="1" applyBorder="1"/>
    <xf numFmtId="3" fontId="47" fillId="12" borderId="0" xfId="0" applyNumberFormat="1" applyFont="1" applyFill="1" applyBorder="1"/>
    <xf numFmtId="0" fontId="48" fillId="12" borderId="0" xfId="0" applyFont="1" applyFill="1" applyBorder="1"/>
    <xf numFmtId="0" fontId="3" fillId="14" borderId="0" xfId="0" applyFont="1" applyFill="1" applyBorder="1"/>
    <xf numFmtId="166" fontId="1" fillId="0" borderId="1" xfId="1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8" xfId="1" applyNumberFormat="1" applyFont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3" fontId="3" fillId="0" borderId="9" xfId="0" applyNumberFormat="1" applyFont="1" applyFill="1" applyBorder="1"/>
    <xf numFmtId="3" fontId="6" fillId="0" borderId="8" xfId="1" applyNumberFormat="1" applyFont="1" applyFill="1" applyBorder="1"/>
    <xf numFmtId="3" fontId="1" fillId="0" borderId="0" xfId="1" applyNumberFormat="1" applyFont="1" applyBorder="1"/>
    <xf numFmtId="0" fontId="6" fillId="0" borderId="31" xfId="0" applyFont="1" applyBorder="1"/>
    <xf numFmtId="0" fontId="6" fillId="0" borderId="16" xfId="0" applyFont="1" applyBorder="1"/>
    <xf numFmtId="165" fontId="6" fillId="0" borderId="16" xfId="1" applyNumberFormat="1" applyFont="1" applyBorder="1"/>
    <xf numFmtId="0" fontId="6" fillId="0" borderId="18" xfId="0" applyFont="1" applyBorder="1"/>
    <xf numFmtId="0" fontId="1" fillId="0" borderId="32" xfId="0" applyFont="1" applyBorder="1"/>
    <xf numFmtId="0" fontId="1" fillId="0" borderId="32" xfId="0" applyFont="1" applyFill="1" applyBorder="1"/>
    <xf numFmtId="0" fontId="1" fillId="0" borderId="34" xfId="0" applyFont="1" applyBorder="1"/>
    <xf numFmtId="0" fontId="6" fillId="0" borderId="32" xfId="0" applyFont="1" applyBorder="1"/>
    <xf numFmtId="0" fontId="3" fillId="0" borderId="34" xfId="0" applyFont="1" applyBorder="1"/>
    <xf numFmtId="0" fontId="6" fillId="0" borderId="33" xfId="0" applyFont="1" applyBorder="1"/>
    <xf numFmtId="0" fontId="3" fillId="13" borderId="35" xfId="0" applyFont="1" applyFill="1" applyBorder="1"/>
    <xf numFmtId="0" fontId="3" fillId="13" borderId="26" xfId="0" applyFont="1" applyFill="1" applyBorder="1"/>
    <xf numFmtId="3" fontId="3" fillId="13" borderId="26" xfId="0" applyNumberFormat="1" applyFont="1" applyFill="1" applyBorder="1"/>
    <xf numFmtId="3" fontId="3" fillId="13" borderId="26" xfId="1" applyNumberFormat="1" applyFont="1" applyFill="1" applyBorder="1"/>
    <xf numFmtId="3" fontId="3" fillId="13" borderId="36" xfId="0" applyNumberFormat="1" applyFont="1" applyFill="1" applyBorder="1"/>
    <xf numFmtId="0" fontId="10" fillId="0" borderId="11" xfId="0" applyFont="1" applyBorder="1"/>
    <xf numFmtId="0" fontId="6" fillId="0" borderId="13" xfId="0" applyFont="1" applyBorder="1"/>
    <xf numFmtId="0" fontId="10" fillId="0" borderId="31" xfId="0" applyFont="1" applyBorder="1"/>
    <xf numFmtId="0" fontId="1" fillId="0" borderId="16" xfId="0" applyFont="1" applyBorder="1"/>
    <xf numFmtId="3" fontId="6" fillId="0" borderId="18" xfId="0" applyNumberFormat="1" applyFont="1" applyBorder="1"/>
    <xf numFmtId="3" fontId="6" fillId="0" borderId="16" xfId="0" applyNumberFormat="1" applyFont="1" applyBorder="1"/>
    <xf numFmtId="3" fontId="6" fillId="0" borderId="16" xfId="1" applyNumberFormat="1" applyFont="1" applyBorder="1"/>
    <xf numFmtId="3" fontId="6" fillId="0" borderId="16" xfId="0" applyNumberFormat="1" applyFont="1" applyBorder="1" applyAlignment="1"/>
    <xf numFmtId="0" fontId="17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6" fontId="7" fillId="0" borderId="32" xfId="1" applyNumberFormat="1" applyFont="1" applyBorder="1"/>
    <xf numFmtId="9" fontId="14" fillId="0" borderId="33" xfId="3" applyFont="1" applyFill="1" applyBorder="1"/>
    <xf numFmtId="3" fontId="6" fillId="0" borderId="32" xfId="0" applyNumberFormat="1" applyFont="1" applyBorder="1"/>
    <xf numFmtId="3" fontId="6" fillId="0" borderId="31" xfId="0" applyNumberFormat="1" applyFont="1" applyBorder="1"/>
    <xf numFmtId="3" fontId="3" fillId="0" borderId="34" xfId="0" applyNumberFormat="1" applyFont="1" applyBorder="1"/>
    <xf numFmtId="3" fontId="1" fillId="0" borderId="32" xfId="0" applyNumberFormat="1" applyFont="1" applyBorder="1"/>
    <xf numFmtId="3" fontId="3" fillId="13" borderId="35" xfId="0" applyNumberFormat="1" applyFont="1" applyFill="1" applyBorder="1"/>
    <xf numFmtId="3" fontId="3" fillId="0" borderId="34" xfId="0" applyNumberFormat="1" applyFont="1" applyFill="1" applyBorder="1"/>
    <xf numFmtId="0" fontId="6" fillId="0" borderId="37" xfId="0" applyFont="1" applyBorder="1"/>
    <xf numFmtId="0" fontId="6" fillId="0" borderId="38" xfId="0" applyFont="1" applyBorder="1"/>
    <xf numFmtId="9" fontId="12" fillId="0" borderId="33" xfId="3" applyFont="1" applyFill="1" applyBorder="1"/>
    <xf numFmtId="3" fontId="6" fillId="0" borderId="32" xfId="0" applyNumberFormat="1" applyFont="1" applyBorder="1" applyAlignment="1"/>
    <xf numFmtId="3" fontId="6" fillId="0" borderId="31" xfId="0" applyNumberFormat="1" applyFont="1" applyBorder="1" applyAlignment="1"/>
    <xf numFmtId="3" fontId="6" fillId="0" borderId="33" xfId="0" applyNumberFormat="1" applyFont="1" applyBorder="1"/>
    <xf numFmtId="165" fontId="6" fillId="0" borderId="38" xfId="1" applyNumberFormat="1" applyFont="1" applyBorder="1"/>
    <xf numFmtId="3" fontId="13" fillId="0" borderId="32" xfId="0" applyNumberFormat="1" applyFont="1" applyFill="1" applyBorder="1" applyAlignment="1">
      <alignment horizontal="center"/>
    </xf>
    <xf numFmtId="3" fontId="6" fillId="0" borderId="32" xfId="1" applyNumberFormat="1" applyFont="1" applyBorder="1"/>
    <xf numFmtId="3" fontId="7" fillId="0" borderId="33" xfId="1" applyNumberFormat="1" applyFont="1" applyBorder="1"/>
    <xf numFmtId="3" fontId="6" fillId="0" borderId="15" xfId="0" applyNumberFormat="1" applyFont="1" applyBorder="1"/>
    <xf numFmtId="3" fontId="6" fillId="0" borderId="33" xfId="1" applyNumberFormat="1" applyFont="1" applyBorder="1"/>
    <xf numFmtId="3" fontId="6" fillId="0" borderId="18" xfId="1" applyNumberFormat="1" applyFont="1" applyBorder="1"/>
    <xf numFmtId="3" fontId="3" fillId="0" borderId="39" xfId="0" applyNumberFormat="1" applyFont="1" applyBorder="1"/>
    <xf numFmtId="3" fontId="1" fillId="0" borderId="33" xfId="0" applyNumberFormat="1" applyFont="1" applyBorder="1"/>
    <xf numFmtId="3" fontId="3" fillId="13" borderId="28" xfId="0" applyNumberFormat="1" applyFont="1" applyFill="1" applyBorder="1"/>
    <xf numFmtId="165" fontId="6" fillId="0" borderId="33" xfId="1" applyNumberFormat="1" applyFont="1" applyBorder="1"/>
    <xf numFmtId="165" fontId="6" fillId="0" borderId="18" xfId="1" applyNumberFormat="1" applyFont="1" applyBorder="1"/>
    <xf numFmtId="3" fontId="3" fillId="0" borderId="39" xfId="0" applyNumberFormat="1" applyFont="1" applyFill="1" applyBorder="1"/>
    <xf numFmtId="165" fontId="6" fillId="0" borderId="14" xfId="1" applyNumberFormat="1" applyFont="1" applyBorder="1"/>
    <xf numFmtId="0" fontId="1" fillId="0" borderId="18" xfId="0" applyFont="1" applyBorder="1"/>
    <xf numFmtId="0" fontId="1" fillId="0" borderId="31" xfId="0" applyFont="1" applyBorder="1"/>
    <xf numFmtId="0" fontId="3" fillId="0" borderId="32" xfId="0" applyFont="1" applyBorder="1"/>
    <xf numFmtId="0" fontId="3" fillId="0" borderId="32" xfId="0" applyFont="1" applyFill="1" applyBorder="1"/>
    <xf numFmtId="0" fontId="1" fillId="0" borderId="34" xfId="0" applyFont="1" applyFill="1" applyBorder="1"/>
    <xf numFmtId="0" fontId="3" fillId="0" borderId="34" xfId="0" applyFont="1" applyFill="1" applyBorder="1"/>
    <xf numFmtId="166" fontId="7" fillId="0" borderId="3" xfId="1" applyNumberFormat="1" applyFont="1" applyBorder="1"/>
    <xf numFmtId="165" fontId="6" fillId="0" borderId="3" xfId="1" applyNumberFormat="1" applyFont="1" applyBorder="1"/>
    <xf numFmtId="165" fontId="6" fillId="0" borderId="24" xfId="1" applyNumberFormat="1" applyFont="1" applyBorder="1"/>
    <xf numFmtId="3" fontId="6" fillId="0" borderId="3" xfId="0" applyNumberFormat="1" applyFont="1" applyBorder="1"/>
    <xf numFmtId="3" fontId="1" fillId="0" borderId="3" xfId="0" applyNumberFormat="1" applyFont="1" applyBorder="1"/>
    <xf numFmtId="3" fontId="6" fillId="0" borderId="24" xfId="0" applyNumberFormat="1" applyFont="1" applyBorder="1"/>
    <xf numFmtId="165" fontId="6" fillId="0" borderId="27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1" xfId="0" applyNumberFormat="1" applyFont="1" applyFill="1" applyBorder="1"/>
    <xf numFmtId="0" fontId="6" fillId="15" borderId="0" xfId="0" applyFont="1" applyFill="1" applyAlignment="1">
      <alignment wrapText="1"/>
    </xf>
    <xf numFmtId="3" fontId="6" fillId="15" borderId="0" xfId="1" applyNumberFormat="1" applyFont="1" applyFill="1"/>
    <xf numFmtId="3" fontId="6" fillId="15" borderId="0" xfId="0" applyNumberFormat="1" applyFont="1" applyFill="1"/>
    <xf numFmtId="0" fontId="6" fillId="15" borderId="0" xfId="0" applyFont="1" applyFill="1" applyBorder="1"/>
    <xf numFmtId="3" fontId="19" fillId="15" borderId="6" xfId="0" applyNumberFormat="1" applyFont="1" applyFill="1" applyBorder="1"/>
    <xf numFmtId="0" fontId="24" fillId="2" borderId="1" xfId="0" applyFont="1" applyFill="1" applyBorder="1" applyAlignment="1">
      <alignment vertical="center" wrapText="1"/>
    </xf>
    <xf numFmtId="3" fontId="24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9" fontId="21" fillId="5" borderId="1" xfId="3" applyFont="1" applyFill="1" applyBorder="1" applyAlignment="1">
      <alignment vertical="center"/>
    </xf>
    <xf numFmtId="9" fontId="6" fillId="0" borderId="2" xfId="3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9" fontId="6" fillId="0" borderId="2" xfId="3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24" fillId="2" borderId="2" xfId="1" applyNumberFormat="1" applyFont="1" applyFill="1" applyBorder="1" applyAlignment="1">
      <alignment horizontal="right" vertical="center"/>
    </xf>
    <xf numFmtId="3" fontId="24" fillId="2" borderId="2" xfId="1" applyNumberFormat="1" applyFont="1" applyFill="1" applyBorder="1" applyAlignment="1">
      <alignment vertical="center"/>
    </xf>
    <xf numFmtId="166" fontId="6" fillId="0" borderId="9" xfId="1" applyNumberFormat="1" applyFont="1" applyFill="1" applyBorder="1"/>
    <xf numFmtId="166" fontId="3" fillId="0" borderId="9" xfId="1" applyNumberFormat="1" applyFont="1" applyFill="1" applyBorder="1"/>
    <xf numFmtId="166" fontId="26" fillId="0" borderId="9" xfId="1" applyNumberFormat="1" applyFont="1" applyFill="1" applyBorder="1"/>
    <xf numFmtId="3" fontId="22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1" fillId="8" borderId="7" xfId="0" applyNumberFormat="1" applyFont="1" applyFill="1" applyBorder="1" applyAlignment="1">
      <alignment vertical="center"/>
    </xf>
    <xf numFmtId="9" fontId="32" fillId="8" borderId="3" xfId="3" applyFont="1" applyFill="1" applyBorder="1" applyAlignment="1">
      <alignment vertical="center"/>
    </xf>
    <xf numFmtId="3" fontId="13" fillId="0" borderId="7" xfId="0" applyNumberFormat="1" applyFont="1" applyFill="1" applyBorder="1"/>
    <xf numFmtId="9" fontId="27" fillId="0" borderId="3" xfId="3" applyFont="1" applyFill="1" applyBorder="1"/>
    <xf numFmtId="165" fontId="3" fillId="3" borderId="7" xfId="1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6" fontId="7" fillId="0" borderId="7" xfId="1" applyNumberFormat="1" applyFont="1" applyBorder="1"/>
    <xf numFmtId="9" fontId="14" fillId="0" borderId="3" xfId="3" applyFont="1" applyFill="1" applyBorder="1"/>
    <xf numFmtId="3" fontId="6" fillId="0" borderId="7" xfId="0" applyNumberFormat="1" applyFont="1" applyBorder="1"/>
    <xf numFmtId="0" fontId="6" fillId="0" borderId="3" xfId="0" applyFont="1" applyBorder="1"/>
    <xf numFmtId="3" fontId="47" fillId="12" borderId="7" xfId="0" applyNumberFormat="1" applyFont="1" applyFill="1" applyBorder="1"/>
    <xf numFmtId="3" fontId="3" fillId="11" borderId="7" xfId="0" applyNumberFormat="1" applyFont="1" applyFill="1" applyBorder="1"/>
    <xf numFmtId="0" fontId="6" fillId="0" borderId="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23" xfId="0" applyFont="1" applyBorder="1"/>
    <xf numFmtId="166" fontId="6" fillId="0" borderId="8" xfId="1" applyNumberFormat="1" applyFont="1" applyFill="1" applyBorder="1"/>
    <xf numFmtId="166" fontId="3" fillId="0" borderId="8" xfId="1" applyNumberFormat="1" applyFont="1" applyFill="1" applyBorder="1"/>
    <xf numFmtId="166" fontId="26" fillId="0" borderId="8" xfId="1" applyNumberFormat="1" applyFont="1" applyFill="1" applyBorder="1"/>
    <xf numFmtId="9" fontId="12" fillId="0" borderId="3" xfId="3" applyFont="1" applyFill="1" applyBorder="1"/>
    <xf numFmtId="3" fontId="6" fillId="0" borderId="7" xfId="0" applyNumberFormat="1" applyFont="1" applyBorder="1" applyAlignment="1"/>
    <xf numFmtId="3" fontId="47" fillId="12" borderId="3" xfId="0" applyNumberFormat="1" applyFont="1" applyFill="1" applyBorder="1"/>
    <xf numFmtId="3" fontId="3" fillId="11" borderId="3" xfId="0" applyNumberFormat="1" applyFont="1" applyFill="1" applyBorder="1"/>
    <xf numFmtId="165" fontId="6" fillId="0" borderId="5" xfId="1" applyNumberFormat="1" applyFont="1" applyBorder="1"/>
    <xf numFmtId="0" fontId="7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6" fillId="0" borderId="2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center"/>
    </xf>
    <xf numFmtId="3" fontId="31" fillId="8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/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Border="1"/>
    <xf numFmtId="3" fontId="7" fillId="0" borderId="3" xfId="1" applyNumberFormat="1" applyFont="1" applyBorder="1"/>
    <xf numFmtId="3" fontId="6" fillId="0" borderId="3" xfId="1" applyNumberFormat="1" applyFont="1" applyBorder="1"/>
    <xf numFmtId="3" fontId="46" fillId="0" borderId="7" xfId="0" applyNumberFormat="1" applyFont="1" applyBorder="1"/>
    <xf numFmtId="165" fontId="6" fillId="0" borderId="23" xfId="1" applyNumberFormat="1" applyFont="1" applyBorder="1"/>
    <xf numFmtId="3" fontId="1" fillId="0" borderId="7" xfId="0" applyNumberFormat="1" applyFont="1" applyBorder="1"/>
    <xf numFmtId="0" fontId="25" fillId="0" borderId="12" xfId="0" applyFont="1" applyFill="1" applyBorder="1"/>
    <xf numFmtId="0" fontId="1" fillId="0" borderId="1" xfId="0" applyFont="1" applyBorder="1"/>
    <xf numFmtId="3" fontId="1" fillId="0" borderId="1" xfId="1" applyNumberFormat="1" applyFont="1" applyBorder="1" applyAlignment="1"/>
    <xf numFmtId="9" fontId="49" fillId="0" borderId="0" xfId="3" applyFont="1" applyBorder="1" applyAlignment="1">
      <alignment horizontal="center"/>
    </xf>
    <xf numFmtId="9" fontId="49" fillId="0" borderId="33" xfId="3" applyFont="1" applyBorder="1" applyAlignment="1">
      <alignment horizontal="center"/>
    </xf>
    <xf numFmtId="9" fontId="49" fillId="0" borderId="8" xfId="3" applyFont="1" applyBorder="1" applyAlignment="1">
      <alignment horizontal="center"/>
    </xf>
    <xf numFmtId="9" fontId="49" fillId="0" borderId="39" xfId="3" applyFont="1" applyBorder="1" applyAlignment="1">
      <alignment horizontal="center"/>
    </xf>
    <xf numFmtId="9" fontId="27" fillId="0" borderId="8" xfId="3" applyFont="1" applyBorder="1" applyAlignment="1">
      <alignment horizontal="center"/>
    </xf>
    <xf numFmtId="9" fontId="27" fillId="0" borderId="39" xfId="3" applyFont="1" applyBorder="1" applyAlignment="1">
      <alignment horizontal="center"/>
    </xf>
    <xf numFmtId="9" fontId="27" fillId="13" borderId="26" xfId="3" applyFont="1" applyFill="1" applyBorder="1" applyAlignment="1">
      <alignment horizontal="center"/>
    </xf>
    <xf numFmtId="9" fontId="27" fillId="13" borderId="28" xfId="3" applyFont="1" applyFill="1" applyBorder="1" applyAlignment="1">
      <alignment horizontal="center"/>
    </xf>
    <xf numFmtId="9" fontId="49" fillId="0" borderId="16" xfId="3" applyFont="1" applyBorder="1" applyAlignment="1">
      <alignment horizontal="center"/>
    </xf>
    <xf numFmtId="9" fontId="49" fillId="0" borderId="18" xfId="3" applyFont="1" applyBorder="1" applyAlignment="1">
      <alignment horizontal="center"/>
    </xf>
    <xf numFmtId="9" fontId="49" fillId="0" borderId="8" xfId="3" applyFont="1" applyFill="1" applyBorder="1" applyAlignment="1">
      <alignment horizontal="center"/>
    </xf>
    <xf numFmtId="9" fontId="49" fillId="0" borderId="39" xfId="3" applyFont="1" applyFill="1" applyBorder="1" applyAlignment="1">
      <alignment horizontal="center"/>
    </xf>
    <xf numFmtId="9" fontId="27" fillId="0" borderId="8" xfId="3" applyFont="1" applyFill="1" applyBorder="1" applyAlignment="1">
      <alignment horizontal="center"/>
    </xf>
    <xf numFmtId="9" fontId="27" fillId="0" borderId="39" xfId="3" applyFont="1" applyFill="1" applyBorder="1" applyAlignment="1">
      <alignment horizontal="center"/>
    </xf>
    <xf numFmtId="9" fontId="49" fillId="0" borderId="38" xfId="3" applyFont="1" applyBorder="1" applyAlignment="1">
      <alignment horizontal="center"/>
    </xf>
    <xf numFmtId="9" fontId="49" fillId="0" borderId="14" xfId="3" applyFont="1" applyBorder="1" applyAlignment="1">
      <alignment horizontal="center"/>
    </xf>
    <xf numFmtId="9" fontId="49" fillId="0" borderId="33" xfId="3" applyNumberFormat="1" applyFont="1" applyBorder="1" applyAlignment="1">
      <alignment horizontal="center"/>
    </xf>
    <xf numFmtId="9" fontId="49" fillId="0" borderId="17" xfId="3" applyNumberFormat="1" applyFont="1" applyBorder="1" applyAlignment="1">
      <alignment horizontal="center"/>
    </xf>
    <xf numFmtId="9" fontId="17" fillId="0" borderId="33" xfId="0" applyNumberFormat="1" applyFont="1" applyBorder="1" applyAlignment="1">
      <alignment horizontal="center"/>
    </xf>
    <xf numFmtId="9" fontId="17" fillId="0" borderId="14" xfId="0" applyNumberFormat="1" applyFont="1" applyBorder="1" applyAlignment="1">
      <alignment horizontal="center"/>
    </xf>
    <xf numFmtId="9" fontId="17" fillId="0" borderId="18" xfId="0" applyNumberFormat="1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3" fontId="1" fillId="0" borderId="1" xfId="1" applyNumberFormat="1" applyFont="1" applyBorder="1" applyAlignment="1">
      <alignment vertical="center"/>
    </xf>
    <xf numFmtId="3" fontId="1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20" fillId="0" borderId="6" xfId="0" applyNumberFormat="1" applyFont="1" applyBorder="1"/>
    <xf numFmtId="0" fontId="50" fillId="0" borderId="1" xfId="0" applyFont="1" applyBorder="1" applyAlignment="1">
      <alignment wrapText="1"/>
    </xf>
    <xf numFmtId="3" fontId="3" fillId="0" borderId="0" xfId="0" applyNumberFormat="1" applyFont="1" applyBorder="1" applyAlignment="1">
      <alignment horizontal="center"/>
    </xf>
    <xf numFmtId="3" fontId="1" fillId="0" borderId="2" xfId="1" applyNumberFormat="1" applyFont="1" applyBorder="1"/>
    <xf numFmtId="0" fontId="1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3" fontId="6" fillId="4" borderId="1" xfId="1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/>
    <xf numFmtId="3" fontId="6" fillId="4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right"/>
    </xf>
    <xf numFmtId="3" fontId="1" fillId="0" borderId="2" xfId="1" applyNumberFormat="1" applyFont="1" applyBorder="1" applyAlignment="1">
      <alignment vertical="center"/>
    </xf>
    <xf numFmtId="165" fontId="1" fillId="0" borderId="0" xfId="1" applyNumberFormat="1" applyFont="1"/>
    <xf numFmtId="3" fontId="6" fillId="4" borderId="1" xfId="1" applyNumberFormat="1" applyFont="1" applyFill="1" applyBorder="1" applyAlignment="1"/>
    <xf numFmtId="3" fontId="6" fillId="4" borderId="1" xfId="1" applyNumberFormat="1" applyFont="1" applyFill="1" applyBorder="1" applyAlignment="1">
      <alignment horizontal="right"/>
    </xf>
    <xf numFmtId="0" fontId="35" fillId="4" borderId="0" xfId="0" applyFont="1" applyFill="1" applyBorder="1" applyAlignment="1">
      <alignment vertical="center"/>
    </xf>
    <xf numFmtId="0" fontId="1" fillId="0" borderId="5" xfId="0" applyFont="1" applyBorder="1" applyAlignment="1">
      <alignment wrapText="1"/>
    </xf>
    <xf numFmtId="3" fontId="6" fillId="0" borderId="5" xfId="1" applyNumberFormat="1" applyFont="1" applyBorder="1"/>
    <xf numFmtId="0" fontId="14" fillId="0" borderId="5" xfId="0" applyFont="1" applyBorder="1" applyAlignment="1">
      <alignment horizontal="center"/>
    </xf>
    <xf numFmtId="3" fontId="2" fillId="0" borderId="0" xfId="0" applyNumberFormat="1" applyFont="1" applyBorder="1" applyAlignment="1"/>
    <xf numFmtId="165" fontId="2" fillId="0" borderId="0" xfId="1" applyNumberFormat="1" applyFont="1"/>
    <xf numFmtId="166" fontId="0" fillId="0" borderId="0" xfId="0" applyNumberFormat="1"/>
    <xf numFmtId="165" fontId="0" fillId="0" borderId="0" xfId="1" applyNumberFormat="1" applyFont="1"/>
    <xf numFmtId="0" fontId="0" fillId="0" borderId="20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73" fillId="7" borderId="1" xfId="0" applyNumberFormat="1" applyFont="1" applyFill="1" applyBorder="1" applyAlignment="1">
      <alignment vertical="center"/>
    </xf>
    <xf numFmtId="3" fontId="74" fillId="7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5" fillId="0" borderId="1" xfId="0" applyNumberFormat="1" applyFont="1" applyBorder="1"/>
    <xf numFmtId="3" fontId="25" fillId="0" borderId="1" xfId="1" applyNumberFormat="1" applyFont="1" applyBorder="1"/>
    <xf numFmtId="0" fontId="2" fillId="0" borderId="1" xfId="0" applyFont="1" applyBorder="1" applyAlignment="1">
      <alignment horizontal="center"/>
    </xf>
    <xf numFmtId="9" fontId="14" fillId="2" borderId="1" xfId="3" applyFont="1" applyFill="1" applyBorder="1" applyAlignment="1">
      <alignment horizontal="center"/>
    </xf>
    <xf numFmtId="9" fontId="2" fillId="0" borderId="1" xfId="3" applyNumberFormat="1" applyFont="1" applyBorder="1" applyAlignment="1">
      <alignment horizontal="center"/>
    </xf>
    <xf numFmtId="9" fontId="14" fillId="0" borderId="1" xfId="3" applyFont="1" applyFill="1" applyBorder="1" applyAlignment="1">
      <alignment horizontal="center"/>
    </xf>
    <xf numFmtId="9" fontId="2" fillId="0" borderId="1" xfId="3" applyFont="1" applyBorder="1" applyAlignment="1">
      <alignment horizontal="center"/>
    </xf>
    <xf numFmtId="9" fontId="14" fillId="0" borderId="1" xfId="3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9" fontId="14" fillId="2" borderId="1" xfId="3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6" fillId="15" borderId="0" xfId="0" applyNumberFormat="1" applyFont="1" applyFill="1" applyAlignment="1">
      <alignment horizontal="center"/>
    </xf>
    <xf numFmtId="9" fontId="2" fillId="0" borderId="1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9" fontId="12" fillId="0" borderId="1" xfId="3" applyFont="1" applyBorder="1" applyAlignment="1">
      <alignment horizontal="center"/>
    </xf>
    <xf numFmtId="9" fontId="14" fillId="5" borderId="1" xfId="3" applyFont="1" applyFill="1" applyBorder="1" applyAlignment="1">
      <alignment horizontal="center"/>
    </xf>
    <xf numFmtId="9" fontId="14" fillId="0" borderId="0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6" fillId="0" borderId="0" xfId="3" applyFont="1" applyAlignment="1">
      <alignment horizontal="center"/>
    </xf>
    <xf numFmtId="9" fontId="6" fillId="15" borderId="0" xfId="3" applyFont="1" applyFill="1" applyAlignment="1">
      <alignment horizontal="center"/>
    </xf>
    <xf numFmtId="9" fontId="2" fillId="0" borderId="0" xfId="3" applyFont="1" applyAlignment="1">
      <alignment horizontal="center"/>
    </xf>
    <xf numFmtId="9" fontId="6" fillId="0" borderId="1" xfId="3" applyFont="1" applyBorder="1" applyAlignment="1">
      <alignment horizontal="center"/>
    </xf>
    <xf numFmtId="9" fontId="14" fillId="0" borderId="10" xfId="3" applyFont="1" applyFill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3" fontId="7" fillId="38" borderId="1" xfId="1" applyNumberFormat="1" applyFont="1" applyFill="1" applyBorder="1"/>
    <xf numFmtId="3" fontId="6" fillId="38" borderId="1" xfId="1" applyNumberFormat="1" applyFont="1" applyFill="1" applyBorder="1" applyAlignment="1">
      <alignment horizontal="center"/>
    </xf>
    <xf numFmtId="3" fontId="6" fillId="38" borderId="2" xfId="1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3" fillId="5" borderId="1" xfId="3" applyFont="1" applyFill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14" fillId="2" borderId="1" xfId="1" applyNumberFormat="1" applyFont="1" applyFill="1" applyBorder="1" applyAlignment="1">
      <alignment horizontal="center"/>
    </xf>
    <xf numFmtId="9" fontId="14" fillId="2" borderId="1" xfId="3" applyNumberFormat="1" applyFont="1" applyFill="1" applyBorder="1" applyAlignment="1">
      <alignment horizontal="center"/>
    </xf>
    <xf numFmtId="9" fontId="14" fillId="0" borderId="1" xfId="1" applyNumberFormat="1" applyFont="1" applyBorder="1" applyAlignment="1">
      <alignment horizontal="center"/>
    </xf>
    <xf numFmtId="9" fontId="14" fillId="4" borderId="1" xfId="3" applyNumberFormat="1" applyFont="1" applyFill="1" applyBorder="1" applyAlignment="1">
      <alignment horizontal="center"/>
    </xf>
    <xf numFmtId="9" fontId="2" fillId="4" borderId="1" xfId="3" applyNumberFormat="1" applyFont="1" applyFill="1" applyBorder="1" applyAlignment="1">
      <alignment horizontal="center"/>
    </xf>
    <xf numFmtId="9" fontId="14" fillId="6" borderId="1" xfId="1" applyNumberFormat="1" applyFont="1" applyFill="1" applyBorder="1" applyAlignment="1">
      <alignment horizontal="center"/>
    </xf>
    <xf numFmtId="9" fontId="14" fillId="6" borderId="1" xfId="3" applyNumberFormat="1" applyFont="1" applyFill="1" applyBorder="1" applyAlignment="1">
      <alignment horizontal="center"/>
    </xf>
    <xf numFmtId="9" fontId="36" fillId="2" borderId="1" xfId="0" applyNumberFormat="1" applyFont="1" applyFill="1" applyBorder="1" applyAlignment="1">
      <alignment horizontal="center"/>
    </xf>
    <xf numFmtId="9" fontId="2" fillId="0" borderId="1" xfId="3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9" fontId="12" fillId="0" borderId="1" xfId="3" applyFont="1" applyFill="1" applyBorder="1" applyAlignment="1">
      <alignment horizontal="center"/>
    </xf>
    <xf numFmtId="9" fontId="12" fillId="2" borderId="1" xfId="3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9" fontId="32" fillId="8" borderId="1" xfId="3" applyFont="1" applyFill="1" applyBorder="1" applyAlignment="1">
      <alignment horizontal="center" vertical="center"/>
    </xf>
    <xf numFmtId="9" fontId="27" fillId="0" borderId="1" xfId="3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9" fontId="3" fillId="2" borderId="1" xfId="3" applyFont="1" applyFill="1" applyBorder="1" applyAlignment="1">
      <alignment horizontal="center"/>
    </xf>
    <xf numFmtId="9" fontId="3" fillId="8" borderId="1" xfId="3" applyFont="1" applyFill="1" applyBorder="1" applyAlignment="1">
      <alignment horizontal="center" vertical="center"/>
    </xf>
    <xf numFmtId="9" fontId="13" fillId="8" borderId="1" xfId="3" applyFont="1" applyFill="1" applyBorder="1" applyAlignment="1">
      <alignment horizontal="center" vertical="center"/>
    </xf>
    <xf numFmtId="9" fontId="13" fillId="0" borderId="1" xfId="3" applyFont="1" applyFill="1" applyBorder="1" applyAlignment="1">
      <alignment horizontal="center"/>
    </xf>
    <xf numFmtId="9" fontId="7" fillId="0" borderId="1" xfId="3" applyFont="1" applyBorder="1" applyAlignment="1">
      <alignment horizontal="center"/>
    </xf>
    <xf numFmtId="9" fontId="4" fillId="2" borderId="1" xfId="3" applyFont="1" applyFill="1" applyBorder="1" applyAlignment="1">
      <alignment horizontal="center"/>
    </xf>
    <xf numFmtId="9" fontId="7" fillId="5" borderId="1" xfId="3" applyFont="1" applyFill="1" applyBorder="1" applyAlignment="1">
      <alignment horizontal="center"/>
    </xf>
    <xf numFmtId="9" fontId="17" fillId="0" borderId="0" xfId="3" applyFont="1" applyBorder="1" applyAlignment="1">
      <alignment horizontal="center"/>
    </xf>
    <xf numFmtId="9" fontId="17" fillId="0" borderId="0" xfId="3" applyFont="1" applyAlignment="1">
      <alignment horizontal="center"/>
    </xf>
    <xf numFmtId="9" fontId="6" fillId="0" borderId="0" xfId="3" applyFont="1" applyBorder="1" applyAlignment="1">
      <alignment horizontal="center"/>
    </xf>
    <xf numFmtId="9" fontId="41" fillId="0" borderId="0" xfId="3" applyFont="1" applyBorder="1" applyAlignment="1">
      <alignment horizontal="center"/>
    </xf>
    <xf numFmtId="9" fontId="17" fillId="10" borderId="0" xfId="3" applyFont="1" applyFill="1" applyBorder="1" applyAlignment="1">
      <alignment horizontal="center"/>
    </xf>
    <xf numFmtId="9" fontId="17" fillId="10" borderId="0" xfId="3" applyFont="1" applyFill="1" applyAlignment="1">
      <alignment horizontal="center"/>
    </xf>
    <xf numFmtId="9" fontId="6" fillId="10" borderId="0" xfId="3" applyFont="1" applyFill="1" applyAlignment="1">
      <alignment horizontal="center"/>
    </xf>
    <xf numFmtId="9" fontId="6" fillId="10" borderId="0" xfId="3" applyFont="1" applyFill="1" applyBorder="1" applyAlignment="1">
      <alignment horizontal="center"/>
    </xf>
    <xf numFmtId="9" fontId="0" fillId="0" borderId="0" xfId="3" applyFont="1" applyAlignment="1">
      <alignment horizontal="center"/>
    </xf>
    <xf numFmtId="9" fontId="43" fillId="0" borderId="0" xfId="3" applyFont="1" applyBorder="1" applyAlignment="1">
      <alignment horizontal="center"/>
    </xf>
    <xf numFmtId="9" fontId="43" fillId="0" borderId="0" xfId="3" applyFont="1" applyAlignment="1">
      <alignment horizontal="center"/>
    </xf>
    <xf numFmtId="9" fontId="6" fillId="11" borderId="8" xfId="3" applyFont="1" applyFill="1" applyBorder="1" applyAlignment="1">
      <alignment horizontal="center"/>
    </xf>
    <xf numFmtId="9" fontId="12" fillId="5" borderId="1" xfId="3" applyFont="1" applyFill="1" applyBorder="1"/>
    <xf numFmtId="9" fontId="17" fillId="0" borderId="1" xfId="3" applyFont="1" applyFill="1" applyBorder="1" applyAlignment="1">
      <alignment horizontal="center"/>
    </xf>
    <xf numFmtId="9" fontId="75" fillId="7" borderId="1" xfId="3" applyFont="1" applyFill="1" applyBorder="1" applyAlignment="1">
      <alignment horizontal="center" vertical="center"/>
    </xf>
    <xf numFmtId="9" fontId="12" fillId="5" borderId="1" xfId="3" applyFont="1" applyFill="1" applyBorder="1" applyAlignment="1">
      <alignment horizontal="center"/>
    </xf>
    <xf numFmtId="3" fontId="73" fillId="7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3" fillId="5" borderId="1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9" fontId="6" fillId="0" borderId="1" xfId="3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9" fontId="3" fillId="0" borderId="1" xfId="3" applyFont="1" applyFill="1" applyBorder="1" applyAlignment="1">
      <alignment horizontal="center"/>
    </xf>
    <xf numFmtId="166" fontId="6" fillId="9" borderId="1" xfId="1" applyNumberFormat="1" applyFont="1" applyFill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9" fontId="26" fillId="9" borderId="1" xfId="3" applyFont="1" applyFill="1" applyBorder="1" applyAlignment="1">
      <alignment horizontal="center"/>
    </xf>
    <xf numFmtId="166" fontId="6" fillId="0" borderId="8" xfId="1" applyNumberFormat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9" fontId="26" fillId="0" borderId="1" xfId="3" applyFont="1" applyFill="1" applyBorder="1" applyAlignment="1">
      <alignment horizontal="center"/>
    </xf>
    <xf numFmtId="166" fontId="26" fillId="0" borderId="8" xfId="1" applyNumberFormat="1" applyFont="1" applyFill="1" applyBorder="1" applyAlignment="1">
      <alignment horizontal="center"/>
    </xf>
    <xf numFmtId="3" fontId="47" fillId="12" borderId="0" xfId="0" applyNumberFormat="1" applyFont="1" applyFill="1" applyBorder="1" applyAlignment="1">
      <alignment horizontal="center"/>
    </xf>
    <xf numFmtId="3" fontId="3" fillId="11" borderId="0" xfId="0" applyNumberFormat="1" applyFont="1" applyFill="1" applyBorder="1" applyAlignment="1">
      <alignment horizontal="center"/>
    </xf>
    <xf numFmtId="9" fontId="3" fillId="8" borderId="0" xfId="1" applyNumberFormat="1" applyFont="1" applyFill="1" applyBorder="1" applyAlignment="1">
      <alignment horizontal="center" vertical="center"/>
    </xf>
    <xf numFmtId="9" fontId="32" fillId="8" borderId="0" xfId="3" applyFont="1" applyFill="1" applyBorder="1" applyAlignment="1">
      <alignment horizontal="center" vertical="center"/>
    </xf>
    <xf numFmtId="9" fontId="32" fillId="8" borderId="3" xfId="3" applyFont="1" applyFill="1" applyBorder="1" applyAlignment="1">
      <alignment horizontal="center" vertical="center"/>
    </xf>
    <xf numFmtId="9" fontId="6" fillId="0" borderId="3" xfId="3" applyFont="1" applyBorder="1" applyAlignment="1">
      <alignment horizontal="center"/>
    </xf>
    <xf numFmtId="9" fontId="47" fillId="12" borderId="0" xfId="3" applyFont="1" applyFill="1" applyBorder="1" applyAlignment="1">
      <alignment horizontal="center"/>
    </xf>
    <xf numFmtId="9" fontId="47" fillId="12" borderId="3" xfId="3" applyFont="1" applyFill="1" applyBorder="1" applyAlignment="1">
      <alignment horizontal="center"/>
    </xf>
    <xf numFmtId="9" fontId="3" fillId="11" borderId="0" xfId="3" applyFont="1" applyFill="1" applyBorder="1" applyAlignment="1">
      <alignment horizontal="center"/>
    </xf>
    <xf numFmtId="9" fontId="3" fillId="11" borderId="3" xfId="3" applyFont="1" applyFill="1" applyBorder="1" applyAlignment="1">
      <alignment horizontal="center"/>
    </xf>
    <xf numFmtId="9" fontId="6" fillId="0" borderId="5" xfId="3" applyFont="1" applyBorder="1" applyAlignment="1">
      <alignment horizontal="center"/>
    </xf>
    <xf numFmtId="9" fontId="6" fillId="0" borderId="23" xfId="3" applyFont="1" applyBorder="1" applyAlignment="1">
      <alignment horizontal="center"/>
    </xf>
    <xf numFmtId="9" fontId="12" fillId="0" borderId="0" xfId="3" applyFont="1" applyFill="1" applyBorder="1" applyAlignment="1">
      <alignment horizontal="center"/>
    </xf>
    <xf numFmtId="9" fontId="12" fillId="0" borderId="3" xfId="3" applyFont="1" applyFill="1" applyBorder="1" applyAlignment="1">
      <alignment horizontal="center"/>
    </xf>
    <xf numFmtId="9" fontId="2" fillId="2" borderId="1" xfId="3" applyFont="1" applyFill="1" applyBorder="1" applyAlignment="1">
      <alignment horizontal="center"/>
    </xf>
    <xf numFmtId="0" fontId="4" fillId="5" borderId="1" xfId="0" applyFont="1" applyFill="1" applyBorder="1"/>
    <xf numFmtId="166" fontId="4" fillId="5" borderId="1" xfId="1" applyNumberFormat="1" applyFont="1" applyFill="1" applyBorder="1"/>
    <xf numFmtId="166" fontId="4" fillId="5" borderId="1" xfId="1" applyNumberFormat="1" applyFont="1" applyFill="1" applyBorder="1" applyAlignment="1">
      <alignment horizontal="center"/>
    </xf>
    <xf numFmtId="3" fontId="4" fillId="39" borderId="1" xfId="0" applyNumberFormat="1" applyFont="1" applyFill="1" applyBorder="1"/>
    <xf numFmtId="3" fontId="3" fillId="39" borderId="1" xfId="0" applyNumberFormat="1" applyFont="1" applyFill="1" applyBorder="1" applyAlignment="1">
      <alignment horizontal="center"/>
    </xf>
    <xf numFmtId="3" fontId="3" fillId="39" borderId="2" xfId="0" applyNumberFormat="1" applyFont="1" applyFill="1" applyBorder="1" applyAlignment="1">
      <alignment horizontal="center"/>
    </xf>
    <xf numFmtId="0" fontId="0" fillId="39" borderId="8" xfId="0" applyFill="1" applyBorder="1" applyAlignment="1">
      <alignment horizontal="center"/>
    </xf>
    <xf numFmtId="0" fontId="0" fillId="39" borderId="9" xfId="0" applyFill="1" applyBorder="1" applyAlignment="1">
      <alignment horizontal="center"/>
    </xf>
    <xf numFmtId="3" fontId="76" fillId="2" borderId="1" xfId="0" applyNumberFormat="1" applyFont="1" applyFill="1" applyBorder="1" applyAlignment="1">
      <alignment horizontal="center"/>
    </xf>
    <xf numFmtId="9" fontId="17" fillId="0" borderId="1" xfId="3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9" fontId="6" fillId="0" borderId="0" xfId="0" applyNumberFormat="1" applyFont="1"/>
    <xf numFmtId="3" fontId="70" fillId="0" borderId="0" xfId="0" applyNumberFormat="1" applyFont="1" applyFill="1" applyBorder="1"/>
    <xf numFmtId="0" fontId="17" fillId="4" borderId="1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 vertical="center"/>
    </xf>
    <xf numFmtId="3" fontId="70" fillId="0" borderId="1" xfId="0" applyNumberFormat="1" applyFont="1" applyFill="1" applyBorder="1"/>
    <xf numFmtId="3" fontId="3" fillId="0" borderId="2" xfId="1" applyNumberFormat="1" applyFont="1" applyBorder="1" applyAlignment="1">
      <alignment vertical="center"/>
    </xf>
    <xf numFmtId="9" fontId="14" fillId="0" borderId="1" xfId="3" applyNumberFormat="1" applyFont="1" applyBorder="1" applyAlignment="1">
      <alignment horizontal="center"/>
    </xf>
    <xf numFmtId="9" fontId="6" fillId="0" borderId="0" xfId="3" applyFont="1"/>
    <xf numFmtId="3" fontId="78" fillId="0" borderId="0" xfId="0" applyNumberFormat="1" applyFont="1" applyAlignment="1">
      <alignment horizontal="right" vertical="top" wrapText="1"/>
    </xf>
    <xf numFmtId="3" fontId="78" fillId="0" borderId="1" xfId="0" applyNumberFormat="1" applyFont="1" applyBorder="1" applyAlignment="1">
      <alignment horizontal="right" vertical="top" wrapText="1"/>
    </xf>
    <xf numFmtId="3" fontId="79" fillId="0" borderId="0" xfId="0" applyNumberFormat="1" applyFont="1" applyAlignment="1">
      <alignment horizontal="right" vertical="top" wrapText="1"/>
    </xf>
    <xf numFmtId="0" fontId="1" fillId="0" borderId="1" xfId="0" applyFont="1" applyBorder="1" applyAlignment="1">
      <alignment horizontal="left" wrapText="1"/>
    </xf>
    <xf numFmtId="0" fontId="78" fillId="0" borderId="1" xfId="0" applyFont="1" applyBorder="1" applyAlignment="1">
      <alignment horizontal="left" vertical="top" wrapText="1"/>
    </xf>
    <xf numFmtId="0" fontId="79" fillId="0" borderId="1" xfId="0" applyFont="1" applyBorder="1" applyAlignment="1">
      <alignment horizontal="left" vertical="top" wrapText="1"/>
    </xf>
    <xf numFmtId="3" fontId="79" fillId="0" borderId="1" xfId="0" applyNumberFormat="1" applyFont="1" applyBorder="1" applyAlignment="1">
      <alignment horizontal="right" vertical="top" wrapText="1"/>
    </xf>
    <xf numFmtId="0" fontId="78" fillId="0" borderId="51" xfId="0" applyFont="1" applyBorder="1" applyAlignment="1">
      <alignment horizontal="center" vertical="top" wrapText="1"/>
    </xf>
    <xf numFmtId="3" fontId="78" fillId="0" borderId="17" xfId="0" applyNumberFormat="1" applyFont="1" applyBorder="1" applyAlignment="1">
      <alignment horizontal="right" vertical="top" wrapText="1"/>
    </xf>
    <xf numFmtId="0" fontId="79" fillId="0" borderId="51" xfId="0" applyFont="1" applyBorder="1" applyAlignment="1">
      <alignment horizontal="center" vertical="top" wrapText="1"/>
    </xf>
    <xf numFmtId="3" fontId="79" fillId="0" borderId="17" xfId="0" applyNumberFormat="1" applyFont="1" applyBorder="1" applyAlignment="1">
      <alignment horizontal="right" vertical="top" wrapText="1"/>
    </xf>
    <xf numFmtId="0" fontId="79" fillId="0" borderId="52" xfId="0" applyFont="1" applyBorder="1" applyAlignment="1">
      <alignment horizontal="center" vertical="top" wrapText="1"/>
    </xf>
    <xf numFmtId="0" fontId="79" fillId="0" borderId="53" xfId="0" applyFont="1" applyBorder="1" applyAlignment="1">
      <alignment horizontal="left" vertical="top" wrapText="1"/>
    </xf>
    <xf numFmtId="3" fontId="79" fillId="0" borderId="53" xfId="0" applyNumberFormat="1" applyFont="1" applyBorder="1" applyAlignment="1">
      <alignment horizontal="right" vertical="top" wrapText="1"/>
    </xf>
    <xf numFmtId="3" fontId="79" fillId="0" borderId="54" xfId="0" applyNumberFormat="1" applyFont="1" applyBorder="1" applyAlignment="1">
      <alignment horizontal="right" vertical="top" wrapText="1"/>
    </xf>
    <xf numFmtId="0" fontId="78" fillId="0" borderId="57" xfId="0" applyFont="1" applyBorder="1" applyAlignment="1">
      <alignment horizontal="center" vertical="top" wrapText="1"/>
    </xf>
    <xf numFmtId="0" fontId="78" fillId="0" borderId="22" xfId="0" applyFont="1" applyBorder="1" applyAlignment="1">
      <alignment horizontal="left" vertical="top" wrapText="1"/>
    </xf>
    <xf numFmtId="3" fontId="78" fillId="0" borderId="22" xfId="0" applyNumberFormat="1" applyFont="1" applyBorder="1" applyAlignment="1">
      <alignment horizontal="right" vertical="top" wrapText="1"/>
    </xf>
    <xf numFmtId="3" fontId="78" fillId="0" borderId="58" xfId="0" applyNumberFormat="1" applyFont="1" applyBorder="1" applyAlignment="1">
      <alignment horizontal="right" vertical="top" wrapText="1"/>
    </xf>
    <xf numFmtId="0" fontId="80" fillId="40" borderId="55" xfId="0" applyFont="1" applyFill="1" applyBorder="1" applyAlignment="1">
      <alignment horizontal="center" vertical="top" wrapText="1"/>
    </xf>
    <xf numFmtId="0" fontId="80" fillId="40" borderId="65" xfId="0" applyFont="1" applyFill="1" applyBorder="1" applyAlignment="1">
      <alignment horizontal="center" vertical="top" wrapText="1"/>
    </xf>
    <xf numFmtId="0" fontId="80" fillId="40" borderId="56" xfId="0" applyFont="1" applyFill="1" applyBorder="1" applyAlignment="1">
      <alignment horizontal="center" vertical="top" wrapText="1"/>
    </xf>
    <xf numFmtId="0" fontId="80" fillId="40" borderId="52" xfId="0" applyFont="1" applyFill="1" applyBorder="1" applyAlignment="1">
      <alignment horizontal="center" vertical="top" wrapText="1"/>
    </xf>
    <xf numFmtId="0" fontId="80" fillId="40" borderId="53" xfId="0" applyFont="1" applyFill="1" applyBorder="1" applyAlignment="1">
      <alignment horizontal="center" vertical="top" wrapText="1"/>
    </xf>
    <xf numFmtId="0" fontId="80" fillId="40" borderId="54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3" fillId="4" borderId="0" xfId="0" applyFont="1" applyFill="1" applyBorder="1"/>
    <xf numFmtId="0" fontId="18" fillId="4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18" fillId="40" borderId="51" xfId="0" applyFont="1" applyFill="1" applyBorder="1" applyAlignment="1">
      <alignment horizontal="center" vertical="top" wrapText="1"/>
    </xf>
    <xf numFmtId="0" fontId="18" fillId="40" borderId="17" xfId="0" applyFont="1" applyFill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top" wrapText="1"/>
    </xf>
    <xf numFmtId="0" fontId="3" fillId="0" borderId="5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left" vertical="top" wrapText="1"/>
    </xf>
    <xf numFmtId="3" fontId="3" fillId="0" borderId="53" xfId="0" applyNumberFormat="1" applyFont="1" applyBorder="1" applyAlignment="1">
      <alignment horizontal="right" vertical="top" wrapText="1"/>
    </xf>
    <xf numFmtId="3" fontId="3" fillId="0" borderId="54" xfId="0" applyNumberFormat="1" applyFont="1" applyBorder="1" applyAlignment="1">
      <alignment horizontal="right" vertical="top" wrapText="1"/>
    </xf>
    <xf numFmtId="0" fontId="18" fillId="40" borderId="57" xfId="0" applyFont="1" applyFill="1" applyBorder="1" applyAlignment="1">
      <alignment horizontal="center" vertical="top" wrapText="1"/>
    </xf>
    <xf numFmtId="0" fontId="18" fillId="40" borderId="22" xfId="0" applyFont="1" applyFill="1" applyBorder="1" applyAlignment="1">
      <alignment horizontal="center" vertical="top" wrapText="1"/>
    </xf>
    <xf numFmtId="0" fontId="18" fillId="40" borderId="58" xfId="0" applyFont="1" applyFill="1" applyBorder="1" applyAlignment="1">
      <alignment horizontal="center" vertical="top" wrapText="1"/>
    </xf>
    <xf numFmtId="0" fontId="18" fillId="40" borderId="52" xfId="0" applyFont="1" applyFill="1" applyBorder="1" applyAlignment="1">
      <alignment horizontal="center" vertical="top" wrapText="1"/>
    </xf>
    <xf numFmtId="0" fontId="18" fillId="40" borderId="53" xfId="0" applyFont="1" applyFill="1" applyBorder="1" applyAlignment="1">
      <alignment horizontal="center" vertical="top" wrapText="1"/>
    </xf>
    <xf numFmtId="0" fontId="18" fillId="40" borderId="54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82" fillId="0" borderId="0" xfId="0" applyFont="1"/>
    <xf numFmtId="0" fontId="18" fillId="40" borderId="62" xfId="0" applyFont="1" applyFill="1" applyBorder="1" applyAlignment="1">
      <alignment horizontal="center" vertical="center" wrapText="1"/>
    </xf>
    <xf numFmtId="0" fontId="18" fillId="40" borderId="63" xfId="0" applyFont="1" applyFill="1" applyBorder="1" applyAlignment="1">
      <alignment horizontal="center" vertical="center" wrapText="1"/>
    </xf>
    <xf numFmtId="0" fontId="18" fillId="40" borderId="6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3" fillId="40" borderId="1" xfId="0" applyFont="1" applyFill="1" applyBorder="1" applyAlignment="1">
      <alignment horizontal="center" vertical="top" wrapText="1"/>
    </xf>
    <xf numFmtId="0" fontId="84" fillId="0" borderId="1" xfId="0" applyFont="1" applyBorder="1" applyAlignment="1">
      <alignment horizontal="center" vertical="top" wrapText="1"/>
    </xf>
    <xf numFmtId="0" fontId="84" fillId="0" borderId="1" xfId="0" applyFont="1" applyBorder="1" applyAlignment="1">
      <alignment horizontal="left" vertical="top" wrapText="1"/>
    </xf>
    <xf numFmtId="3" fontId="84" fillId="0" borderId="1" xfId="0" applyNumberFormat="1" applyFont="1" applyBorder="1" applyAlignment="1">
      <alignment horizontal="right" vertical="top" wrapText="1"/>
    </xf>
    <xf numFmtId="0" fontId="85" fillId="0" borderId="1" xfId="0" applyFont="1" applyBorder="1" applyAlignment="1">
      <alignment horizontal="center" vertical="top" wrapText="1"/>
    </xf>
    <xf numFmtId="0" fontId="85" fillId="0" borderId="1" xfId="0" applyFont="1" applyBorder="1" applyAlignment="1">
      <alignment horizontal="left" vertical="top" wrapText="1"/>
    </xf>
    <xf numFmtId="3" fontId="85" fillId="0" borderId="1" xfId="0" applyNumberFormat="1" applyFont="1" applyBorder="1" applyAlignment="1">
      <alignment horizontal="right" vertical="top" wrapText="1"/>
    </xf>
    <xf numFmtId="0" fontId="84" fillId="0" borderId="51" xfId="0" applyFont="1" applyBorder="1" applyAlignment="1">
      <alignment horizontal="center" vertical="top" wrapText="1"/>
    </xf>
    <xf numFmtId="3" fontId="84" fillId="0" borderId="17" xfId="0" applyNumberFormat="1" applyFont="1" applyBorder="1" applyAlignment="1">
      <alignment horizontal="right" vertical="top" wrapText="1"/>
    </xf>
    <xf numFmtId="0" fontId="85" fillId="0" borderId="51" xfId="0" applyFont="1" applyBorder="1" applyAlignment="1">
      <alignment horizontal="center" vertical="top" wrapText="1"/>
    </xf>
    <xf numFmtId="3" fontId="85" fillId="0" borderId="17" xfId="0" applyNumberFormat="1" applyFont="1" applyBorder="1" applyAlignment="1">
      <alignment horizontal="right" vertical="top" wrapText="1"/>
    </xf>
    <xf numFmtId="0" fontId="84" fillId="0" borderId="57" xfId="0" applyFont="1" applyBorder="1" applyAlignment="1">
      <alignment horizontal="center" vertical="top" wrapText="1"/>
    </xf>
    <xf numFmtId="0" fontId="84" fillId="0" borderId="22" xfId="0" applyFont="1" applyBorder="1" applyAlignment="1">
      <alignment horizontal="left" vertical="top" wrapText="1"/>
    </xf>
    <xf numFmtId="3" fontId="84" fillId="0" borderId="22" xfId="0" applyNumberFormat="1" applyFont="1" applyBorder="1" applyAlignment="1">
      <alignment horizontal="right" vertical="top" wrapText="1"/>
    </xf>
    <xf numFmtId="3" fontId="84" fillId="0" borderId="58" xfId="0" applyNumberFormat="1" applyFont="1" applyBorder="1" applyAlignment="1">
      <alignment horizontal="right" vertical="top" wrapText="1"/>
    </xf>
    <xf numFmtId="0" fontId="83" fillId="40" borderId="52" xfId="0" applyFont="1" applyFill="1" applyBorder="1" applyAlignment="1">
      <alignment horizontal="center" vertical="top" wrapText="1"/>
    </xf>
    <xf numFmtId="0" fontId="83" fillId="40" borderId="53" xfId="0" applyFont="1" applyFill="1" applyBorder="1" applyAlignment="1">
      <alignment horizontal="center" vertical="top" wrapText="1"/>
    </xf>
    <xf numFmtId="0" fontId="83" fillId="40" borderId="54" xfId="0" applyFont="1" applyFill="1" applyBorder="1" applyAlignment="1">
      <alignment horizontal="center" vertical="top" wrapText="1"/>
    </xf>
    <xf numFmtId="0" fontId="85" fillId="0" borderId="64" xfId="0" applyFont="1" applyBorder="1" applyAlignment="1">
      <alignment horizontal="center" vertical="top" wrapText="1"/>
    </xf>
    <xf numFmtId="0" fontId="85" fillId="0" borderId="10" xfId="0" applyFont="1" applyBorder="1" applyAlignment="1">
      <alignment horizontal="left" vertical="top" wrapText="1"/>
    </xf>
    <xf numFmtId="3" fontId="85" fillId="0" borderId="10" xfId="0" applyNumberFormat="1" applyFont="1" applyBorder="1" applyAlignment="1">
      <alignment horizontal="right" vertical="top" wrapText="1"/>
    </xf>
    <xf numFmtId="3" fontId="85" fillId="0" borderId="69" xfId="0" applyNumberFormat="1" applyFont="1" applyBorder="1" applyAlignment="1">
      <alignment horizontal="right" vertical="top" wrapText="1"/>
    </xf>
    <xf numFmtId="0" fontId="3" fillId="5" borderId="1" xfId="0" applyFont="1" applyFill="1" applyBorder="1" applyAlignment="1">
      <alignment horizontal="left"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0" fontId="85" fillId="5" borderId="1" xfId="0" applyFont="1" applyFill="1" applyBorder="1" applyAlignment="1">
      <alignment horizontal="left" vertical="top" wrapText="1"/>
    </xf>
    <xf numFmtId="3" fontId="85" fillId="5" borderId="1" xfId="0" applyNumberFormat="1" applyFont="1" applyFill="1" applyBorder="1" applyAlignment="1">
      <alignment horizontal="right" vertical="top" wrapText="1"/>
    </xf>
    <xf numFmtId="0" fontId="3" fillId="5" borderId="51" xfId="0" applyFont="1" applyFill="1" applyBorder="1" applyAlignment="1">
      <alignment horizontal="center" vertical="top" wrapText="1"/>
    </xf>
    <xf numFmtId="3" fontId="3" fillId="5" borderId="17" xfId="0" applyNumberFormat="1" applyFont="1" applyFill="1" applyBorder="1" applyAlignment="1">
      <alignment horizontal="right" vertical="top" wrapText="1"/>
    </xf>
    <xf numFmtId="0" fontId="85" fillId="5" borderId="52" xfId="0" applyFont="1" applyFill="1" applyBorder="1" applyAlignment="1">
      <alignment horizontal="center" vertical="top" wrapText="1"/>
    </xf>
    <xf numFmtId="0" fontId="85" fillId="5" borderId="53" xfId="0" applyFont="1" applyFill="1" applyBorder="1" applyAlignment="1">
      <alignment horizontal="left" vertical="top" wrapText="1"/>
    </xf>
    <xf numFmtId="3" fontId="85" fillId="5" borderId="53" xfId="0" applyNumberFormat="1" applyFont="1" applyFill="1" applyBorder="1" applyAlignment="1">
      <alignment horizontal="right" vertical="top" wrapText="1"/>
    </xf>
    <xf numFmtId="3" fontId="85" fillId="5" borderId="54" xfId="0" applyNumberFormat="1" applyFont="1" applyFill="1" applyBorder="1" applyAlignment="1">
      <alignment horizontal="right" vertical="top" wrapText="1"/>
    </xf>
    <xf numFmtId="0" fontId="85" fillId="5" borderId="51" xfId="0" applyFont="1" applyFill="1" applyBorder="1" applyAlignment="1">
      <alignment horizontal="center" vertical="top" wrapText="1"/>
    </xf>
    <xf numFmtId="3" fontId="85" fillId="5" borderId="17" xfId="0" applyNumberFormat="1" applyFont="1" applyFill="1" applyBorder="1" applyAlignment="1">
      <alignment horizontal="right" vertical="top" wrapText="1"/>
    </xf>
    <xf numFmtId="0" fontId="85" fillId="5" borderId="59" xfId="0" applyFont="1" applyFill="1" applyBorder="1" applyAlignment="1">
      <alignment horizontal="center" vertical="top" wrapText="1"/>
    </xf>
    <xf numFmtId="0" fontId="85" fillId="5" borderId="60" xfId="0" applyFont="1" applyFill="1" applyBorder="1" applyAlignment="1">
      <alignment horizontal="left" vertical="top" wrapText="1"/>
    </xf>
    <xf numFmtId="3" fontId="85" fillId="5" borderId="60" xfId="0" applyNumberFormat="1" applyFont="1" applyFill="1" applyBorder="1" applyAlignment="1">
      <alignment horizontal="right" vertical="top" wrapText="1"/>
    </xf>
    <xf numFmtId="3" fontId="85" fillId="5" borderId="61" xfId="0" applyNumberFormat="1" applyFont="1" applyFill="1" applyBorder="1" applyAlignment="1">
      <alignment horizontal="right" vertical="top" wrapText="1"/>
    </xf>
    <xf numFmtId="0" fontId="84" fillId="0" borderId="52" xfId="0" applyFont="1" applyBorder="1" applyAlignment="1">
      <alignment horizontal="center" vertical="top" wrapText="1"/>
    </xf>
    <xf numFmtId="0" fontId="84" fillId="0" borderId="53" xfId="0" applyFont="1" applyBorder="1" applyAlignment="1">
      <alignment horizontal="left" vertical="top" wrapText="1"/>
    </xf>
    <xf numFmtId="3" fontId="84" fillId="0" borderId="53" xfId="0" applyNumberFormat="1" applyFont="1" applyBorder="1" applyAlignment="1">
      <alignment horizontal="right" vertical="top" wrapText="1"/>
    </xf>
    <xf numFmtId="3" fontId="84" fillId="0" borderId="54" xfId="0" applyNumberFormat="1" applyFont="1" applyBorder="1" applyAlignment="1">
      <alignment horizontal="right" vertical="top" wrapText="1"/>
    </xf>
    <xf numFmtId="0" fontId="83" fillId="40" borderId="51" xfId="0" applyFont="1" applyFill="1" applyBorder="1" applyAlignment="1">
      <alignment horizontal="center" vertical="center" wrapText="1"/>
    </xf>
    <xf numFmtId="0" fontId="83" fillId="40" borderId="1" xfId="0" applyFont="1" applyFill="1" applyBorder="1" applyAlignment="1">
      <alignment horizontal="center" vertical="center" wrapText="1"/>
    </xf>
    <xf numFmtId="0" fontId="83" fillId="40" borderId="17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vertical="center"/>
    </xf>
    <xf numFmtId="0" fontId="87" fillId="0" borderId="0" xfId="0" applyFont="1" applyBorder="1" applyAlignment="1">
      <alignment horizontal="left" vertical="center"/>
    </xf>
    <xf numFmtId="0" fontId="0" fillId="0" borderId="0" xfId="0" applyFont="1"/>
    <xf numFmtId="0" fontId="86" fillId="0" borderId="0" xfId="0" applyFont="1"/>
    <xf numFmtId="0" fontId="17" fillId="0" borderId="0" xfId="0" applyFont="1" applyBorder="1" applyAlignment="1">
      <alignment horizontal="right" vertical="center"/>
    </xf>
    <xf numFmtId="49" fontId="0" fillId="0" borderId="0" xfId="0" applyNumberFormat="1" applyFont="1" applyBorder="1"/>
    <xf numFmtId="49" fontId="0" fillId="0" borderId="0" xfId="0" applyNumberFormat="1" applyFont="1"/>
    <xf numFmtId="0" fontId="0" fillId="0" borderId="79" xfId="0" applyFont="1" applyBorder="1"/>
    <xf numFmtId="0" fontId="53" fillId="0" borderId="0" xfId="55"/>
    <xf numFmtId="0" fontId="66" fillId="0" borderId="74" xfId="55" applyFont="1" applyBorder="1" applyAlignment="1">
      <alignment horizontal="center" vertical="center"/>
    </xf>
    <xf numFmtId="0" fontId="53" fillId="0" borderId="74" xfId="55" applyFont="1" applyBorder="1" applyAlignment="1">
      <alignment horizontal="left" vertical="center"/>
    </xf>
    <xf numFmtId="168" fontId="53" fillId="0" borderId="74" xfId="55" applyNumberFormat="1" applyBorder="1" applyAlignment="1">
      <alignment horizontal="center" vertical="center"/>
    </xf>
    <xf numFmtId="0" fontId="53" fillId="0" borderId="74" xfId="55" applyFont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53" fillId="0" borderId="74" xfId="55" applyFont="1" applyBorder="1" applyAlignment="1">
      <alignment vertical="center"/>
    </xf>
    <xf numFmtId="0" fontId="53" fillId="0" borderId="74" xfId="55" applyFont="1" applyBorder="1" applyAlignment="1">
      <alignment horizontal="left" vertical="center" wrapText="1"/>
    </xf>
    <xf numFmtId="0" fontId="53" fillId="0" borderId="80" xfId="55" applyFont="1" applyBorder="1" applyAlignment="1">
      <alignment wrapText="1"/>
    </xf>
    <xf numFmtId="0" fontId="83" fillId="4" borderId="0" xfId="0" applyFont="1" applyFill="1" applyAlignment="1">
      <alignment horizontal="center" vertical="top" wrapText="1"/>
    </xf>
    <xf numFmtId="0" fontId="0" fillId="4" borderId="0" xfId="0" applyFill="1"/>
    <xf numFmtId="0" fontId="17" fillId="4" borderId="0" xfId="0" applyFont="1" applyFill="1" applyAlignment="1">
      <alignment horizontal="right"/>
    </xf>
    <xf numFmtId="0" fontId="66" fillId="0" borderId="74" xfId="55" applyFont="1" applyBorder="1" applyAlignment="1">
      <alignment horizontal="left" vertical="center"/>
    </xf>
    <xf numFmtId="168" fontId="66" fillId="0" borderId="74" xfId="55" applyNumberFormat="1" applyFont="1" applyBorder="1" applyAlignment="1">
      <alignment horizontal="center" vertical="center"/>
    </xf>
    <xf numFmtId="0" fontId="66" fillId="0" borderId="74" xfId="55" applyFont="1" applyBorder="1"/>
    <xf numFmtId="0" fontId="53" fillId="0" borderId="0" xfId="55" applyBorder="1"/>
    <xf numFmtId="0" fontId="92" fillId="0" borderId="0" xfId="55" applyFont="1" applyBorder="1"/>
    <xf numFmtId="0" fontId="53" fillId="0" borderId="0" xfId="55" applyFont="1" applyBorder="1" applyAlignment="1">
      <alignment horizontal="center"/>
    </xf>
    <xf numFmtId="0" fontId="93" fillId="0" borderId="0" xfId="55" applyFont="1" applyBorder="1" applyAlignment="1">
      <alignment horizontal="center" vertical="center"/>
    </xf>
    <xf numFmtId="0" fontId="17" fillId="4" borderId="0" xfId="0" applyFont="1" applyFill="1" applyBorder="1" applyAlignment="1">
      <alignment horizontal="right"/>
    </xf>
    <xf numFmtId="0" fontId="85" fillId="5" borderId="57" xfId="0" applyFont="1" applyFill="1" applyBorder="1" applyAlignment="1">
      <alignment horizontal="center" vertical="top" wrapText="1"/>
    </xf>
    <xf numFmtId="0" fontId="85" fillId="5" borderId="22" xfId="0" applyFont="1" applyFill="1" applyBorder="1" applyAlignment="1">
      <alignment horizontal="left" vertical="top" wrapText="1"/>
    </xf>
    <xf numFmtId="3" fontId="85" fillId="5" borderId="22" xfId="0" applyNumberFormat="1" applyFont="1" applyFill="1" applyBorder="1" applyAlignment="1">
      <alignment horizontal="right" vertical="top" wrapText="1"/>
    </xf>
    <xf numFmtId="3" fontId="85" fillId="5" borderId="58" xfId="0" applyNumberFormat="1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vertical="center"/>
    </xf>
    <xf numFmtId="0" fontId="83" fillId="40" borderId="55" xfId="0" applyFont="1" applyFill="1" applyBorder="1" applyAlignment="1">
      <alignment horizontal="center" vertical="top" wrapText="1"/>
    </xf>
    <xf numFmtId="0" fontId="83" fillId="40" borderId="65" xfId="0" applyFont="1" applyFill="1" applyBorder="1" applyAlignment="1">
      <alignment horizontal="center" vertical="top" wrapText="1"/>
    </xf>
    <xf numFmtId="0" fontId="83" fillId="40" borderId="56" xfId="0" applyFont="1" applyFill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right" vertical="top" wrapText="1"/>
    </xf>
    <xf numFmtId="3" fontId="1" fillId="0" borderId="58" xfId="0" applyNumberFormat="1" applyFont="1" applyBorder="1" applyAlignment="1">
      <alignment horizontal="right" vertical="top" wrapText="1"/>
    </xf>
    <xf numFmtId="169" fontId="94" fillId="0" borderId="84" xfId="0" applyNumberFormat="1" applyFont="1" applyFill="1" applyBorder="1" applyAlignment="1">
      <alignment horizontal="center" vertical="center"/>
    </xf>
    <xf numFmtId="169" fontId="94" fillId="0" borderId="85" xfId="0" applyNumberFormat="1" applyFont="1" applyFill="1" applyBorder="1" applyAlignment="1">
      <alignment horizontal="center" vertical="center"/>
    </xf>
    <xf numFmtId="169" fontId="94" fillId="0" borderId="81" xfId="0" applyNumberFormat="1" applyFont="1" applyFill="1" applyBorder="1" applyAlignment="1">
      <alignment horizontal="center" vertical="center" wrapText="1"/>
    </xf>
    <xf numFmtId="169" fontId="94" fillId="0" borderId="86" xfId="0" applyNumberFormat="1" applyFont="1" applyFill="1" applyBorder="1" applyAlignment="1">
      <alignment horizontal="center" vertical="center" wrapText="1"/>
    </xf>
    <xf numFmtId="169" fontId="94" fillId="0" borderId="87" xfId="0" applyNumberFormat="1" applyFont="1" applyFill="1" applyBorder="1" applyAlignment="1">
      <alignment horizontal="center" vertical="center" wrapText="1"/>
    </xf>
    <xf numFmtId="169" fontId="95" fillId="0" borderId="81" xfId="0" applyNumberFormat="1" applyFont="1" applyFill="1" applyBorder="1" applyAlignment="1">
      <alignment horizontal="left" vertical="center" wrapText="1" indent="1"/>
    </xf>
    <xf numFmtId="169" fontId="97" fillId="0" borderId="90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0" xfId="0" applyFont="1" applyFill="1" applyBorder="1" applyAlignment="1">
      <alignment horizontal="center" vertical="top" wrapText="1"/>
    </xf>
    <xf numFmtId="170" fontId="96" fillId="41" borderId="81" xfId="53" applyNumberFormat="1" applyFont="1" applyFill="1" applyBorder="1" applyAlignment="1">
      <alignment horizontal="center" vertical="center" wrapText="1"/>
    </xf>
    <xf numFmtId="170" fontId="96" fillId="41" borderId="88" xfId="53" applyNumberFormat="1" applyFont="1" applyFill="1" applyBorder="1" applyAlignment="1">
      <alignment horizontal="center" vertical="center" wrapText="1"/>
    </xf>
    <xf numFmtId="170" fontId="95" fillId="0" borderId="89" xfId="53" applyNumberFormat="1" applyFont="1" applyFill="1" applyBorder="1" applyAlignment="1">
      <alignment horizontal="center" vertical="center" wrapText="1"/>
    </xf>
    <xf numFmtId="170" fontId="95" fillId="0" borderId="87" xfId="53" applyNumberFormat="1" applyFont="1" applyFill="1" applyBorder="1" applyAlignment="1">
      <alignment horizontal="center" vertical="center" wrapText="1"/>
    </xf>
    <xf numFmtId="170" fontId="96" fillId="0" borderId="90" xfId="53" applyNumberFormat="1" applyFont="1" applyFill="1" applyBorder="1" applyAlignment="1" applyProtection="1">
      <alignment horizontal="center" vertical="center" wrapText="1"/>
      <protection locked="0"/>
    </xf>
    <xf numFmtId="170" fontId="96" fillId="0" borderId="74" xfId="53" applyNumberFormat="1" applyFont="1" applyFill="1" applyBorder="1" applyAlignment="1" applyProtection="1">
      <alignment horizontal="center" vertical="center" wrapText="1"/>
      <protection locked="0"/>
    </xf>
    <xf numFmtId="170" fontId="97" fillId="0" borderId="74" xfId="53" applyNumberFormat="1" applyFont="1" applyFill="1" applyBorder="1" applyAlignment="1" applyProtection="1">
      <alignment horizontal="center" vertical="center" wrapText="1"/>
      <protection locked="0"/>
    </xf>
    <xf numFmtId="170" fontId="97" fillId="0" borderId="91" xfId="53" applyNumberFormat="1" applyFont="1" applyFill="1" applyBorder="1" applyAlignment="1" applyProtection="1">
      <alignment horizontal="center" vertical="center" wrapText="1"/>
      <protection locked="0"/>
    </xf>
    <xf numFmtId="0" fontId="94" fillId="0" borderId="89" xfId="0" applyFont="1" applyFill="1" applyBorder="1" applyAlignment="1">
      <alignment horizontal="center" vertical="center" wrapText="1"/>
    </xf>
    <xf numFmtId="0" fontId="94" fillId="0" borderId="86" xfId="0" applyFont="1" applyFill="1" applyBorder="1" applyAlignment="1">
      <alignment horizontal="center" vertical="center" wrapText="1"/>
    </xf>
    <xf numFmtId="0" fontId="95" fillId="0" borderId="95" xfId="0" applyFont="1" applyFill="1" applyBorder="1" applyAlignment="1">
      <alignment horizontal="center" vertical="center" wrapText="1"/>
    </xf>
    <xf numFmtId="0" fontId="95" fillId="0" borderId="89" xfId="0" applyFont="1" applyFill="1" applyBorder="1" applyAlignment="1">
      <alignment horizontal="center" vertical="center" wrapText="1"/>
    </xf>
    <xf numFmtId="0" fontId="95" fillId="0" borderId="87" xfId="0" applyFont="1" applyFill="1" applyBorder="1" applyAlignment="1">
      <alignment horizontal="center" vertical="center" wrapText="1"/>
    </xf>
    <xf numFmtId="167" fontId="97" fillId="0" borderId="97" xfId="53" applyNumberFormat="1" applyFont="1" applyFill="1" applyBorder="1" applyAlignment="1" applyProtection="1">
      <alignment horizontal="center" vertical="center"/>
    </xf>
    <xf numFmtId="167" fontId="97" fillId="0" borderId="74" xfId="53" applyNumberFormat="1" applyFont="1" applyFill="1" applyBorder="1" applyAlignment="1" applyProtection="1">
      <alignment vertical="center" wrapText="1"/>
    </xf>
    <xf numFmtId="167" fontId="97" fillId="0" borderId="74" xfId="53" applyNumberFormat="1" applyFont="1" applyFill="1" applyBorder="1" applyAlignment="1" applyProtection="1">
      <alignment vertical="center"/>
      <protection locked="0"/>
    </xf>
    <xf numFmtId="167" fontId="97" fillId="0" borderId="98" xfId="53" applyNumberFormat="1" applyFont="1" applyFill="1" applyBorder="1" applyAlignment="1" applyProtection="1">
      <alignment vertical="center"/>
      <protection locked="0"/>
    </xf>
    <xf numFmtId="167" fontId="95" fillId="0" borderId="98" xfId="53" applyNumberFormat="1" applyFont="1" applyFill="1" applyBorder="1" applyAlignment="1" applyProtection="1">
      <alignment vertical="center"/>
    </xf>
    <xf numFmtId="167" fontId="95" fillId="0" borderId="91" xfId="53" applyNumberFormat="1" applyFont="1" applyFill="1" applyBorder="1" applyAlignment="1" applyProtection="1">
      <alignment vertical="center"/>
    </xf>
    <xf numFmtId="167" fontId="97" fillId="0" borderId="99" xfId="53" applyNumberFormat="1" applyFont="1" applyFill="1" applyBorder="1" applyAlignment="1" applyProtection="1">
      <alignment horizontal="center" vertical="center"/>
    </xf>
    <xf numFmtId="167" fontId="97" fillId="0" borderId="100" xfId="53" applyNumberFormat="1" applyFont="1" applyFill="1" applyBorder="1" applyAlignment="1" applyProtection="1">
      <alignment vertical="center" wrapText="1"/>
    </xf>
    <xf numFmtId="167" fontId="97" fillId="0" borderId="100" xfId="53" applyNumberFormat="1" applyFont="1" applyFill="1" applyBorder="1" applyAlignment="1" applyProtection="1">
      <alignment vertical="center"/>
      <protection locked="0"/>
    </xf>
    <xf numFmtId="167" fontId="97" fillId="0" borderId="101" xfId="53" applyNumberFormat="1" applyFont="1" applyFill="1" applyBorder="1" applyAlignment="1" applyProtection="1">
      <alignment vertical="center"/>
      <protection locked="0"/>
    </xf>
    <xf numFmtId="167" fontId="95" fillId="0" borderId="89" xfId="53" applyNumberFormat="1" applyFont="1" applyFill="1" applyBorder="1" applyAlignment="1" applyProtection="1">
      <alignment vertical="center"/>
    </xf>
    <xf numFmtId="167" fontId="95" fillId="0" borderId="86" xfId="53" applyNumberFormat="1" applyFont="1" applyFill="1" applyBorder="1" applyAlignment="1" applyProtection="1">
      <alignment vertical="center"/>
    </xf>
    <xf numFmtId="167" fontId="97" fillId="0" borderId="85" xfId="53" applyNumberFormat="1" applyFont="1" applyFill="1" applyBorder="1" applyAlignment="1" applyProtection="1">
      <alignment vertical="center" wrapText="1"/>
    </xf>
    <xf numFmtId="167" fontId="97" fillId="0" borderId="85" xfId="53" applyNumberFormat="1" applyFont="1" applyFill="1" applyBorder="1" applyAlignment="1" applyProtection="1">
      <alignment vertical="center"/>
      <protection locked="0"/>
    </xf>
    <xf numFmtId="167" fontId="97" fillId="0" borderId="84" xfId="53" applyNumberFormat="1" applyFont="1" applyFill="1" applyBorder="1" applyAlignment="1" applyProtection="1">
      <alignment vertical="center"/>
      <protection locked="0"/>
    </xf>
    <xf numFmtId="0" fontId="103" fillId="0" borderId="0" xfId="0" applyFont="1"/>
    <xf numFmtId="0" fontId="0" fillId="0" borderId="0" xfId="0" applyAlignment="1">
      <alignment horizontal="right"/>
    </xf>
    <xf numFmtId="0" fontId="104" fillId="0" borderId="51" xfId="0" applyFont="1" applyBorder="1"/>
    <xf numFmtId="3" fontId="103" fillId="0" borderId="17" xfId="0" applyNumberFormat="1" applyFont="1" applyBorder="1" applyAlignment="1">
      <alignment horizontal="center"/>
    </xf>
    <xf numFmtId="0" fontId="104" fillId="0" borderId="1" xfId="0" applyFont="1" applyBorder="1" applyAlignment="1">
      <alignment horizontal="center"/>
    </xf>
    <xf numFmtId="0" fontId="104" fillId="0" borderId="51" xfId="0" applyFont="1" applyBorder="1" applyAlignment="1">
      <alignment horizontal="center"/>
    </xf>
    <xf numFmtId="0" fontId="0" fillId="0" borderId="51" xfId="0" applyBorder="1"/>
    <xf numFmtId="3" fontId="0" fillId="0" borderId="17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103" fillId="0" borderId="51" xfId="0" applyFont="1" applyBorder="1"/>
    <xf numFmtId="3" fontId="103" fillId="0" borderId="17" xfId="0" applyNumberFormat="1" applyFont="1" applyBorder="1"/>
    <xf numFmtId="3" fontId="103" fillId="0" borderId="1" xfId="0" applyNumberFormat="1" applyFont="1" applyBorder="1" applyAlignment="1">
      <alignment horizontal="right"/>
    </xf>
    <xf numFmtId="3" fontId="103" fillId="0" borderId="51" xfId="0" applyNumberFormat="1" applyFont="1" applyBorder="1"/>
    <xf numFmtId="0" fontId="103" fillId="0" borderId="51" xfId="0" applyFont="1" applyBorder="1" applyAlignment="1">
      <alignment wrapText="1"/>
    </xf>
    <xf numFmtId="3" fontId="105" fillId="0" borderId="51" xfId="0" applyNumberFormat="1" applyFont="1" applyBorder="1"/>
    <xf numFmtId="3" fontId="105" fillId="0" borderId="17" xfId="0" applyNumberFormat="1" applyFont="1" applyBorder="1"/>
    <xf numFmtId="3" fontId="105" fillId="0" borderId="1" xfId="0" applyNumberFormat="1" applyFont="1" applyBorder="1" applyAlignment="1">
      <alignment horizontal="right"/>
    </xf>
    <xf numFmtId="0" fontId="106" fillId="8" borderId="51" xfId="0" applyFont="1" applyFill="1" applyBorder="1" applyAlignment="1">
      <alignment wrapText="1"/>
    </xf>
    <xf numFmtId="3" fontId="103" fillId="8" borderId="17" xfId="0" applyNumberFormat="1" applyFont="1" applyFill="1" applyBorder="1"/>
    <xf numFmtId="3" fontId="103" fillId="8" borderId="1" xfId="0" applyNumberFormat="1" applyFont="1" applyFill="1" applyBorder="1"/>
    <xf numFmtId="0" fontId="107" fillId="0" borderId="51" xfId="0" applyFont="1" applyBorder="1" applyAlignment="1">
      <alignment wrapText="1"/>
    </xf>
    <xf numFmtId="3" fontId="107" fillId="0" borderId="1" xfId="0" applyNumberFormat="1" applyFont="1" applyBorder="1"/>
    <xf numFmtId="3" fontId="107" fillId="0" borderId="17" xfId="0" applyNumberFormat="1" applyFont="1" applyBorder="1"/>
    <xf numFmtId="3" fontId="103" fillId="0" borderId="1" xfId="0" applyNumberFormat="1" applyFont="1" applyBorder="1"/>
    <xf numFmtId="3" fontId="103" fillId="0" borderId="17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02" xfId="0" applyNumberFormat="1" applyFill="1" applyBorder="1"/>
    <xf numFmtId="3" fontId="0" fillId="0" borderId="51" xfId="0" applyNumberFormat="1" applyBorder="1"/>
    <xf numFmtId="0" fontId="104" fillId="8" borderId="52" xfId="0" applyFont="1" applyFill="1" applyBorder="1" applyAlignment="1">
      <alignment horizontal="left"/>
    </xf>
    <xf numFmtId="3" fontId="103" fillId="8" borderId="54" xfId="0" applyNumberFormat="1" applyFont="1" applyFill="1" applyBorder="1"/>
    <xf numFmtId="3" fontId="103" fillId="8" borderId="53" xfId="0" applyNumberFormat="1" applyFont="1" applyFill="1" applyBorder="1"/>
    <xf numFmtId="3" fontId="104" fillId="8" borderId="52" xfId="0" applyNumberFormat="1" applyFont="1" applyFill="1" applyBorder="1" applyAlignment="1">
      <alignment horizontal="left"/>
    </xf>
    <xf numFmtId="0" fontId="107" fillId="0" borderId="57" xfId="0" applyFont="1" applyBorder="1" applyAlignment="1">
      <alignment wrapText="1"/>
    </xf>
    <xf numFmtId="3" fontId="107" fillId="0" borderId="22" xfId="0" applyNumberFormat="1" applyFont="1" applyBorder="1"/>
    <xf numFmtId="3" fontId="104" fillId="0" borderId="22" xfId="0" applyNumberFormat="1" applyFont="1" applyBorder="1" applyAlignment="1">
      <alignment horizontal="right"/>
    </xf>
    <xf numFmtId="3" fontId="108" fillId="0" borderId="22" xfId="0" applyNumberFormat="1" applyFont="1" applyBorder="1"/>
    <xf numFmtId="3" fontId="108" fillId="0" borderId="22" xfId="0" applyNumberFormat="1" applyFont="1" applyBorder="1" applyAlignment="1">
      <alignment horizontal="right"/>
    </xf>
    <xf numFmtId="3" fontId="108" fillId="0" borderId="58" xfId="0" applyNumberFormat="1" applyFont="1" applyBorder="1"/>
    <xf numFmtId="0" fontId="0" fillId="0" borderId="32" xfId="0" applyBorder="1"/>
    <xf numFmtId="0" fontId="0" fillId="0" borderId="33" xfId="0" applyBorder="1" applyAlignment="1">
      <alignment horizontal="right"/>
    </xf>
    <xf numFmtId="0" fontId="3" fillId="10" borderId="59" xfId="0" applyFont="1" applyFill="1" applyBorder="1"/>
    <xf numFmtId="3" fontId="3" fillId="10" borderId="60" xfId="0" applyNumberFormat="1" applyFont="1" applyFill="1" applyBorder="1"/>
    <xf numFmtId="0" fontId="3" fillId="10" borderId="60" xfId="0" applyFont="1" applyFill="1" applyBorder="1"/>
    <xf numFmtId="3" fontId="3" fillId="10" borderId="61" xfId="0" applyNumberFormat="1" applyFont="1" applyFill="1" applyBorder="1"/>
    <xf numFmtId="0" fontId="106" fillId="0" borderId="103" xfId="0" applyFont="1" applyBorder="1" applyAlignment="1">
      <alignment horizontal="center" vertical="center"/>
    </xf>
    <xf numFmtId="0" fontId="106" fillId="0" borderId="104" xfId="0" applyFont="1" applyBorder="1" applyAlignment="1">
      <alignment horizontal="center" vertical="center" wrapText="1"/>
    </xf>
    <xf numFmtId="0" fontId="106" fillId="0" borderId="60" xfId="0" applyFont="1" applyBorder="1" applyAlignment="1">
      <alignment horizontal="center" vertical="center" wrapText="1"/>
    </xf>
    <xf numFmtId="0" fontId="106" fillId="0" borderId="61" xfId="0" applyFont="1" applyFill="1" applyBorder="1" applyAlignment="1">
      <alignment horizontal="center" vertical="center" wrapText="1"/>
    </xf>
    <xf numFmtId="0" fontId="109" fillId="0" borderId="105" xfId="0" applyFont="1" applyBorder="1"/>
    <xf numFmtId="0" fontId="109" fillId="0" borderId="23" xfId="0" applyFont="1" applyBorder="1"/>
    <xf numFmtId="0" fontId="109" fillId="0" borderId="22" xfId="0" applyFont="1" applyBorder="1"/>
    <xf numFmtId="0" fontId="101" fillId="0" borderId="58" xfId="0" applyFont="1" applyBorder="1"/>
    <xf numFmtId="0" fontId="109" fillId="0" borderId="106" xfId="0" applyFont="1" applyBorder="1"/>
    <xf numFmtId="0" fontId="109" fillId="0" borderId="9" xfId="0" applyFont="1" applyBorder="1"/>
    <xf numFmtId="0" fontId="109" fillId="0" borderId="1" xfId="0" applyFont="1" applyBorder="1"/>
    <xf numFmtId="0" fontId="101" fillId="0" borderId="17" xfId="0" applyFont="1" applyBorder="1"/>
    <xf numFmtId="0" fontId="106" fillId="0" borderId="106" xfId="0" applyFont="1" applyBorder="1"/>
    <xf numFmtId="3" fontId="109" fillId="0" borderId="9" xfId="0" applyNumberFormat="1" applyFont="1" applyBorder="1"/>
    <xf numFmtId="3" fontId="109" fillId="0" borderId="1" xfId="0" applyNumberFormat="1" applyFont="1" applyBorder="1"/>
    <xf numFmtId="3" fontId="106" fillId="0" borderId="17" xfId="0" applyNumberFormat="1" applyFont="1" applyBorder="1"/>
    <xf numFmtId="3" fontId="106" fillId="0" borderId="17" xfId="0" applyNumberFormat="1" applyFont="1" applyFill="1" applyBorder="1"/>
    <xf numFmtId="0" fontId="0" fillId="0" borderId="0" xfId="0" applyFont="1" applyAlignment="1">
      <alignment horizontal="right"/>
    </xf>
    <xf numFmtId="0" fontId="104" fillId="0" borderId="11" xfId="0" applyFont="1" applyBorder="1"/>
    <xf numFmtId="0" fontId="104" fillId="0" borderId="12" xfId="0" applyFont="1" applyBorder="1" applyAlignment="1">
      <alignment horizontal="center"/>
    </xf>
    <xf numFmtId="0" fontId="104" fillId="0" borderId="12" xfId="0" applyFont="1" applyBorder="1"/>
    <xf numFmtId="0" fontId="104" fillId="0" borderId="13" xfId="0" applyFont="1" applyBorder="1"/>
    <xf numFmtId="0" fontId="104" fillId="0" borderId="61" xfId="0" applyFont="1" applyBorder="1"/>
    <xf numFmtId="0" fontId="104" fillId="0" borderId="57" xfId="0" applyFont="1" applyBorder="1"/>
    <xf numFmtId="3" fontId="103" fillId="0" borderId="22" xfId="0" applyNumberFormat="1" applyFont="1" applyBorder="1" applyAlignment="1">
      <alignment horizontal="center"/>
    </xf>
    <xf numFmtId="0" fontId="104" fillId="0" borderId="23" xfId="0" applyFont="1" applyBorder="1" applyAlignment="1">
      <alignment horizontal="center"/>
    </xf>
    <xf numFmtId="3" fontId="103" fillId="0" borderId="58" xfId="0" applyNumberFormat="1" applyFont="1" applyBorder="1" applyAlignment="1">
      <alignment horizontal="center"/>
    </xf>
    <xf numFmtId="0" fontId="104" fillId="0" borderId="23" xfId="0" applyFont="1" applyBorder="1"/>
    <xf numFmtId="0" fontId="103" fillId="0" borderId="1" xfId="0" applyFont="1" applyBorder="1" applyAlignment="1">
      <alignment horizontal="center"/>
    </xf>
    <xf numFmtId="0" fontId="103" fillId="0" borderId="17" xfId="0" applyFont="1" applyBorder="1" applyAlignment="1">
      <alignment horizontal="center"/>
    </xf>
    <xf numFmtId="0" fontId="104" fillId="0" borderId="9" xfId="0" applyFont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2" xfId="0" applyFont="1" applyBorder="1" applyAlignment="1">
      <alignment horizontal="center"/>
    </xf>
    <xf numFmtId="0" fontId="104" fillId="0" borderId="17" xfId="0" applyFont="1" applyFill="1" applyBorder="1" applyAlignment="1">
      <alignment horizontal="center"/>
    </xf>
    <xf numFmtId="0" fontId="105" fillId="0" borderId="51" xfId="0" applyFont="1" applyBorder="1"/>
    <xf numFmtId="3" fontId="0" fillId="0" borderId="17" xfId="0" applyNumberFormat="1" applyBorder="1" applyAlignment="1">
      <alignment horizontal="right"/>
    </xf>
    <xf numFmtId="0" fontId="104" fillId="0" borderId="9" xfId="0" applyFont="1" applyBorder="1"/>
    <xf numFmtId="0" fontId="103" fillId="0" borderId="9" xfId="0" applyFont="1" applyBorder="1"/>
    <xf numFmtId="3" fontId="103" fillId="0" borderId="2" xfId="0" applyNumberFormat="1" applyFont="1" applyBorder="1" applyAlignment="1">
      <alignment horizontal="right"/>
    </xf>
    <xf numFmtId="3" fontId="103" fillId="0" borderId="9" xfId="0" applyNumberFormat="1" applyFont="1" applyBorder="1"/>
    <xf numFmtId="3" fontId="103" fillId="0" borderId="2" xfId="0" applyNumberFormat="1" applyFont="1" applyBorder="1"/>
    <xf numFmtId="3" fontId="103" fillId="0" borderId="51" xfId="0" applyNumberFormat="1" applyFont="1" applyBorder="1" applyAlignment="1">
      <alignment wrapText="1"/>
    </xf>
    <xf numFmtId="3" fontId="103" fillId="0" borderId="9" xfId="0" applyNumberFormat="1" applyFont="1" applyBorder="1" applyAlignment="1">
      <alignment wrapText="1"/>
    </xf>
    <xf numFmtId="3" fontId="106" fillId="8" borderId="51" xfId="0" applyNumberFormat="1" applyFont="1" applyFill="1" applyBorder="1" applyAlignment="1">
      <alignment wrapText="1"/>
    </xf>
    <xf numFmtId="3" fontId="106" fillId="8" borderId="9" xfId="0" applyNumberFormat="1" applyFont="1" applyFill="1" applyBorder="1" applyAlignment="1">
      <alignment wrapText="1"/>
    </xf>
    <xf numFmtId="11" fontId="107" fillId="0" borderId="51" xfId="0" applyNumberFormat="1" applyFont="1" applyBorder="1"/>
    <xf numFmtId="11" fontId="110" fillId="0" borderId="9" xfId="0" applyNumberFormat="1" applyFont="1" applyBorder="1"/>
    <xf numFmtId="3" fontId="110" fillId="0" borderId="1" xfId="0" applyNumberFormat="1" applyFont="1" applyBorder="1"/>
    <xf numFmtId="3" fontId="110" fillId="0" borderId="2" xfId="0" applyNumberFormat="1" applyFont="1" applyBorder="1" applyAlignment="1">
      <alignment horizontal="right"/>
    </xf>
    <xf numFmtId="3" fontId="110" fillId="0" borderId="17" xfId="0" applyNumberFormat="1" applyFont="1" applyBorder="1"/>
    <xf numFmtId="3" fontId="103" fillId="8" borderId="51" xfId="0" applyNumberFormat="1" applyFont="1" applyFill="1" applyBorder="1"/>
    <xf numFmtId="3" fontId="103" fillId="8" borderId="9" xfId="0" applyNumberFormat="1" applyFont="1" applyFill="1" applyBorder="1"/>
    <xf numFmtId="3" fontId="0" fillId="0" borderId="1" xfId="0" applyNumberFormat="1" applyBorder="1"/>
    <xf numFmtId="3" fontId="0" fillId="0" borderId="9" xfId="0" applyNumberFormat="1" applyBorder="1"/>
    <xf numFmtId="3" fontId="0" fillId="0" borderId="2" xfId="0" applyNumberFormat="1" applyBorder="1" applyAlignment="1">
      <alignment horizontal="right"/>
    </xf>
    <xf numFmtId="3" fontId="104" fillId="8" borderId="51" xfId="0" applyNumberFormat="1" applyFont="1" applyFill="1" applyBorder="1"/>
    <xf numFmtId="3" fontId="104" fillId="8" borderId="9" xfId="0" applyNumberFormat="1" applyFont="1" applyFill="1" applyBorder="1"/>
    <xf numFmtId="11" fontId="107" fillId="0" borderId="52" xfId="0" applyNumberFormat="1" applyFont="1" applyBorder="1"/>
    <xf numFmtId="3" fontId="107" fillId="0" borderId="53" xfId="0" applyNumberFormat="1" applyFont="1" applyBorder="1"/>
    <xf numFmtId="3" fontId="107" fillId="0" borderId="53" xfId="0" applyNumberFormat="1" applyFont="1" applyBorder="1" applyAlignment="1">
      <alignment horizontal="right"/>
    </xf>
    <xf numFmtId="3" fontId="107" fillId="0" borderId="54" xfId="0" applyNumberFormat="1" applyFont="1" applyBorder="1"/>
    <xf numFmtId="3" fontId="103" fillId="0" borderId="36" xfId="0" applyNumberFormat="1" applyFont="1" applyBorder="1" applyAlignment="1">
      <alignment horizontal="right"/>
    </xf>
    <xf numFmtId="3" fontId="105" fillId="0" borderId="53" xfId="0" applyNumberFormat="1" applyFont="1" applyBorder="1"/>
    <xf numFmtId="3" fontId="108" fillId="0" borderId="53" xfId="0" applyNumberFormat="1" applyFont="1" applyBorder="1"/>
    <xf numFmtId="3" fontId="105" fillId="0" borderId="54" xfId="0" applyNumberFormat="1" applyFont="1" applyBorder="1"/>
    <xf numFmtId="11" fontId="110" fillId="0" borderId="0" xfId="0" applyNumberFormat="1" applyFont="1" applyBorder="1"/>
    <xf numFmtId="0" fontId="103" fillId="0" borderId="0" xfId="0" applyFont="1" applyAlignment="1">
      <alignment horizontal="center" vertical="center"/>
    </xf>
    <xf numFmtId="0" fontId="111" fillId="0" borderId="0" xfId="0" applyFont="1"/>
    <xf numFmtId="0" fontId="111" fillId="0" borderId="0" xfId="0" applyFont="1" applyAlignment="1">
      <alignment horizontal="center" vertical="center"/>
    </xf>
    <xf numFmtId="0" fontId="113" fillId="0" borderId="55" xfId="0" applyFont="1" applyBorder="1" applyAlignment="1">
      <alignment horizontal="center" vertical="center"/>
    </xf>
    <xf numFmtId="0" fontId="113" fillId="0" borderId="65" xfId="0" applyFont="1" applyBorder="1" applyAlignment="1">
      <alignment horizontal="center" vertical="center"/>
    </xf>
    <xf numFmtId="3" fontId="113" fillId="0" borderId="108" xfId="0" applyNumberFormat="1" applyFont="1" applyBorder="1" applyAlignment="1">
      <alignment horizontal="center" vertical="center"/>
    </xf>
    <xf numFmtId="0" fontId="113" fillId="0" borderId="56" xfId="0" applyFont="1" applyFill="1" applyBorder="1" applyAlignment="1">
      <alignment horizontal="center" vertical="center"/>
    </xf>
    <xf numFmtId="0" fontId="111" fillId="0" borderId="51" xfId="0" applyFont="1" applyFill="1" applyBorder="1"/>
    <xf numFmtId="0" fontId="111" fillId="0" borderId="1" xfId="0" applyFont="1" applyBorder="1"/>
    <xf numFmtId="3" fontId="111" fillId="0" borderId="1" xfId="0" applyNumberFormat="1" applyFont="1" applyBorder="1"/>
    <xf numFmtId="0" fontId="111" fillId="0" borderId="17" xfId="0" applyFont="1" applyBorder="1" applyAlignment="1">
      <alignment horizontal="center" vertical="center"/>
    </xf>
    <xf numFmtId="0" fontId="111" fillId="0" borderId="109" xfId="0" applyFont="1" applyBorder="1" applyAlignment="1">
      <alignment horizontal="center" vertical="center"/>
    </xf>
    <xf numFmtId="0" fontId="113" fillId="0" borderId="59" xfId="0" applyFont="1" applyBorder="1"/>
    <xf numFmtId="0" fontId="113" fillId="0" borderId="60" xfId="0" applyFont="1" applyBorder="1"/>
    <xf numFmtId="3" fontId="113" fillId="0" borderId="60" xfId="0" applyNumberFormat="1" applyFont="1" applyBorder="1"/>
    <xf numFmtId="0" fontId="114" fillId="0" borderId="61" xfId="0" applyFont="1" applyBorder="1" applyAlignment="1">
      <alignment horizontal="center" vertical="center"/>
    </xf>
    <xf numFmtId="0" fontId="111" fillId="0" borderId="57" xfId="0" applyFont="1" applyBorder="1"/>
    <xf numFmtId="0" fontId="111" fillId="0" borderId="22" xfId="0" applyFont="1" applyBorder="1"/>
    <xf numFmtId="0" fontId="111" fillId="0" borderId="58" xfId="0" applyFont="1" applyBorder="1" applyAlignment="1">
      <alignment horizontal="center" vertical="center"/>
    </xf>
    <xf numFmtId="0" fontId="116" fillId="0" borderId="1" xfId="56" applyFont="1" applyFill="1" applyBorder="1" applyProtection="1">
      <protection locked="0"/>
    </xf>
    <xf numFmtId="3" fontId="116" fillId="0" borderId="1" xfId="56" applyNumberFormat="1" applyFont="1" applyFill="1" applyBorder="1" applyProtection="1">
      <protection locked="0"/>
    </xf>
    <xf numFmtId="0" fontId="111" fillId="0" borderId="1" xfId="0" applyFont="1" applyFill="1" applyBorder="1"/>
    <xf numFmtId="0" fontId="113" fillId="0" borderId="62" xfId="0" applyFont="1" applyBorder="1"/>
    <xf numFmtId="0" fontId="113" fillId="0" borderId="63" xfId="0" applyFont="1" applyBorder="1"/>
    <xf numFmtId="3" fontId="113" fillId="0" borderId="53" xfId="0" applyNumberFormat="1" applyFont="1" applyBorder="1"/>
    <xf numFmtId="0" fontId="116" fillId="0" borderId="1" xfId="2" applyFont="1" applyBorder="1"/>
    <xf numFmtId="3" fontId="116" fillId="0" borderId="1" xfId="2" applyNumberFormat="1" applyFont="1" applyBorder="1"/>
    <xf numFmtId="0" fontId="117" fillId="0" borderId="1" xfId="0" applyFont="1" applyBorder="1"/>
    <xf numFmtId="0" fontId="117" fillId="0" borderId="8" xfId="0" applyFont="1" applyBorder="1"/>
    <xf numFmtId="3" fontId="117" fillId="0" borderId="1" xfId="0" applyNumberFormat="1" applyFont="1" applyBorder="1"/>
    <xf numFmtId="0" fontId="111" fillId="0" borderId="69" xfId="0" applyFont="1" applyBorder="1" applyAlignment="1">
      <alignment horizontal="center" vertical="center"/>
    </xf>
    <xf numFmtId="0" fontId="117" fillId="0" borderId="10" xfId="0" applyFont="1" applyBorder="1"/>
    <xf numFmtId="0" fontId="117" fillId="0" borderId="0" xfId="0" applyFont="1"/>
    <xf numFmtId="3" fontId="117" fillId="0" borderId="10" xfId="0" applyNumberFormat="1" applyFont="1" applyBorder="1"/>
    <xf numFmtId="3" fontId="116" fillId="0" borderId="2" xfId="56" applyNumberFormat="1" applyFont="1" applyFill="1" applyBorder="1" applyProtection="1">
      <protection locked="0"/>
    </xf>
    <xf numFmtId="3" fontId="113" fillId="0" borderId="63" xfId="0" applyNumberFormat="1" applyFont="1" applyBorder="1"/>
    <xf numFmtId="0" fontId="114" fillId="0" borderId="68" xfId="0" applyFont="1" applyBorder="1" applyAlignment="1">
      <alignment horizontal="center" vertical="center"/>
    </xf>
    <xf numFmtId="0" fontId="111" fillId="0" borderId="51" xfId="0" applyFont="1" applyBorder="1"/>
    <xf numFmtId="0" fontId="116" fillId="0" borderId="2" xfId="2" applyFont="1" applyBorder="1"/>
    <xf numFmtId="3" fontId="116" fillId="0" borderId="9" xfId="2" applyNumberFormat="1" applyFont="1" applyBorder="1"/>
    <xf numFmtId="0" fontId="111" fillId="0" borderId="102" xfId="0" applyFont="1" applyBorder="1"/>
    <xf numFmtId="0" fontId="116" fillId="0" borderId="6" xfId="56" applyFont="1" applyFill="1" applyBorder="1" applyProtection="1">
      <protection locked="0"/>
    </xf>
    <xf numFmtId="171" fontId="9" fillId="0" borderId="53" xfId="2" applyNumberFormat="1" applyBorder="1"/>
    <xf numFmtId="3" fontId="116" fillId="0" borderId="0" xfId="2" applyNumberFormat="1" applyFont="1"/>
    <xf numFmtId="0" fontId="111" fillId="0" borderId="109" xfId="0" applyFont="1" applyFill="1" applyBorder="1" applyAlignment="1">
      <alignment horizontal="center" vertical="center"/>
    </xf>
    <xf numFmtId="3" fontId="117" fillId="0" borderId="0" xfId="0" applyNumberFormat="1" applyFont="1"/>
    <xf numFmtId="0" fontId="111" fillId="0" borderId="6" xfId="0" applyFont="1" applyFill="1" applyBorder="1" applyProtection="1">
      <protection locked="0"/>
    </xf>
    <xf numFmtId="3" fontId="111" fillId="0" borderId="6" xfId="0" applyNumberFormat="1" applyFont="1" applyFill="1" applyBorder="1" applyProtection="1">
      <protection locked="0"/>
    </xf>
    <xf numFmtId="0" fontId="111" fillId="0" borderId="55" xfId="0" applyFont="1" applyBorder="1"/>
    <xf numFmtId="0" fontId="111" fillId="0" borderId="65" xfId="0" applyFont="1" applyBorder="1"/>
    <xf numFmtId="0" fontId="111" fillId="0" borderId="56" xfId="0" applyFont="1" applyBorder="1" applyAlignment="1">
      <alignment horizontal="center" vertical="center"/>
    </xf>
    <xf numFmtId="0" fontId="111" fillId="0" borderId="1" xfId="0" applyFont="1" applyFill="1" applyBorder="1" applyProtection="1">
      <protection locked="0"/>
    </xf>
    <xf numFmtId="3" fontId="111" fillId="0" borderId="1" xfId="0" applyNumberFormat="1" applyFont="1" applyFill="1" applyBorder="1" applyProtection="1">
      <protection locked="0"/>
    </xf>
    <xf numFmtId="0" fontId="111" fillId="0" borderId="62" xfId="0" applyFont="1" applyBorder="1"/>
    <xf numFmtId="0" fontId="116" fillId="0" borderId="63" xfId="56" applyFont="1" applyFill="1" applyBorder="1" applyProtection="1">
      <protection locked="0"/>
    </xf>
    <xf numFmtId="3" fontId="111" fillId="0" borderId="63" xfId="0" applyNumberFormat="1" applyFont="1" applyFill="1" applyBorder="1" applyProtection="1">
      <protection locked="0"/>
    </xf>
    <xf numFmtId="0" fontId="111" fillId="0" borderId="68" xfId="0" applyFont="1" applyBorder="1" applyAlignment="1">
      <alignment horizontal="center" vertical="center"/>
    </xf>
    <xf numFmtId="3" fontId="111" fillId="0" borderId="0" xfId="0" applyNumberFormat="1" applyFont="1"/>
    <xf numFmtId="0" fontId="113" fillId="0" borderId="0" xfId="0" applyFont="1"/>
    <xf numFmtId="0" fontId="111" fillId="0" borderId="108" xfId="0" applyFont="1" applyBorder="1"/>
    <xf numFmtId="0" fontId="111" fillId="0" borderId="65" xfId="0" applyFont="1" applyFill="1" applyBorder="1" applyProtection="1">
      <protection locked="0"/>
    </xf>
    <xf numFmtId="3" fontId="111" fillId="0" borderId="65" xfId="0" applyNumberFormat="1" applyFont="1" applyFill="1" applyBorder="1" applyProtection="1">
      <protection locked="0"/>
    </xf>
    <xf numFmtId="0" fontId="111" fillId="0" borderId="67" xfId="0" applyFont="1" applyBorder="1" applyAlignment="1">
      <alignment horizontal="center" vertical="center"/>
    </xf>
    <xf numFmtId="0" fontId="111" fillId="0" borderId="2" xfId="0" applyFont="1" applyBorder="1"/>
    <xf numFmtId="0" fontId="111" fillId="0" borderId="0" xfId="0" applyFont="1" applyFill="1" applyProtection="1">
      <protection locked="0"/>
    </xf>
    <xf numFmtId="0" fontId="111" fillId="0" borderId="19" xfId="0" applyFont="1" applyBorder="1"/>
    <xf numFmtId="0" fontId="111" fillId="0" borderId="53" xfId="0" applyFont="1" applyFill="1" applyBorder="1" applyProtection="1">
      <protection locked="0"/>
    </xf>
    <xf numFmtId="0" fontId="113" fillId="0" borderId="11" xfId="0" applyFont="1" applyBorder="1"/>
    <xf numFmtId="0" fontId="111" fillId="0" borderId="1" xfId="0" applyFont="1" applyBorder="1" applyAlignment="1">
      <alignment vertical="center" wrapText="1"/>
    </xf>
    <xf numFmtId="0" fontId="111" fillId="0" borderId="1" xfId="0" applyFont="1" applyBorder="1" applyAlignment="1">
      <alignment horizontal="center" vertical="center" wrapText="1"/>
    </xf>
    <xf numFmtId="166" fontId="111" fillId="4" borderId="1" xfId="1" applyNumberFormat="1" applyFont="1" applyFill="1" applyBorder="1"/>
    <xf numFmtId="3" fontId="111" fillId="0" borderId="1" xfId="0" applyNumberFormat="1" applyFont="1" applyBorder="1" applyAlignment="1">
      <alignment horizontal="center" vertical="center"/>
    </xf>
    <xf numFmtId="0" fontId="112" fillId="4" borderId="0" xfId="0" applyFont="1" applyFill="1" applyBorder="1" applyAlignment="1">
      <alignment horizontal="center" vertical="center" wrapText="1"/>
    </xf>
    <xf numFmtId="0" fontId="114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 vertical="top" wrapText="1"/>
    </xf>
    <xf numFmtId="3" fontId="0" fillId="0" borderId="0" xfId="0" applyNumberFormat="1" applyFont="1"/>
    <xf numFmtId="3" fontId="1" fillId="0" borderId="0" xfId="0" applyNumberFormat="1" applyFont="1" applyAlignment="1">
      <alignment horizontal="right" vertical="top" wrapText="1"/>
    </xf>
    <xf numFmtId="0" fontId="18" fillId="40" borderId="2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18" fillId="40" borderId="34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wrapText="1"/>
    </xf>
    <xf numFmtId="0" fontId="18" fillId="40" borderId="55" xfId="0" applyFont="1" applyFill="1" applyBorder="1" applyAlignment="1">
      <alignment horizontal="center" vertical="top" wrapText="1"/>
    </xf>
    <xf numFmtId="0" fontId="1" fillId="0" borderId="51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3" fontId="3" fillId="0" borderId="53" xfId="0" applyNumberFormat="1" applyFont="1" applyBorder="1" applyAlignment="1">
      <alignment horizontal="right" vertical="center" wrapText="1"/>
    </xf>
    <xf numFmtId="0" fontId="93" fillId="0" borderId="0" xfId="55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10" xfId="0" applyNumberFormat="1" applyFont="1" applyBorder="1" applyAlignment="1">
      <alignment horizontal="right" vertical="center" wrapText="1"/>
    </xf>
    <xf numFmtId="0" fontId="18" fillId="40" borderId="111" xfId="0" applyFont="1" applyFill="1" applyBorder="1" applyAlignment="1">
      <alignment horizontal="center" vertical="top" wrapText="1"/>
    </xf>
    <xf numFmtId="3" fontId="1" fillId="42" borderId="106" xfId="0" applyNumberFormat="1" applyFont="1" applyFill="1" applyBorder="1" applyAlignment="1">
      <alignment horizontal="right" vertical="top" wrapText="1"/>
    </xf>
    <xf numFmtId="3" fontId="3" fillId="42" borderId="106" xfId="0" applyNumberFormat="1" applyFont="1" applyFill="1" applyBorder="1" applyAlignment="1">
      <alignment horizontal="right" vertical="center" wrapText="1"/>
    </xf>
    <xf numFmtId="3" fontId="3" fillId="42" borderId="107" xfId="0" applyNumberFormat="1" applyFont="1" applyFill="1" applyBorder="1" applyAlignment="1">
      <alignment horizontal="right" vertical="center" wrapText="1"/>
    </xf>
    <xf numFmtId="3" fontId="3" fillId="42" borderId="112" xfId="0" applyNumberFormat="1" applyFont="1" applyFill="1" applyBorder="1" applyAlignment="1">
      <alignment horizontal="right" vertical="center" wrapText="1"/>
    </xf>
    <xf numFmtId="3" fontId="3" fillId="10" borderId="103" xfId="0" applyNumberFormat="1" applyFont="1" applyFill="1" applyBorder="1" applyAlignment="1">
      <alignment horizontal="right" vertical="top" wrapText="1"/>
    </xf>
    <xf numFmtId="0" fontId="3" fillId="0" borderId="64" xfId="0" applyFont="1" applyBorder="1" applyAlignment="1">
      <alignment horizontal="left" vertical="top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0" fontId="3" fillId="0" borderId="57" xfId="0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42" borderId="105" xfId="0" applyNumberFormat="1" applyFont="1" applyFill="1" applyBorder="1" applyAlignment="1">
      <alignment horizontal="right" vertical="center" wrapText="1"/>
    </xf>
    <xf numFmtId="0" fontId="3" fillId="0" borderId="59" xfId="0" applyFont="1" applyBorder="1" applyAlignment="1">
      <alignment horizontal="left" vertical="top" wrapText="1"/>
    </xf>
    <xf numFmtId="3" fontId="3" fillId="5" borderId="60" xfId="0" applyNumberFormat="1" applyFont="1" applyFill="1" applyBorder="1" applyAlignment="1">
      <alignment horizontal="right" vertical="top" wrapText="1"/>
    </xf>
    <xf numFmtId="3" fontId="3" fillId="5" borderId="113" xfId="0" applyNumberFormat="1" applyFont="1" applyFill="1" applyBorder="1" applyAlignment="1">
      <alignment horizontal="right" vertical="top" wrapText="1"/>
    </xf>
    <xf numFmtId="3" fontId="106" fillId="10" borderId="17" xfId="0" applyNumberFormat="1" applyFont="1" applyFill="1" applyBorder="1"/>
    <xf numFmtId="0" fontId="0" fillId="0" borderId="5" xfId="0" applyBorder="1"/>
    <xf numFmtId="3" fontId="0" fillId="0" borderId="5" xfId="0" applyNumberFormat="1" applyBorder="1"/>
    <xf numFmtId="0" fontId="106" fillId="0" borderId="112" xfId="0" applyFont="1" applyBorder="1"/>
    <xf numFmtId="3" fontId="109" fillId="0" borderId="21" xfId="0" applyNumberFormat="1" applyFont="1" applyBorder="1"/>
    <xf numFmtId="3" fontId="109" fillId="0" borderId="10" xfId="0" applyNumberFormat="1" applyFont="1" applyBorder="1"/>
    <xf numFmtId="3" fontId="106" fillId="0" borderId="69" xfId="0" applyNumberFormat="1" applyFont="1" applyFill="1" applyBorder="1"/>
    <xf numFmtId="0" fontId="0" fillId="0" borderId="114" xfId="0" applyBorder="1"/>
    <xf numFmtId="3" fontId="0" fillId="0" borderId="27" xfId="0" applyNumberFormat="1" applyBorder="1"/>
    <xf numFmtId="3" fontId="0" fillId="0" borderId="63" xfId="0" applyNumberFormat="1" applyBorder="1"/>
    <xf numFmtId="0" fontId="101" fillId="0" borderId="68" xfId="0" applyFont="1" applyBorder="1"/>
    <xf numFmtId="0" fontId="106" fillId="0" borderId="103" xfId="0" applyFont="1" applyBorder="1"/>
    <xf numFmtId="3" fontId="109" fillId="0" borderId="104" xfId="0" applyNumberFormat="1" applyFont="1" applyBorder="1"/>
    <xf numFmtId="3" fontId="109" fillId="0" borderId="60" xfId="0" applyNumberFormat="1" applyFont="1" applyBorder="1"/>
    <xf numFmtId="3" fontId="106" fillId="10" borderId="61" xfId="0" applyNumberFormat="1" applyFont="1" applyFill="1" applyBorder="1"/>
    <xf numFmtId="167" fontId="95" fillId="0" borderId="0" xfId="53" applyNumberFormat="1" applyFont="1" applyFill="1" applyBorder="1" applyAlignment="1" applyProtection="1">
      <alignment vertical="center"/>
    </xf>
    <xf numFmtId="167" fontId="95" fillId="0" borderId="0" xfId="53" applyNumberFormat="1" applyFont="1" applyFill="1" applyBorder="1" applyAlignment="1" applyProtection="1">
      <alignment horizontal="left" vertical="center"/>
    </xf>
    <xf numFmtId="167" fontId="95" fillId="0" borderId="101" xfId="53" applyNumberFormat="1" applyFont="1" applyFill="1" applyBorder="1" applyAlignment="1" applyProtection="1">
      <alignment vertical="center"/>
    </xf>
    <xf numFmtId="167" fontId="95" fillId="0" borderId="115" xfId="53" applyNumberFormat="1" applyFont="1" applyFill="1" applyBorder="1" applyAlignment="1" applyProtection="1">
      <alignment vertical="center"/>
    </xf>
    <xf numFmtId="167" fontId="95" fillId="0" borderId="118" xfId="53" applyNumberFormat="1" applyFont="1" applyFill="1" applyBorder="1" applyAlignment="1" applyProtection="1">
      <alignment vertical="center"/>
    </xf>
    <xf numFmtId="167" fontId="95" fillId="0" borderId="119" xfId="53" applyNumberFormat="1" applyFont="1" applyFill="1" applyBorder="1" applyAlignment="1" applyProtection="1">
      <alignment vertical="center"/>
    </xf>
    <xf numFmtId="167" fontId="95" fillId="0" borderId="120" xfId="53" applyNumberFormat="1" applyFont="1" applyFill="1" applyBorder="1" applyAlignment="1" applyProtection="1">
      <alignment vertical="center"/>
    </xf>
    <xf numFmtId="167" fontId="97" fillId="0" borderId="124" xfId="53" applyNumberFormat="1" applyFont="1" applyFill="1" applyBorder="1" applyAlignment="1" applyProtection="1">
      <alignment horizontal="center" vertical="center"/>
    </xf>
    <xf numFmtId="167" fontId="95" fillId="0" borderId="125" xfId="53" applyNumberFormat="1" applyFont="1" applyFill="1" applyBorder="1" applyAlignment="1" applyProtection="1">
      <alignment vertical="center"/>
    </xf>
    <xf numFmtId="167" fontId="97" fillId="0" borderId="126" xfId="53" applyNumberFormat="1" applyFont="1" applyFill="1" applyBorder="1" applyAlignment="1" applyProtection="1">
      <alignment horizontal="center" vertical="center"/>
    </xf>
    <xf numFmtId="167" fontId="95" fillId="0" borderId="127" xfId="53" applyNumberFormat="1" applyFont="1" applyFill="1" applyBorder="1" applyAlignment="1" applyProtection="1">
      <alignment vertical="center"/>
    </xf>
    <xf numFmtId="167" fontId="95" fillId="0" borderId="129" xfId="53" applyNumberFormat="1" applyFont="1" applyFill="1" applyBorder="1" applyAlignment="1" applyProtection="1">
      <alignment vertical="center"/>
    </xf>
    <xf numFmtId="167" fontId="94" fillId="0" borderId="132" xfId="53" applyNumberFormat="1" applyFont="1" applyFill="1" applyBorder="1" applyAlignment="1" applyProtection="1">
      <alignment vertical="center"/>
    </xf>
    <xf numFmtId="167" fontId="95" fillId="0" borderId="133" xfId="53" applyNumberFormat="1" applyFont="1" applyFill="1" applyBorder="1" applyAlignment="1" applyProtection="1">
      <alignment vertical="center"/>
    </xf>
    <xf numFmtId="167" fontId="97" fillId="0" borderId="134" xfId="53" applyNumberFormat="1" applyFont="1" applyFill="1" applyBorder="1" applyAlignment="1" applyProtection="1">
      <alignment vertical="center" wrapText="1"/>
    </xf>
    <xf numFmtId="167" fontId="97" fillId="0" borderId="135" xfId="53" applyNumberFormat="1" applyFont="1" applyFill="1" applyBorder="1" applyAlignment="1" applyProtection="1">
      <alignment horizontal="center" vertical="center"/>
    </xf>
    <xf numFmtId="167" fontId="97" fillId="0" borderId="136" xfId="53" applyNumberFormat="1" applyFont="1" applyFill="1" applyBorder="1" applyAlignment="1" applyProtection="1">
      <alignment vertical="center" wrapText="1"/>
    </xf>
    <xf numFmtId="167" fontId="97" fillId="0" borderId="137" xfId="53" applyNumberFormat="1" applyFont="1" applyFill="1" applyBorder="1" applyAlignment="1" applyProtection="1">
      <alignment vertical="center" wrapText="1"/>
    </xf>
    <xf numFmtId="167" fontId="97" fillId="0" borderId="138" xfId="53" applyNumberFormat="1" applyFont="1" applyFill="1" applyBorder="1" applyAlignment="1" applyProtection="1">
      <alignment vertical="center" wrapText="1"/>
    </xf>
    <xf numFmtId="167" fontId="97" fillId="0" borderId="139" xfId="53" applyNumberFormat="1" applyFont="1" applyFill="1" applyBorder="1" applyAlignment="1" applyProtection="1">
      <alignment vertical="center" wrapText="1"/>
    </xf>
    <xf numFmtId="167" fontId="120" fillId="0" borderId="114" xfId="53" applyNumberFormat="1" applyFont="1" applyFill="1" applyBorder="1" applyAlignment="1" applyProtection="1">
      <alignment vertical="center" wrapText="1"/>
    </xf>
    <xf numFmtId="167" fontId="120" fillId="0" borderId="140" xfId="53" applyNumberFormat="1" applyFont="1" applyFill="1" applyBorder="1" applyAlignment="1" applyProtection="1">
      <alignment horizontal="center" vertical="center" wrapText="1"/>
    </xf>
    <xf numFmtId="167" fontId="97" fillId="0" borderId="141" xfId="53" applyNumberFormat="1" applyFont="1" applyFill="1" applyBorder="1" applyAlignment="1" applyProtection="1">
      <alignment vertical="center" wrapText="1"/>
    </xf>
    <xf numFmtId="167" fontId="97" fillId="0" borderId="142" xfId="53" applyNumberFormat="1" applyFont="1" applyFill="1" applyBorder="1" applyAlignment="1" applyProtection="1">
      <alignment vertical="center" wrapText="1"/>
    </xf>
    <xf numFmtId="167" fontId="97" fillId="0" borderId="143" xfId="53" applyNumberFormat="1" applyFont="1" applyFill="1" applyBorder="1" applyAlignment="1" applyProtection="1">
      <alignment horizontal="center" vertical="center"/>
    </xf>
    <xf numFmtId="167" fontId="97" fillId="0" borderId="144" xfId="53" applyNumberFormat="1" applyFont="1" applyFill="1" applyBorder="1" applyAlignment="1" applyProtection="1">
      <alignment vertical="center" wrapText="1"/>
    </xf>
    <xf numFmtId="0" fontId="93" fillId="0" borderId="0" xfId="55" applyFont="1" applyBorder="1" applyAlignment="1">
      <alignment horizontal="center" vertical="center"/>
    </xf>
    <xf numFmtId="0" fontId="1" fillId="0" borderId="0" xfId="0" applyFont="1" applyAlignment="1"/>
    <xf numFmtId="0" fontId="123" fillId="0" borderId="0" xfId="0" applyFont="1"/>
    <xf numFmtId="0" fontId="112" fillId="43" borderId="59" xfId="0" applyFont="1" applyFill="1" applyBorder="1" applyAlignment="1">
      <alignment horizontal="center" vertical="center" wrapText="1"/>
    </xf>
    <xf numFmtId="0" fontId="112" fillId="43" borderId="60" xfId="0" applyFont="1" applyFill="1" applyBorder="1" applyAlignment="1">
      <alignment horizontal="center" vertical="center" wrapText="1"/>
    </xf>
    <xf numFmtId="0" fontId="112" fillId="43" borderId="113" xfId="0" applyFont="1" applyFill="1" applyBorder="1" applyAlignment="1">
      <alignment horizontal="center" vertical="center" wrapText="1"/>
    </xf>
    <xf numFmtId="165" fontId="112" fillId="43" borderId="103" xfId="1" applyNumberFormat="1" applyFont="1" applyFill="1" applyBorder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3" fillId="0" borderId="57" xfId="0" applyFont="1" applyBorder="1"/>
    <xf numFmtId="0" fontId="123" fillId="0" borderId="22" xfId="0" applyFont="1" applyBorder="1"/>
    <xf numFmtId="0" fontId="123" fillId="0" borderId="4" xfId="0" applyFont="1" applyBorder="1"/>
    <xf numFmtId="165" fontId="124" fillId="0" borderId="105" xfId="1" applyNumberFormat="1" applyFont="1" applyBorder="1"/>
    <xf numFmtId="0" fontId="123" fillId="0" borderId="51" xfId="0" applyFont="1" applyBorder="1"/>
    <xf numFmtId="0" fontId="123" fillId="0" borderId="1" xfId="0" applyFont="1" applyBorder="1"/>
    <xf numFmtId="3" fontId="123" fillId="0" borderId="1" xfId="0" applyNumberFormat="1" applyFont="1" applyBorder="1"/>
    <xf numFmtId="3" fontId="123" fillId="0" borderId="2" xfId="0" applyNumberFormat="1" applyFont="1" applyBorder="1"/>
    <xf numFmtId="0" fontId="124" fillId="10" borderId="52" xfId="0" applyFont="1" applyFill="1" applyBorder="1"/>
    <xf numFmtId="3" fontId="124" fillId="10" borderId="53" xfId="0" applyNumberFormat="1" applyFont="1" applyFill="1" applyBorder="1"/>
    <xf numFmtId="3" fontId="124" fillId="10" borderId="110" xfId="0" applyNumberFormat="1" applyFont="1" applyFill="1" applyBorder="1"/>
    <xf numFmtId="165" fontId="124" fillId="10" borderId="107" xfId="1" applyNumberFormat="1" applyFont="1" applyFill="1" applyBorder="1"/>
    <xf numFmtId="3" fontId="123" fillId="0" borderId="0" xfId="0" applyNumberFormat="1" applyFont="1"/>
    <xf numFmtId="0" fontId="112" fillId="0" borderId="55" xfId="0" applyFont="1" applyBorder="1" applyAlignment="1">
      <alignment horizontal="justify"/>
    </xf>
    <xf numFmtId="0" fontId="123" fillId="0" borderId="65" xfId="0" applyFont="1" applyBorder="1"/>
    <xf numFmtId="165" fontId="124" fillId="0" borderId="56" xfId="1" applyNumberFormat="1" applyFont="1" applyBorder="1"/>
    <xf numFmtId="0" fontId="125" fillId="0" borderId="51" xfId="0" applyFont="1" applyBorder="1" applyAlignment="1">
      <alignment horizontal="justify"/>
    </xf>
    <xf numFmtId="165" fontId="124" fillId="0" borderId="17" xfId="1" applyNumberFormat="1" applyFont="1" applyBorder="1"/>
    <xf numFmtId="0" fontId="112" fillId="0" borderId="52" xfId="0" applyFont="1" applyBorder="1" applyAlignment="1">
      <alignment horizontal="justify"/>
    </xf>
    <xf numFmtId="3" fontId="124" fillId="0" borderId="53" xfId="0" applyNumberFormat="1" applyFont="1" applyBorder="1"/>
    <xf numFmtId="165" fontId="124" fillId="0" borderId="54" xfId="1" applyNumberFormat="1" applyFont="1" applyBorder="1"/>
    <xf numFmtId="3" fontId="124" fillId="0" borderId="65" xfId="0" applyNumberFormat="1" applyFont="1" applyBorder="1"/>
    <xf numFmtId="0" fontId="112" fillId="0" borderId="57" xfId="0" applyFont="1" applyBorder="1" applyAlignment="1">
      <alignment horizontal="justify"/>
    </xf>
    <xf numFmtId="0" fontId="124" fillId="0" borderId="22" xfId="0" applyFont="1" applyBorder="1"/>
    <xf numFmtId="165" fontId="124" fillId="0" borderId="58" xfId="1" applyNumberFormat="1" applyFont="1" applyBorder="1"/>
    <xf numFmtId="0" fontId="125" fillId="0" borderId="34" xfId="0" applyFont="1" applyBorder="1" applyAlignment="1">
      <alignment horizontal="justify"/>
    </xf>
    <xf numFmtId="3" fontId="17" fillId="0" borderId="1" xfId="0" applyNumberFormat="1" applyFont="1" applyFill="1" applyBorder="1"/>
    <xf numFmtId="3" fontId="123" fillId="0" borderId="9" xfId="0" applyNumberFormat="1" applyFont="1" applyBorder="1"/>
    <xf numFmtId="0" fontId="112" fillId="0" borderId="51" xfId="0" applyFont="1" applyBorder="1" applyAlignment="1">
      <alignment horizontal="justify"/>
    </xf>
    <xf numFmtId="3" fontId="124" fillId="0" borderId="1" xfId="0" applyNumberFormat="1" applyFont="1" applyBorder="1"/>
    <xf numFmtId="0" fontId="112" fillId="10" borderId="51" xfId="0" applyFont="1" applyFill="1" applyBorder="1"/>
    <xf numFmtId="3" fontId="124" fillId="10" borderId="1" xfId="0" applyNumberFormat="1" applyFont="1" applyFill="1" applyBorder="1"/>
    <xf numFmtId="165" fontId="124" fillId="10" borderId="17" xfId="1" applyNumberFormat="1" applyFont="1" applyFill="1" applyBorder="1"/>
    <xf numFmtId="0" fontId="126" fillId="0" borderId="0" xfId="0" applyFont="1"/>
    <xf numFmtId="0" fontId="112" fillId="0" borderId="51" xfId="0" applyFont="1" applyBorder="1" applyAlignment="1">
      <alignment wrapText="1"/>
    </xf>
    <xf numFmtId="0" fontId="112" fillId="0" borderId="51" xfId="0" applyFont="1" applyFill="1" applyBorder="1" applyAlignment="1">
      <alignment wrapText="1"/>
    </xf>
    <xf numFmtId="3" fontId="123" fillId="0" borderId="1" xfId="0" applyNumberFormat="1" applyFont="1" applyFill="1" applyBorder="1"/>
    <xf numFmtId="3" fontId="123" fillId="0" borderId="10" xfId="0" applyNumberFormat="1" applyFont="1" applyFill="1" applyBorder="1"/>
    <xf numFmtId="0" fontId="112" fillId="0" borderId="34" xfId="0" applyFont="1" applyFill="1" applyBorder="1" applyAlignment="1">
      <alignment wrapText="1"/>
    </xf>
    <xf numFmtId="165" fontId="124" fillId="0" borderId="69" xfId="1" applyNumberFormat="1" applyFont="1" applyBorder="1"/>
    <xf numFmtId="0" fontId="112" fillId="10" borderId="40" xfId="0" applyFont="1" applyFill="1" applyBorder="1" applyAlignment="1">
      <alignment wrapText="1"/>
    </xf>
    <xf numFmtId="3" fontId="112" fillId="10" borderId="10" xfId="0" applyNumberFormat="1" applyFont="1" applyFill="1" applyBorder="1" applyAlignment="1">
      <alignment wrapText="1"/>
    </xf>
    <xf numFmtId="165" fontId="112" fillId="10" borderId="69" xfId="1" applyNumberFormat="1" applyFont="1" applyFill="1" applyBorder="1" applyAlignment="1">
      <alignment wrapText="1"/>
    </xf>
    <xf numFmtId="0" fontId="127" fillId="10" borderId="59" xfId="0" applyFont="1" applyFill="1" applyBorder="1"/>
    <xf numFmtId="3" fontId="128" fillId="10" borderId="60" xfId="0" applyNumberFormat="1" applyFont="1" applyFill="1" applyBorder="1"/>
    <xf numFmtId="165" fontId="128" fillId="10" borderId="61" xfId="1" applyNumberFormat="1" applyFont="1" applyFill="1" applyBorder="1"/>
    <xf numFmtId="0" fontId="112" fillId="0" borderId="0" xfId="0" applyFont="1" applyFill="1" applyBorder="1"/>
    <xf numFmtId="165" fontId="123" fillId="0" borderId="0" xfId="1" applyNumberFormat="1" applyFont="1"/>
    <xf numFmtId="0" fontId="125" fillId="0" borderId="0" xfId="0" applyFont="1"/>
    <xf numFmtId="165" fontId="112" fillId="43" borderId="61" xfId="1" applyNumberFormat="1" applyFont="1" applyFill="1" applyBorder="1" applyAlignment="1">
      <alignment horizontal="center" vertical="center" wrapText="1"/>
    </xf>
    <xf numFmtId="0" fontId="112" fillId="0" borderId="0" xfId="0" applyFont="1" applyBorder="1" applyAlignment="1">
      <alignment wrapText="1"/>
    </xf>
    <xf numFmtId="3" fontId="124" fillId="0" borderId="0" xfId="0" applyNumberFormat="1" applyFont="1" applyBorder="1"/>
    <xf numFmtId="0" fontId="124" fillId="0" borderId="0" xfId="0" applyFont="1" applyBorder="1"/>
    <xf numFmtId="0" fontId="112" fillId="0" borderId="55" xfId="0" applyFont="1" applyFill="1" applyBorder="1" applyAlignment="1">
      <alignment horizontal="justify"/>
    </xf>
    <xf numFmtId="165" fontId="123" fillId="0" borderId="65" xfId="1" applyNumberFormat="1" applyFont="1" applyBorder="1"/>
    <xf numFmtId="0" fontId="112" fillId="0" borderId="0" xfId="0" applyFont="1" applyFill="1" applyBorder="1" applyAlignment="1">
      <alignment wrapText="1"/>
    </xf>
    <xf numFmtId="3" fontId="124" fillId="0" borderId="0" xfId="0" applyNumberFormat="1" applyFont="1" applyFill="1" applyBorder="1"/>
    <xf numFmtId="0" fontId="112" fillId="0" borderId="51" xfId="0" applyFont="1" applyFill="1" applyBorder="1" applyAlignment="1">
      <alignment horizontal="justify"/>
    </xf>
    <xf numFmtId="165" fontId="123" fillId="0" borderId="1" xfId="1" applyNumberFormat="1" applyFont="1" applyBorder="1"/>
    <xf numFmtId="3" fontId="112" fillId="0" borderId="0" xfId="0" applyNumberFormat="1" applyFont="1" applyFill="1" applyBorder="1" applyAlignment="1">
      <alignment wrapText="1"/>
    </xf>
    <xf numFmtId="0" fontId="112" fillId="10" borderId="62" xfId="0" applyFont="1" applyFill="1" applyBorder="1"/>
    <xf numFmtId="3" fontId="124" fillId="10" borderId="63" xfId="0" applyNumberFormat="1" applyFont="1" applyFill="1" applyBorder="1"/>
    <xf numFmtId="165" fontId="124" fillId="10" borderId="68" xfId="1" applyNumberFormat="1" applyFont="1" applyFill="1" applyBorder="1"/>
    <xf numFmtId="0" fontId="12" fillId="0" borderId="29" xfId="0" applyFont="1" applyFill="1" applyBorder="1"/>
    <xf numFmtId="3" fontId="123" fillId="0" borderId="65" xfId="0" applyNumberFormat="1" applyFont="1" applyBorder="1"/>
    <xf numFmtId="3" fontId="123" fillId="0" borderId="66" xfId="0" applyNumberFormat="1" applyFont="1" applyFill="1" applyBorder="1"/>
    <xf numFmtId="0" fontId="12" fillId="0" borderId="34" xfId="0" applyFont="1" applyFill="1" applyBorder="1"/>
    <xf numFmtId="0" fontId="12" fillId="0" borderId="145" xfId="0" applyFont="1" applyFill="1" applyBorder="1"/>
    <xf numFmtId="0" fontId="112" fillId="10" borderId="52" xfId="0" applyFont="1" applyFill="1" applyBorder="1"/>
    <xf numFmtId="165" fontId="124" fillId="10" borderId="54" xfId="1" applyNumberFormat="1" applyFont="1" applyFill="1" applyBorder="1"/>
    <xf numFmtId="3" fontId="124" fillId="10" borderId="68" xfId="0" applyNumberFormat="1" applyFont="1" applyFill="1" applyBorder="1"/>
    <xf numFmtId="0" fontId="129" fillId="0" borderId="0" xfId="0" applyFont="1"/>
    <xf numFmtId="0" fontId="112" fillId="0" borderId="0" xfId="0" applyFont="1" applyFill="1" applyBorder="1" applyAlignment="1">
      <alignment horizontal="justify"/>
    </xf>
    <xf numFmtId="165" fontId="124" fillId="0" borderId="0" xfId="1" applyNumberFormat="1" applyFont="1" applyFill="1" applyBorder="1"/>
    <xf numFmtId="0" fontId="125" fillId="0" borderId="0" xfId="0" applyFont="1" applyFill="1" applyBorder="1" applyAlignment="1">
      <alignment horizontal="justify"/>
    </xf>
    <xf numFmtId="3" fontId="123" fillId="0" borderId="0" xfId="0" applyNumberFormat="1" applyFont="1" applyFill="1" applyBorder="1"/>
    <xf numFmtId="0" fontId="124" fillId="0" borderId="0" xfId="0" applyFont="1"/>
    <xf numFmtId="3" fontId="124" fillId="0" borderId="0" xfId="0" applyNumberFormat="1" applyFont="1"/>
    <xf numFmtId="165" fontId="123" fillId="0" borderId="0" xfId="1" applyNumberFormat="1" applyFont="1" applyFill="1" applyBorder="1"/>
    <xf numFmtId="165" fontId="123" fillId="0" borderId="0" xfId="0" applyNumberFormat="1" applyFont="1"/>
    <xf numFmtId="0" fontId="123" fillId="0" borderId="52" xfId="0" applyFont="1" applyBorder="1"/>
    <xf numFmtId="0" fontId="123" fillId="0" borderId="53" xfId="0" applyFont="1" applyBorder="1"/>
    <xf numFmtId="3" fontId="123" fillId="0" borderId="53" xfId="0" applyNumberFormat="1" applyFont="1" applyBorder="1"/>
    <xf numFmtId="3" fontId="123" fillId="0" borderId="110" xfId="0" applyNumberFormat="1" applyFont="1" applyBorder="1"/>
    <xf numFmtId="165" fontId="124" fillId="0" borderId="107" xfId="1" applyNumberFormat="1" applyFont="1" applyBorder="1"/>
    <xf numFmtId="0" fontId="123" fillId="0" borderId="145" xfId="0" applyFont="1" applyBorder="1"/>
    <xf numFmtId="0" fontId="123" fillId="0" borderId="34" xfId="0" applyFont="1" applyBorder="1"/>
    <xf numFmtId="0" fontId="123" fillId="0" borderId="35" xfId="0" applyFont="1" applyBorder="1"/>
    <xf numFmtId="0" fontId="124" fillId="10" borderId="35" xfId="0" applyFont="1" applyFill="1" applyBorder="1"/>
    <xf numFmtId="0" fontId="112" fillId="0" borderId="29" xfId="0" applyFont="1" applyBorder="1" applyAlignment="1">
      <alignment horizontal="justify"/>
    </xf>
    <xf numFmtId="0" fontId="112" fillId="0" borderId="35" xfId="0" applyFont="1" applyBorder="1" applyAlignment="1">
      <alignment horizontal="justify"/>
    </xf>
    <xf numFmtId="0" fontId="112" fillId="0" borderId="145" xfId="0" applyFont="1" applyBorder="1" applyAlignment="1">
      <alignment horizontal="justify"/>
    </xf>
    <xf numFmtId="0" fontId="112" fillId="0" borderId="34" xfId="0" applyFont="1" applyBorder="1" applyAlignment="1">
      <alignment horizontal="justify"/>
    </xf>
    <xf numFmtId="0" fontId="112" fillId="10" borderId="34" xfId="0" applyFont="1" applyFill="1" applyBorder="1"/>
    <xf numFmtId="0" fontId="112" fillId="0" borderId="34" xfId="0" applyFont="1" applyBorder="1" applyAlignment="1">
      <alignment wrapText="1"/>
    </xf>
    <xf numFmtId="0" fontId="127" fillId="10" borderId="11" xfId="0" applyFont="1" applyFill="1" applyBorder="1"/>
    <xf numFmtId="3" fontId="124" fillId="10" borderId="52" xfId="0" applyNumberFormat="1" applyFont="1" applyFill="1" applyBorder="1"/>
    <xf numFmtId="0" fontId="123" fillId="0" borderId="55" xfId="0" applyFont="1" applyBorder="1"/>
    <xf numFmtId="3" fontId="123" fillId="0" borderId="51" xfId="0" applyNumberFormat="1" applyFont="1" applyBorder="1"/>
    <xf numFmtId="3" fontId="124" fillId="0" borderId="52" xfId="0" applyNumberFormat="1" applyFont="1" applyBorder="1"/>
    <xf numFmtId="3" fontId="124" fillId="0" borderId="55" xfId="0" applyNumberFormat="1" applyFont="1" applyBorder="1"/>
    <xf numFmtId="0" fontId="124" fillId="0" borderId="57" xfId="0" applyFont="1" applyBorder="1"/>
    <xf numFmtId="3" fontId="17" fillId="0" borderId="51" xfId="0" applyNumberFormat="1" applyFont="1" applyFill="1" applyBorder="1"/>
    <xf numFmtId="3" fontId="124" fillId="0" borderId="51" xfId="0" applyNumberFormat="1" applyFont="1" applyBorder="1"/>
    <xf numFmtId="3" fontId="124" fillId="10" borderId="51" xfId="0" applyNumberFormat="1" applyFont="1" applyFill="1" applyBorder="1"/>
    <xf numFmtId="3" fontId="123" fillId="0" borderId="51" xfId="0" applyNumberFormat="1" applyFont="1" applyFill="1" applyBorder="1"/>
    <xf numFmtId="3" fontId="123" fillId="0" borderId="64" xfId="0" applyNumberFormat="1" applyFont="1" applyFill="1" applyBorder="1"/>
    <xf numFmtId="3" fontId="112" fillId="10" borderId="64" xfId="0" applyNumberFormat="1" applyFont="1" applyFill="1" applyBorder="1" applyAlignment="1">
      <alignment wrapText="1"/>
    </xf>
    <xf numFmtId="3" fontId="128" fillId="10" borderId="59" xfId="0" applyNumberFormat="1" applyFont="1" applyFill="1" applyBorder="1"/>
    <xf numFmtId="3" fontId="123" fillId="0" borderId="63" xfId="0" applyNumberFormat="1" applyFont="1" applyBorder="1"/>
    <xf numFmtId="0" fontId="112" fillId="43" borderId="61" xfId="0" applyFont="1" applyFill="1" applyBorder="1" applyAlignment="1">
      <alignment horizontal="center" vertical="center" wrapText="1"/>
    </xf>
    <xf numFmtId="3" fontId="123" fillId="0" borderId="62" xfId="0" applyNumberFormat="1" applyFont="1" applyBorder="1"/>
    <xf numFmtId="165" fontId="112" fillId="43" borderId="13" xfId="1" applyNumberFormat="1" applyFont="1" applyFill="1" applyBorder="1" applyAlignment="1">
      <alignment horizontal="center" vertical="center" wrapText="1"/>
    </xf>
    <xf numFmtId="165" fontId="124" fillId="0" borderId="146" xfId="1" applyNumberFormat="1" applyFont="1" applyBorder="1"/>
    <xf numFmtId="165" fontId="124" fillId="0" borderId="28" xfId="1" applyNumberFormat="1" applyFont="1" applyBorder="1"/>
    <xf numFmtId="165" fontId="124" fillId="10" borderId="28" xfId="1" applyNumberFormat="1" applyFont="1" applyFill="1" applyBorder="1"/>
    <xf numFmtId="165" fontId="124" fillId="0" borderId="30" xfId="1" applyNumberFormat="1" applyFont="1" applyBorder="1"/>
    <xf numFmtId="165" fontId="124" fillId="0" borderId="39" xfId="1" applyNumberFormat="1" applyFont="1" applyBorder="1"/>
    <xf numFmtId="165" fontId="124" fillId="10" borderId="39" xfId="1" applyNumberFormat="1" applyFont="1" applyFill="1" applyBorder="1"/>
    <xf numFmtId="165" fontId="124" fillId="0" borderId="147" xfId="1" applyNumberFormat="1" applyFont="1" applyBorder="1"/>
    <xf numFmtId="165" fontId="112" fillId="10" borderId="147" xfId="1" applyNumberFormat="1" applyFont="1" applyFill="1" applyBorder="1" applyAlignment="1">
      <alignment wrapText="1"/>
    </xf>
    <xf numFmtId="165" fontId="128" fillId="10" borderId="13" xfId="1" applyNumberFormat="1" applyFont="1" applyFill="1" applyBorder="1"/>
    <xf numFmtId="3" fontId="123" fillId="0" borderId="57" xfId="0" applyNumberFormat="1" applyFont="1" applyBorder="1"/>
    <xf numFmtId="3" fontId="123" fillId="0" borderId="52" xfId="0" applyNumberFormat="1" applyFont="1" applyBorder="1"/>
    <xf numFmtId="3" fontId="123" fillId="0" borderId="36" xfId="0" applyNumberFormat="1" applyFont="1" applyBorder="1"/>
    <xf numFmtId="3" fontId="123" fillId="0" borderId="23" xfId="0" applyNumberFormat="1" applyFont="1" applyBorder="1"/>
    <xf numFmtId="3" fontId="124" fillId="10" borderId="36" xfId="0" applyNumberFormat="1" applyFont="1" applyFill="1" applyBorder="1"/>
    <xf numFmtId="3" fontId="124" fillId="0" borderId="36" xfId="0" applyNumberFormat="1" applyFont="1" applyBorder="1"/>
    <xf numFmtId="3" fontId="123" fillId="0" borderId="55" xfId="0" applyNumberFormat="1" applyFont="1" applyBorder="1"/>
    <xf numFmtId="3" fontId="123" fillId="0" borderId="22" xfId="0" applyNumberFormat="1" applyFont="1" applyBorder="1"/>
    <xf numFmtId="3" fontId="128" fillId="10" borderId="113" xfId="0" applyNumberFormat="1" applyFont="1" applyFill="1" applyBorder="1"/>
    <xf numFmtId="3" fontId="123" fillId="0" borderId="148" xfId="0" applyNumberFormat="1" applyFont="1" applyBorder="1"/>
    <xf numFmtId="165" fontId="130" fillId="10" borderId="103" xfId="1" applyNumberFormat="1" applyFont="1" applyFill="1" applyBorder="1"/>
    <xf numFmtId="3" fontId="124" fillId="10" borderId="27" xfId="0" applyNumberFormat="1" applyFont="1" applyFill="1" applyBorder="1"/>
    <xf numFmtId="3" fontId="123" fillId="0" borderId="9" xfId="0" applyNumberFormat="1" applyFont="1" applyFill="1" applyBorder="1"/>
    <xf numFmtId="3" fontId="123" fillId="0" borderId="21" xfId="0" applyNumberFormat="1" applyFont="1" applyFill="1" applyBorder="1"/>
    <xf numFmtId="3" fontId="128" fillId="10" borderId="104" xfId="0" applyNumberFormat="1" applyFont="1" applyFill="1" applyBorder="1"/>
    <xf numFmtId="0" fontId="112" fillId="10" borderId="107" xfId="0" applyFont="1" applyFill="1" applyBorder="1"/>
    <xf numFmtId="0" fontId="12" fillId="0" borderId="111" xfId="0" applyFont="1" applyFill="1" applyBorder="1"/>
    <xf numFmtId="0" fontId="12" fillId="0" borderId="106" xfId="0" applyFont="1" applyFill="1" applyBorder="1"/>
    <xf numFmtId="0" fontId="12" fillId="0" borderId="105" xfId="0" applyFont="1" applyFill="1" applyBorder="1"/>
    <xf numFmtId="0" fontId="112" fillId="0" borderId="111" xfId="0" applyFont="1" applyFill="1" applyBorder="1" applyAlignment="1">
      <alignment horizontal="justify"/>
    </xf>
    <xf numFmtId="0" fontId="112" fillId="0" borderId="106" xfId="0" applyFont="1" applyFill="1" applyBorder="1" applyAlignment="1">
      <alignment horizontal="justify"/>
    </xf>
    <xf numFmtId="0" fontId="127" fillId="10" borderId="103" xfId="0" applyFont="1" applyFill="1" applyBorder="1"/>
    <xf numFmtId="0" fontId="0" fillId="0" borderId="0" xfId="0" applyAlignment="1">
      <alignment horizontal="center" vertical="center" wrapText="1"/>
    </xf>
    <xf numFmtId="172" fontId="0" fillId="0" borderId="60" xfId="0" applyNumberFormat="1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1" fillId="0" borderId="104" xfId="0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172" fontId="132" fillId="0" borderId="1" xfId="0" applyNumberFormat="1" applyFont="1" applyBorder="1"/>
    <xf numFmtId="173" fontId="132" fillId="0" borderId="1" xfId="0" applyNumberFormat="1" applyFont="1" applyBorder="1" applyAlignment="1">
      <alignment horizontal="center"/>
    </xf>
    <xf numFmtId="173" fontId="132" fillId="0" borderId="39" xfId="0" applyNumberFormat="1" applyFont="1" applyBorder="1" applyAlignment="1">
      <alignment horizontal="center"/>
    </xf>
    <xf numFmtId="0" fontId="132" fillId="0" borderId="34" xfId="0" applyFont="1" applyBorder="1" applyAlignment="1">
      <alignment wrapText="1"/>
    </xf>
    <xf numFmtId="0" fontId="132" fillId="0" borderId="1" xfId="0" applyFont="1" applyBorder="1" applyAlignment="1">
      <alignment horizontal="center"/>
    </xf>
    <xf numFmtId="0" fontId="132" fillId="0" borderId="39" xfId="0" applyFont="1" applyBorder="1" applyAlignment="1">
      <alignment horizontal="center"/>
    </xf>
    <xf numFmtId="172" fontId="132" fillId="0" borderId="51" xfId="0" applyNumberFormat="1" applyFont="1" applyBorder="1"/>
    <xf numFmtId="172" fontId="133" fillId="0" borderId="9" xfId="0" applyNumberFormat="1" applyFont="1" applyBorder="1"/>
    <xf numFmtId="172" fontId="132" fillId="0" borderId="9" xfId="0" applyNumberFormat="1" applyFont="1" applyBorder="1"/>
    <xf numFmtId="172" fontId="132" fillId="0" borderId="34" xfId="0" applyNumberFormat="1" applyFont="1" applyBorder="1"/>
    <xf numFmtId="172" fontId="132" fillId="0" borderId="39" xfId="0" applyNumberFormat="1" applyFont="1" applyBorder="1"/>
    <xf numFmtId="0" fontId="0" fillId="0" borderId="106" xfId="0" applyBorder="1" applyAlignment="1">
      <alignment wrapText="1"/>
    </xf>
    <xf numFmtId="0" fontId="132" fillId="0" borderId="106" xfId="0" applyFont="1" applyBorder="1" applyAlignment="1">
      <alignment wrapText="1"/>
    </xf>
    <xf numFmtId="0" fontId="122" fillId="0" borderId="0" xfId="0" applyFont="1"/>
    <xf numFmtId="0" fontId="134" fillId="0" borderId="0" xfId="55" applyFont="1" applyBorder="1" applyAlignment="1">
      <alignment horizontal="center" vertical="center"/>
    </xf>
    <xf numFmtId="0" fontId="121" fillId="0" borderId="0" xfId="0" applyFont="1"/>
    <xf numFmtId="0" fontId="121" fillId="0" borderId="59" xfId="0" applyFont="1" applyBorder="1" applyAlignment="1">
      <alignment horizontal="center" vertical="center" wrapText="1"/>
    </xf>
    <xf numFmtId="0" fontId="132" fillId="0" borderId="8" xfId="0" applyFont="1" applyBorder="1" applyAlignment="1">
      <alignment wrapText="1"/>
    </xf>
    <xf numFmtId="0" fontId="135" fillId="0" borderId="8" xfId="0" applyFont="1" applyBorder="1" applyAlignment="1">
      <alignment wrapText="1"/>
    </xf>
    <xf numFmtId="0" fontId="132" fillId="0" borderId="26" xfId="0" applyFont="1" applyBorder="1" applyAlignment="1">
      <alignment horizontal="justify" vertical="center"/>
    </xf>
    <xf numFmtId="172" fontId="132" fillId="0" borderId="53" xfId="0" applyNumberFormat="1" applyFont="1" applyBorder="1"/>
    <xf numFmtId="173" fontId="132" fillId="0" borderId="53" xfId="0" applyNumberFormat="1" applyFont="1" applyBorder="1" applyAlignment="1">
      <alignment horizontal="center" wrapText="1"/>
    </xf>
    <xf numFmtId="173" fontId="132" fillId="0" borderId="28" xfId="0" applyNumberFormat="1" applyFont="1" applyBorder="1" applyAlignment="1">
      <alignment horizontal="center"/>
    </xf>
    <xf numFmtId="0" fontId="132" fillId="0" borderId="35" xfId="0" applyFont="1" applyBorder="1" applyAlignment="1">
      <alignment wrapText="1"/>
    </xf>
    <xf numFmtId="0" fontId="132" fillId="0" borderId="53" xfId="0" applyFont="1" applyBorder="1" applyAlignment="1">
      <alignment horizontal="center"/>
    </xf>
    <xf numFmtId="0" fontId="132" fillId="0" borderId="28" xfId="0" applyFont="1" applyBorder="1" applyAlignment="1">
      <alignment horizontal="center"/>
    </xf>
    <xf numFmtId="172" fontId="132" fillId="0" borderId="52" xfId="0" applyNumberFormat="1" applyFont="1" applyBorder="1"/>
    <xf numFmtId="172" fontId="133" fillId="0" borderId="36" xfId="0" applyNumberFormat="1" applyFont="1" applyBorder="1"/>
    <xf numFmtId="172" fontId="132" fillId="0" borderId="36" xfId="0" applyNumberFormat="1" applyFont="1" applyBorder="1"/>
    <xf numFmtId="172" fontId="132" fillId="0" borderId="28" xfId="0" applyNumberFormat="1" applyFont="1" applyBorder="1"/>
    <xf numFmtId="0" fontId="132" fillId="0" borderId="106" xfId="0" applyFont="1" applyBorder="1" applyAlignment="1">
      <alignment horizontal="center" vertical="center"/>
    </xf>
    <xf numFmtId="0" fontId="132" fillId="0" borderId="107" xfId="0" applyFont="1" applyBorder="1" applyAlignment="1">
      <alignment horizontal="center" vertical="center"/>
    </xf>
    <xf numFmtId="172" fontId="132" fillId="0" borderId="35" xfId="0" applyNumberFormat="1" applyFont="1" applyBorder="1"/>
    <xf numFmtId="0" fontId="0" fillId="0" borderId="107" xfId="0" applyBorder="1" applyAlignment="1">
      <alignment wrapText="1"/>
    </xf>
    <xf numFmtId="0" fontId="0" fillId="0" borderId="103" xfId="0" applyBorder="1"/>
    <xf numFmtId="0" fontId="112" fillId="4" borderId="103" xfId="0" applyFont="1" applyFill="1" applyBorder="1" applyAlignment="1">
      <alignment vertical="center"/>
    </xf>
    <xf numFmtId="0" fontId="11" fillId="0" borderId="0" xfId="0" applyFont="1" applyFill="1" applyAlignment="1"/>
    <xf numFmtId="0" fontId="112" fillId="4" borderId="0" xfId="0" applyFont="1" applyFill="1" applyAlignment="1"/>
    <xf numFmtId="0" fontId="125" fillId="4" borderId="103" xfId="0" applyFont="1" applyFill="1" applyBorder="1" applyAlignment="1">
      <alignment vertical="center"/>
    </xf>
    <xf numFmtId="0" fontId="136" fillId="0" borderId="103" xfId="0" applyFont="1" applyBorder="1"/>
    <xf numFmtId="0" fontId="137" fillId="0" borderId="0" xfId="0" applyFont="1" applyAlignment="1" applyProtection="1">
      <alignment horizontal="right"/>
    </xf>
    <xf numFmtId="0" fontId="0" fillId="0" borderId="0" xfId="0" applyProtection="1"/>
    <xf numFmtId="0" fontId="140" fillId="0" borderId="59" xfId="0" applyFont="1" applyBorder="1" applyAlignment="1" applyProtection="1">
      <alignment horizontal="center" vertical="center" wrapText="1"/>
    </xf>
    <xf numFmtId="0" fontId="139" fillId="0" borderId="60" xfId="0" applyFont="1" applyBorder="1" applyAlignment="1" applyProtection="1">
      <alignment horizontal="center" vertical="center" wrapText="1"/>
    </xf>
    <xf numFmtId="0" fontId="139" fillId="0" borderId="61" xfId="0" applyFont="1" applyBorder="1" applyAlignment="1" applyProtection="1">
      <alignment horizontal="center" vertical="center" wrapText="1"/>
    </xf>
    <xf numFmtId="0" fontId="139" fillId="0" borderId="57" xfId="0" applyFont="1" applyBorder="1" applyAlignment="1" applyProtection="1">
      <alignment horizontal="center" vertical="top" wrapText="1"/>
    </xf>
    <xf numFmtId="9" fontId="141" fillId="0" borderId="22" xfId="3" applyFont="1" applyBorder="1" applyAlignment="1" applyProtection="1">
      <alignment horizontal="center" vertical="center" wrapText="1"/>
      <protection locked="0"/>
    </xf>
    <xf numFmtId="0" fontId="139" fillId="0" borderId="51" xfId="0" applyFont="1" applyBorder="1" applyAlignment="1" applyProtection="1">
      <alignment horizontal="center" vertical="top" wrapText="1"/>
    </xf>
    <xf numFmtId="9" fontId="141" fillId="0" borderId="1" xfId="3" applyFont="1" applyBorder="1" applyAlignment="1" applyProtection="1">
      <alignment horizontal="center" vertical="center" wrapText="1"/>
      <protection locked="0"/>
    </xf>
    <xf numFmtId="0" fontId="139" fillId="0" borderId="0" xfId="0" applyFont="1" applyAlignment="1" applyProtection="1">
      <alignment horizontal="center"/>
    </xf>
    <xf numFmtId="0" fontId="139" fillId="44" borderId="60" xfId="0" applyFont="1" applyFill="1" applyBorder="1" applyAlignment="1" applyProtection="1">
      <alignment horizontal="center" vertical="top" wrapText="1"/>
    </xf>
    <xf numFmtId="0" fontId="142" fillId="0" borderId="1" xfId="0" applyFont="1" applyBorder="1" applyAlignment="1">
      <alignment horizontal="left" vertical="center" wrapText="1"/>
    </xf>
    <xf numFmtId="0" fontId="142" fillId="0" borderId="10" xfId="0" applyFont="1" applyBorder="1" applyAlignment="1">
      <alignment horizontal="left" vertical="center" wrapText="1"/>
    </xf>
    <xf numFmtId="167" fontId="143" fillId="0" borderId="1" xfId="53" applyNumberFormat="1" applyFont="1" applyBorder="1" applyAlignment="1">
      <alignment horizontal="right" vertical="center" wrapText="1"/>
    </xf>
    <xf numFmtId="167" fontId="143" fillId="0" borderId="10" xfId="53" applyNumberFormat="1" applyFont="1" applyBorder="1" applyAlignment="1">
      <alignment horizontal="right" vertical="center" wrapText="1"/>
    </xf>
    <xf numFmtId="10" fontId="141" fillId="0" borderId="1" xfId="3" applyNumberFormat="1" applyFont="1" applyBorder="1" applyAlignment="1" applyProtection="1">
      <alignment horizontal="center" vertical="center" wrapText="1"/>
      <protection locked="0"/>
    </xf>
    <xf numFmtId="0" fontId="139" fillId="44" borderId="113" xfId="0" applyFont="1" applyFill="1" applyBorder="1" applyAlignment="1" applyProtection="1">
      <alignment horizontal="center" vertical="top" wrapText="1"/>
    </xf>
    <xf numFmtId="165" fontId="141" fillId="0" borderId="59" xfId="1" applyNumberFormat="1" applyFont="1" applyBorder="1" applyAlignment="1" applyProtection="1">
      <alignment horizontal="center" vertical="center" wrapText="1"/>
    </xf>
    <xf numFmtId="170" fontId="141" fillId="0" borderId="58" xfId="1" applyNumberFormat="1" applyFont="1" applyBorder="1" applyAlignment="1" applyProtection="1">
      <alignment horizontal="center" vertical="top" wrapText="1"/>
      <protection locked="0"/>
    </xf>
    <xf numFmtId="170" fontId="141" fillId="0" borderId="17" xfId="1" applyNumberFormat="1" applyFont="1" applyBorder="1" applyAlignment="1" applyProtection="1">
      <alignment horizontal="center" vertical="top" wrapText="1"/>
      <protection locked="0"/>
    </xf>
    <xf numFmtId="170" fontId="141" fillId="0" borderId="61" xfId="1" applyNumberFormat="1" applyFont="1" applyBorder="1" applyAlignment="1" applyProtection="1">
      <alignment horizontal="center" vertical="center" wrapText="1"/>
    </xf>
    <xf numFmtId="0" fontId="112" fillId="43" borderId="103" xfId="0" applyFont="1" applyFill="1" applyBorder="1" applyAlignment="1">
      <alignment horizontal="center" vertical="center" wrapText="1"/>
    </xf>
    <xf numFmtId="0" fontId="112" fillId="43" borderId="103" xfId="0" applyFont="1" applyFill="1" applyBorder="1" applyAlignment="1">
      <alignment horizontal="center" vertical="center"/>
    </xf>
    <xf numFmtId="0" fontId="3" fillId="43" borderId="103" xfId="0" applyFont="1" applyFill="1" applyBorder="1"/>
    <xf numFmtId="0" fontId="0" fillId="43" borderId="103" xfId="0" applyFill="1" applyBorder="1"/>
    <xf numFmtId="3" fontId="31" fillId="0" borderId="19" xfId="0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0" xfId="0" applyFont="1" applyBorder="1" applyAlignment="1"/>
    <xf numFmtId="0" fontId="18" fillId="0" borderId="21" xfId="0" applyFont="1" applyBorder="1" applyAlignment="1"/>
    <xf numFmtId="3" fontId="3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1" fillId="0" borderId="29" xfId="0" applyNumberFormat="1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5" xfId="0" applyFont="1" applyBorder="1" applyAlignment="1"/>
    <xf numFmtId="0" fontId="18" fillId="0" borderId="30" xfId="0" applyFont="1" applyBorder="1" applyAlignment="1"/>
    <xf numFmtId="3" fontId="3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3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23" fillId="9" borderId="6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/>
    <xf numFmtId="0" fontId="0" fillId="9" borderId="22" xfId="0" applyFill="1" applyBorder="1" applyAlignment="1"/>
    <xf numFmtId="0" fontId="35" fillId="0" borderId="0" xfId="0" applyFont="1" applyBorder="1" applyAlignment="1"/>
    <xf numFmtId="0" fontId="38" fillId="0" borderId="0" xfId="0" applyFont="1" applyBorder="1" applyAlignment="1"/>
    <xf numFmtId="3" fontId="31" fillId="0" borderId="2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1" fillId="0" borderId="19" xfId="0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1" fillId="0" borderId="4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/>
    <xf numFmtId="0" fontId="18" fillId="0" borderId="23" xfId="0" applyFont="1" applyFill="1" applyBorder="1" applyAlignment="1"/>
    <xf numFmtId="3" fontId="3" fillId="0" borderId="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1" fillId="0" borderId="2" xfId="0" applyNumberFormat="1" applyFont="1" applyFill="1" applyBorder="1" applyAlignment="1">
      <alignment horizontal="center"/>
    </xf>
    <xf numFmtId="0" fontId="18" fillId="0" borderId="8" xfId="0" applyFont="1" applyBorder="1" applyAlignment="1"/>
    <xf numFmtId="0" fontId="18" fillId="0" borderId="9" xfId="0" applyFont="1" applyBorder="1" applyAlignment="1"/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9" fontId="3" fillId="0" borderId="2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9" fontId="0" fillId="0" borderId="9" xfId="3" applyFont="1" applyBorder="1" applyAlignment="1">
      <alignment horizontal="center"/>
    </xf>
    <xf numFmtId="3" fontId="31" fillId="0" borderId="8" xfId="0" applyNumberFormat="1" applyFont="1" applyFill="1" applyBorder="1" applyAlignment="1">
      <alignment horizontal="center"/>
    </xf>
    <xf numFmtId="3" fontId="31" fillId="0" borderId="9" xfId="0" applyNumberFormat="1" applyFont="1" applyFill="1" applyBorder="1" applyAlignment="1">
      <alignment horizontal="center"/>
    </xf>
    <xf numFmtId="0" fontId="11" fillId="40" borderId="50" xfId="0" applyFont="1" applyFill="1" applyBorder="1" applyAlignment="1">
      <alignment horizontal="center" vertical="top" wrapText="1"/>
    </xf>
    <xf numFmtId="0" fontId="3" fillId="0" borderId="66" xfId="0" applyFont="1" applyBorder="1"/>
    <xf numFmtId="0" fontId="3" fillId="0" borderId="67" xfId="0" applyFont="1" applyBorder="1"/>
    <xf numFmtId="0" fontId="11" fillId="4" borderId="0" xfId="0" applyFont="1" applyFill="1" applyBorder="1" applyAlignment="1">
      <alignment horizontal="center" vertical="top" wrapText="1"/>
    </xf>
    <xf numFmtId="0" fontId="81" fillId="40" borderId="59" xfId="0" applyFont="1" applyFill="1" applyBorder="1" applyAlignment="1">
      <alignment horizontal="center" vertical="top" wrapText="1"/>
    </xf>
    <xf numFmtId="0" fontId="81" fillId="0" borderId="60" xfId="0" applyFont="1" applyBorder="1"/>
    <xf numFmtId="0" fontId="81" fillId="0" borderId="61" xfId="0" applyFont="1" applyBorder="1"/>
    <xf numFmtId="0" fontId="8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11" fillId="40" borderId="55" xfId="0" applyFont="1" applyFill="1" applyBorder="1" applyAlignment="1">
      <alignment horizontal="center" vertical="top" wrapText="1"/>
    </xf>
    <xf numFmtId="0" fontId="3" fillId="0" borderId="65" xfId="0" applyFont="1" applyBorder="1"/>
    <xf numFmtId="0" fontId="3" fillId="0" borderId="56" xfId="0" applyFont="1" applyBorder="1"/>
    <xf numFmtId="0" fontId="3" fillId="4" borderId="0" xfId="0" applyFont="1" applyFill="1" applyBorder="1"/>
    <xf numFmtId="0" fontId="88" fillId="0" borderId="0" xfId="0" applyFont="1" applyAlignment="1">
      <alignment horizontal="center" vertical="center" wrapText="1"/>
    </xf>
    <xf numFmtId="49" fontId="7" fillId="0" borderId="0" xfId="54" applyNumberFormat="1" applyFont="1" applyFill="1" applyBorder="1" applyAlignment="1">
      <alignment horizontal="right"/>
    </xf>
    <xf numFmtId="49" fontId="3" fillId="0" borderId="70" xfId="54" applyNumberFormat="1" applyFont="1" applyBorder="1" applyAlignment="1">
      <alignment horizontal="center" vertical="center" wrapText="1"/>
    </xf>
    <xf numFmtId="49" fontId="3" fillId="0" borderId="71" xfId="54" applyNumberFormat="1" applyFont="1" applyBorder="1" applyAlignment="1">
      <alignment horizontal="center" vertical="center" wrapText="1"/>
    </xf>
    <xf numFmtId="49" fontId="3" fillId="0" borderId="72" xfId="54" applyNumberFormat="1" applyFont="1" applyBorder="1" applyAlignment="1">
      <alignment horizontal="center" vertical="center" wrapText="1"/>
    </xf>
    <xf numFmtId="49" fontId="0" fillId="0" borderId="73" xfId="0" applyNumberFormat="1" applyFont="1" applyBorder="1" applyAlignment="1">
      <alignment horizontal="center"/>
    </xf>
    <xf numFmtId="49" fontId="0" fillId="0" borderId="74" xfId="0" applyNumberFormat="1" applyFont="1" applyBorder="1" applyAlignment="1">
      <alignment horizontal="center"/>
    </xf>
    <xf numFmtId="49" fontId="0" fillId="0" borderId="75" xfId="0" applyNumberFormat="1" applyFont="1" applyBorder="1" applyAlignment="1">
      <alignment horizontal="center"/>
    </xf>
    <xf numFmtId="0" fontId="86" fillId="0" borderId="76" xfId="54" applyFont="1" applyBorder="1" applyAlignment="1">
      <alignment horizontal="left" vertical="center" wrapText="1"/>
    </xf>
    <xf numFmtId="49" fontId="86" fillId="0" borderId="77" xfId="0" applyNumberFormat="1" applyFont="1" applyBorder="1" applyAlignment="1">
      <alignment horizontal="right" vertical="center"/>
    </xf>
    <xf numFmtId="49" fontId="86" fillId="0" borderId="78" xfId="0" applyNumberFormat="1" applyFont="1" applyBorder="1" applyAlignment="1">
      <alignment horizontal="right" vertical="center"/>
    </xf>
    <xf numFmtId="0" fontId="118" fillId="0" borderId="76" xfId="54" applyFont="1" applyBorder="1" applyAlignment="1">
      <alignment horizontal="left" vertical="center" wrapText="1"/>
    </xf>
    <xf numFmtId="49" fontId="118" fillId="0" borderId="77" xfId="0" applyNumberFormat="1" applyFont="1" applyBorder="1" applyAlignment="1">
      <alignment horizontal="right" vertical="center"/>
    </xf>
    <xf numFmtId="49" fontId="118" fillId="0" borderId="78" xfId="0" applyNumberFormat="1" applyFont="1" applyBorder="1" applyAlignment="1">
      <alignment horizontal="right" vertical="center"/>
    </xf>
    <xf numFmtId="0" fontId="90" fillId="0" borderId="0" xfId="0" applyFont="1" applyAlignment="1">
      <alignment horizontal="center" vertical="center" wrapText="1"/>
    </xf>
    <xf numFmtId="0" fontId="11" fillId="40" borderId="55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11" fillId="4" borderId="0" xfId="0" applyFont="1" applyFill="1" applyAlignment="1">
      <alignment horizontal="center" vertical="top" wrapText="1"/>
    </xf>
    <xf numFmtId="0" fontId="3" fillId="4" borderId="0" xfId="0" applyFont="1" applyFill="1"/>
    <xf numFmtId="0" fontId="11" fillId="4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8" fillId="40" borderId="108" xfId="0" applyFont="1" applyFill="1" applyBorder="1" applyAlignment="1">
      <alignment horizontal="center" vertical="top" wrapText="1"/>
    </xf>
    <xf numFmtId="0" fontId="18" fillId="40" borderId="25" xfId="0" applyFont="1" applyFill="1" applyBorder="1" applyAlignment="1">
      <alignment horizontal="center" vertical="top" wrapText="1"/>
    </xf>
    <xf numFmtId="0" fontId="18" fillId="40" borderId="1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top" wrapText="1"/>
    </xf>
    <xf numFmtId="169" fontId="94" fillId="0" borderId="81" xfId="0" applyNumberFormat="1" applyFont="1" applyFill="1" applyBorder="1" applyAlignment="1">
      <alignment horizontal="center" vertical="center" wrapText="1"/>
    </xf>
    <xf numFmtId="169" fontId="94" fillId="0" borderId="81" xfId="0" applyNumberFormat="1" applyFont="1" applyFill="1" applyBorder="1" applyAlignment="1">
      <alignment horizontal="center" vertical="center"/>
    </xf>
    <xf numFmtId="169" fontId="94" fillId="0" borderId="82" xfId="0" applyNumberFormat="1" applyFont="1" applyFill="1" applyBorder="1" applyAlignment="1">
      <alignment horizontal="center" vertical="center" wrapText="1"/>
    </xf>
    <xf numFmtId="169" fontId="94" fillId="0" borderId="83" xfId="0" applyNumberFormat="1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 wrapText="1"/>
    </xf>
    <xf numFmtId="0" fontId="100" fillId="0" borderId="92" xfId="0" applyFont="1" applyFill="1" applyBorder="1" applyAlignment="1">
      <alignment horizontal="right"/>
    </xf>
    <xf numFmtId="0" fontId="94" fillId="0" borderId="93" xfId="0" applyFont="1" applyFill="1" applyBorder="1" applyAlignment="1">
      <alignment horizontal="center" vertical="center" wrapText="1"/>
    </xf>
    <xf numFmtId="0" fontId="94" fillId="0" borderId="89" xfId="0" applyFont="1" applyFill="1" applyBorder="1" applyAlignment="1">
      <alignment horizontal="center" vertical="center" wrapText="1"/>
    </xf>
    <xf numFmtId="0" fontId="94" fillId="0" borderId="94" xfId="0" applyFont="1" applyFill="1" applyBorder="1" applyAlignment="1">
      <alignment horizontal="center" vertical="center" wrapText="1"/>
    </xf>
    <xf numFmtId="0" fontId="94" fillId="0" borderId="86" xfId="0" applyFont="1" applyFill="1" applyBorder="1" applyAlignment="1">
      <alignment horizontal="center"/>
    </xf>
    <xf numFmtId="0" fontId="94" fillId="0" borderId="87" xfId="0" applyFont="1" applyFill="1" applyBorder="1" applyAlignment="1">
      <alignment horizontal="center" vertical="center" wrapText="1"/>
    </xf>
    <xf numFmtId="0" fontId="94" fillId="0" borderId="96" xfId="0" applyFont="1" applyFill="1" applyBorder="1" applyAlignment="1">
      <alignment horizontal="left" vertical="center" wrapText="1"/>
    </xf>
    <xf numFmtId="167" fontId="95" fillId="0" borderId="116" xfId="53" applyNumberFormat="1" applyFont="1" applyFill="1" applyBorder="1" applyAlignment="1" applyProtection="1">
      <alignment horizontal="left" vertical="center"/>
    </xf>
    <xf numFmtId="167" fontId="95" fillId="0" borderId="117" xfId="53" applyNumberFormat="1" applyFont="1" applyFill="1" applyBorder="1" applyAlignment="1" applyProtection="1">
      <alignment horizontal="left" vertical="center"/>
    </xf>
    <xf numFmtId="167" fontId="94" fillId="0" borderId="121" xfId="53" applyNumberFormat="1" applyFont="1" applyFill="1" applyBorder="1" applyAlignment="1" applyProtection="1">
      <alignment horizontal="left" vertical="center" wrapText="1"/>
    </xf>
    <xf numFmtId="167" fontId="94" fillId="0" borderId="122" xfId="53" applyNumberFormat="1" applyFont="1" applyFill="1" applyBorder="1" applyAlignment="1" applyProtection="1">
      <alignment horizontal="left" vertical="center" wrapText="1"/>
    </xf>
    <xf numFmtId="167" fontId="94" fillId="0" borderId="123" xfId="53" applyNumberFormat="1" applyFont="1" applyFill="1" applyBorder="1" applyAlignment="1" applyProtection="1">
      <alignment horizontal="left" vertical="center" wrapText="1"/>
    </xf>
    <xf numFmtId="167" fontId="95" fillId="0" borderId="128" xfId="53" applyNumberFormat="1" applyFont="1" applyFill="1" applyBorder="1" applyAlignment="1" applyProtection="1">
      <alignment horizontal="left" vertical="center"/>
    </xf>
    <xf numFmtId="167" fontId="95" fillId="0" borderId="95" xfId="53" applyNumberFormat="1" applyFont="1" applyFill="1" applyBorder="1" applyAlignment="1" applyProtection="1">
      <alignment horizontal="left" vertical="center"/>
    </xf>
    <xf numFmtId="167" fontId="99" fillId="0" borderId="130" xfId="53" applyNumberFormat="1" applyFont="1" applyFill="1" applyBorder="1" applyAlignment="1" applyProtection="1">
      <alignment horizontal="left" vertical="center"/>
    </xf>
    <xf numFmtId="167" fontId="99" fillId="0" borderId="131" xfId="53" applyNumberFormat="1" applyFont="1" applyFill="1" applyBorder="1" applyAlignment="1" applyProtection="1">
      <alignment horizontal="left" vertical="center"/>
    </xf>
    <xf numFmtId="0" fontId="94" fillId="0" borderId="59" xfId="0" applyFont="1" applyFill="1" applyBorder="1" applyAlignment="1">
      <alignment horizontal="left" vertical="center" wrapText="1"/>
    </xf>
    <xf numFmtId="0" fontId="94" fillId="0" borderId="60" xfId="0" applyFont="1" applyFill="1" applyBorder="1" applyAlignment="1">
      <alignment horizontal="left" vertical="center" wrapText="1"/>
    </xf>
    <xf numFmtId="0" fontId="94" fillId="0" borderId="61" xfId="0" applyFont="1" applyFill="1" applyBorder="1" applyAlignment="1">
      <alignment horizontal="left" vertical="center" wrapText="1"/>
    </xf>
    <xf numFmtId="0" fontId="102" fillId="0" borderId="0" xfId="0" applyFont="1" applyAlignment="1">
      <alignment horizontal="center" vertical="top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2" fillId="0" borderId="29" xfId="0" applyFont="1" applyBorder="1" applyAlignment="1">
      <alignment horizontal="center" vertical="center"/>
    </xf>
    <xf numFmtId="0" fontId="102" fillId="0" borderId="25" xfId="0" applyFont="1" applyBorder="1" applyAlignment="1">
      <alignment horizontal="center" vertical="center"/>
    </xf>
    <xf numFmtId="0" fontId="102" fillId="0" borderId="30" xfId="0" applyFont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112" fillId="4" borderId="0" xfId="0" applyFont="1" applyFill="1" applyBorder="1" applyAlignment="1">
      <alignment horizontal="center" vertical="center" wrapText="1"/>
    </xf>
    <xf numFmtId="0" fontId="112" fillId="40" borderId="11" xfId="0" applyFont="1" applyFill="1" applyBorder="1" applyAlignment="1">
      <alignment horizontal="center" vertical="center" wrapText="1"/>
    </xf>
    <xf numFmtId="0" fontId="112" fillId="40" borderId="12" xfId="0" applyFont="1" applyFill="1" applyBorder="1" applyAlignment="1">
      <alignment horizontal="center" vertical="center" wrapText="1"/>
    </xf>
    <xf numFmtId="0" fontId="112" fillId="40" borderId="13" xfId="0" applyFont="1" applyFill="1" applyBorder="1" applyAlignment="1">
      <alignment horizontal="center" vertical="center" wrapText="1"/>
    </xf>
    <xf numFmtId="0" fontId="93" fillId="0" borderId="0" xfId="55" applyFont="1" applyBorder="1" applyAlignment="1">
      <alignment horizontal="center" vertical="center"/>
    </xf>
    <xf numFmtId="0" fontId="53" fillId="0" borderId="0" xfId="55" applyFont="1" applyBorder="1" applyAlignment="1">
      <alignment horizontal="center" vertical="center"/>
    </xf>
    <xf numFmtId="0" fontId="53" fillId="0" borderId="0" xfId="55" applyFont="1" applyFill="1" applyBorder="1" applyAlignment="1">
      <alignment horizontal="left" vertical="top"/>
    </xf>
    <xf numFmtId="0" fontId="101" fillId="0" borderId="15" xfId="0" applyFont="1" applyBorder="1" applyAlignment="1">
      <alignment horizontal="center" vertical="center" wrapText="1"/>
    </xf>
    <xf numFmtId="0" fontId="101" fillId="0" borderId="149" xfId="0" applyFont="1" applyBorder="1" applyAlignment="1">
      <alignment horizontal="center" vertical="center" wrapText="1"/>
    </xf>
    <xf numFmtId="0" fontId="101" fillId="0" borderId="31" xfId="0" applyFont="1" applyBorder="1" applyAlignment="1">
      <alignment horizontal="center" vertical="center" wrapText="1"/>
    </xf>
    <xf numFmtId="0" fontId="101" fillId="0" borderId="16" xfId="0" applyFont="1" applyBorder="1" applyAlignment="1">
      <alignment horizontal="center" vertical="center" wrapText="1"/>
    </xf>
    <xf numFmtId="0" fontId="101" fillId="0" borderId="18" xfId="0" applyFont="1" applyBorder="1" applyAlignment="1">
      <alignment horizontal="center" vertical="center" wrapText="1"/>
    </xf>
    <xf numFmtId="0" fontId="101" fillId="0" borderId="37" xfId="0" applyFont="1" applyBorder="1" applyAlignment="1">
      <alignment horizontal="center" vertical="center" wrapText="1"/>
    </xf>
    <xf numFmtId="0" fontId="101" fillId="0" borderId="38" xfId="0" applyFont="1" applyBorder="1" applyAlignment="1">
      <alignment horizontal="center" vertical="center" wrapText="1"/>
    </xf>
    <xf numFmtId="0" fontId="101" fillId="0" borderId="14" xfId="0" applyFont="1" applyBorder="1" applyAlignment="1">
      <alignment horizontal="center" vertical="center" wrapText="1"/>
    </xf>
    <xf numFmtId="0" fontId="101" fillId="0" borderId="29" xfId="0" applyFont="1" applyBorder="1" applyAlignment="1">
      <alignment horizontal="center" wrapText="1"/>
    </xf>
    <xf numFmtId="0" fontId="101" fillId="0" borderId="25" xfId="0" applyFont="1" applyBorder="1" applyAlignment="1">
      <alignment horizontal="center" wrapText="1"/>
    </xf>
    <xf numFmtId="0" fontId="101" fillId="0" borderId="30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4" xfId="0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2" fillId="10" borderId="0" xfId="0" applyFont="1" applyFill="1" applyAlignment="1">
      <alignment horizontal="center"/>
    </xf>
    <xf numFmtId="0" fontId="138" fillId="0" borderId="0" xfId="0" applyFont="1" applyAlignment="1" applyProtection="1">
      <alignment horizontal="center" vertical="center" wrapText="1"/>
      <protection locked="0"/>
    </xf>
    <xf numFmtId="0" fontId="139" fillId="0" borderId="38" xfId="0" applyFont="1" applyBorder="1" applyAlignment="1" applyProtection="1">
      <alignment horizontal="center"/>
    </xf>
    <xf numFmtId="0" fontId="139" fillId="0" borderId="59" xfId="0" applyFont="1" applyBorder="1" applyAlignment="1" applyProtection="1">
      <alignment wrapText="1"/>
    </xf>
    <xf numFmtId="0" fontId="139" fillId="0" borderId="60" xfId="0" applyFont="1" applyBorder="1" applyAlignment="1" applyProtection="1">
      <alignment wrapText="1"/>
    </xf>
    <xf numFmtId="0" fontId="112" fillId="0" borderId="0" xfId="0" applyFont="1" applyAlignment="1">
      <alignment horizontal="center"/>
    </xf>
    <xf numFmtId="0" fontId="108" fillId="0" borderId="38" xfId="0" applyFont="1" applyBorder="1" applyAlignment="1">
      <alignment horizontal="right"/>
    </xf>
    <xf numFmtId="0" fontId="112" fillId="43" borderId="11" xfId="0" applyFont="1" applyFill="1" applyBorder="1" applyAlignment="1">
      <alignment horizontal="center" vertical="center"/>
    </xf>
    <xf numFmtId="0" fontId="112" fillId="43" borderId="12" xfId="0" applyFont="1" applyFill="1" applyBorder="1" applyAlignment="1">
      <alignment horizontal="center" vertical="center"/>
    </xf>
    <xf numFmtId="0" fontId="112" fillId="43" borderId="13" xfId="0" applyFont="1" applyFill="1" applyBorder="1" applyAlignment="1">
      <alignment horizontal="center" vertical="center"/>
    </xf>
    <xf numFmtId="0" fontId="112" fillId="43" borderId="18" xfId="0" applyFont="1" applyFill="1" applyBorder="1" applyAlignment="1">
      <alignment horizontal="center" vertical="center" wrapText="1"/>
    </xf>
    <xf numFmtId="0" fontId="112" fillId="43" borderId="1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31" fillId="10" borderId="0" xfId="0" applyFont="1" applyFill="1" applyAlignment="1">
      <alignment horizontal="center"/>
    </xf>
    <xf numFmtId="0" fontId="112" fillId="43" borderId="16" xfId="0" applyFont="1" applyFill="1" applyBorder="1" applyAlignment="1">
      <alignment horizontal="center" vertical="center" wrapText="1"/>
    </xf>
    <xf numFmtId="0" fontId="112" fillId="43" borderId="38" xfId="0" applyFont="1" applyFill="1" applyBorder="1" applyAlignment="1">
      <alignment horizontal="center" vertical="center" wrapText="1"/>
    </xf>
  </cellXfs>
  <cellStyles count="59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xcel Built-in Normal" xfId="55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ál 2 3" xfId="58"/>
    <cellStyle name="Normál 3" xfId="56"/>
    <cellStyle name="Normál 4" xfId="57"/>
    <cellStyle name="Normal_KTRSZJ" xfId="54"/>
    <cellStyle name="Összesen 2" xfId="49"/>
    <cellStyle name="Pénznem" xfId="53" builtinId="4"/>
    <cellStyle name="Rossz 2" xfId="50"/>
    <cellStyle name="Semleges 2" xfId="51"/>
    <cellStyle name="Számítás 2" xfId="52"/>
    <cellStyle name="Százalék" xfId="3" builtinId="5"/>
  </cellStyles>
  <dxfs count="5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colors>
    <mruColors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AppData/Local/Microsoft/Windows/INetCache/Content.Outlook/XO59X535/Z&#225;rsz&#225;mad&#225;s%2018.%20mell&#233;klet_P&#233;nzk&#233;szlet%20egyeztet&#337;_&#214;nk%20&#233;s%20int&#233;zm&#233;ny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en"/>
      <sheetName val="Önkormányzat"/>
      <sheetName val="Bölcsőde"/>
      <sheetName val="Óvoda"/>
      <sheetName val="Dr.Gáspár"/>
      <sheetName val="Konyha"/>
      <sheetName val="Wamkk"/>
      <sheetName val="PH"/>
    </sheetNames>
    <sheetDataSet>
      <sheetData sheetId="0" refreshError="1"/>
      <sheetData sheetId="1">
        <row r="8">
          <cell r="B8">
            <v>483258545</v>
          </cell>
          <cell r="C8">
            <v>535499886</v>
          </cell>
          <cell r="D8">
            <v>662475512</v>
          </cell>
          <cell r="E8">
            <v>572385575</v>
          </cell>
          <cell r="F8">
            <v>483258545</v>
          </cell>
        </row>
        <row r="11">
          <cell r="B11">
            <v>276505303</v>
          </cell>
          <cell r="C11">
            <v>473466011</v>
          </cell>
          <cell r="D11">
            <v>287707868</v>
          </cell>
          <cell r="E11">
            <v>370875031</v>
          </cell>
          <cell r="F11">
            <v>1408554213</v>
          </cell>
        </row>
        <row r="14">
          <cell r="B14">
            <v>243088489</v>
          </cell>
          <cell r="C14">
            <v>330510516</v>
          </cell>
          <cell r="D14">
            <v>384304811</v>
          </cell>
          <cell r="E14">
            <v>446254786</v>
          </cell>
          <cell r="F14">
            <v>1404158602</v>
          </cell>
        </row>
        <row r="17">
          <cell r="B17">
            <v>18824527</v>
          </cell>
          <cell r="C17">
            <v>-15979869</v>
          </cell>
          <cell r="D17">
            <v>6507006</v>
          </cell>
          <cell r="E17">
            <v>6323350</v>
          </cell>
          <cell r="F17">
            <v>15675014</v>
          </cell>
        </row>
      </sheetData>
      <sheetData sheetId="2">
        <row r="8">
          <cell r="B8">
            <v>825111</v>
          </cell>
          <cell r="C8">
            <v>1674257</v>
          </cell>
          <cell r="D8">
            <v>3445606</v>
          </cell>
          <cell r="E8">
            <v>2481900</v>
          </cell>
          <cell r="F8">
            <v>825111</v>
          </cell>
        </row>
        <row r="11">
          <cell r="B11">
            <v>17888959</v>
          </cell>
          <cell r="C11">
            <v>17045760</v>
          </cell>
          <cell r="D11">
            <v>13568174</v>
          </cell>
          <cell r="E11">
            <v>14088644</v>
          </cell>
          <cell r="F11">
            <v>62591537</v>
          </cell>
        </row>
        <row r="14">
          <cell r="B14">
            <v>16638250</v>
          </cell>
          <cell r="C14">
            <v>15018247</v>
          </cell>
          <cell r="D14">
            <v>15125213</v>
          </cell>
          <cell r="E14">
            <v>16132188</v>
          </cell>
          <cell r="F14">
            <v>62913898</v>
          </cell>
        </row>
        <row r="17">
          <cell r="B17">
            <v>-401563</v>
          </cell>
          <cell r="C17">
            <v>-256164</v>
          </cell>
          <cell r="D17">
            <v>593333</v>
          </cell>
          <cell r="E17">
            <v>-16696</v>
          </cell>
          <cell r="F17">
            <v>-81090</v>
          </cell>
        </row>
      </sheetData>
      <sheetData sheetId="3">
        <row r="8">
          <cell r="B8">
            <v>1419360</v>
          </cell>
          <cell r="C8">
            <v>2102603</v>
          </cell>
          <cell r="D8">
            <v>1024645</v>
          </cell>
          <cell r="E8">
            <v>1317885</v>
          </cell>
          <cell r="F8">
            <v>1419360</v>
          </cell>
        </row>
        <row r="11">
          <cell r="B11">
            <v>46149855</v>
          </cell>
          <cell r="C11">
            <v>46430928</v>
          </cell>
          <cell r="D11">
            <v>46161723</v>
          </cell>
          <cell r="E11">
            <v>49515520</v>
          </cell>
          <cell r="F11">
            <v>188258026</v>
          </cell>
        </row>
        <row r="14">
          <cell r="B14">
            <v>45422891</v>
          </cell>
          <cell r="C14">
            <v>46102466</v>
          </cell>
          <cell r="D14">
            <v>46994837</v>
          </cell>
          <cell r="E14">
            <v>50846280</v>
          </cell>
          <cell r="F14">
            <v>189366474</v>
          </cell>
        </row>
        <row r="17">
          <cell r="B17">
            <v>-43721</v>
          </cell>
          <cell r="C17">
            <v>-1406420</v>
          </cell>
          <cell r="D17">
            <v>1126354</v>
          </cell>
          <cell r="E17">
            <v>497416</v>
          </cell>
          <cell r="F17">
            <v>173629</v>
          </cell>
        </row>
      </sheetData>
      <sheetData sheetId="4">
        <row r="8">
          <cell r="B8">
            <v>1349752</v>
          </cell>
          <cell r="C8">
            <v>1108443</v>
          </cell>
          <cell r="D8">
            <v>1544629</v>
          </cell>
          <cell r="E8">
            <v>1652263</v>
          </cell>
          <cell r="F8">
            <v>1349752</v>
          </cell>
        </row>
        <row r="11">
          <cell r="B11">
            <v>9255177</v>
          </cell>
          <cell r="C11">
            <v>8676048</v>
          </cell>
          <cell r="D11">
            <v>9912081</v>
          </cell>
          <cell r="E11">
            <v>9772218</v>
          </cell>
          <cell r="F11">
            <v>37615524</v>
          </cell>
        </row>
        <row r="14">
          <cell r="B14">
            <v>9489646</v>
          </cell>
          <cell r="C14">
            <v>8016702</v>
          </cell>
          <cell r="D14">
            <v>10028977</v>
          </cell>
          <cell r="E14">
            <v>11183129</v>
          </cell>
          <cell r="F14">
            <v>38718454</v>
          </cell>
        </row>
        <row r="17">
          <cell r="B17">
            <v>-6840</v>
          </cell>
          <cell r="C17">
            <v>-223160</v>
          </cell>
          <cell r="D17">
            <v>224530</v>
          </cell>
          <cell r="E17">
            <v>5470</v>
          </cell>
          <cell r="F17">
            <v>0</v>
          </cell>
        </row>
      </sheetData>
      <sheetData sheetId="5">
        <row r="8">
          <cell r="B8">
            <v>1782205</v>
          </cell>
          <cell r="C8">
            <v>2057932</v>
          </cell>
          <cell r="D8">
            <v>167021</v>
          </cell>
          <cell r="E8">
            <v>1712088</v>
          </cell>
          <cell r="F8">
            <v>1782205</v>
          </cell>
        </row>
        <row r="11">
          <cell r="B11">
            <v>25052905</v>
          </cell>
          <cell r="C11">
            <v>27328852</v>
          </cell>
          <cell r="D11">
            <v>19340347</v>
          </cell>
          <cell r="E11">
            <v>30438282</v>
          </cell>
          <cell r="F11">
            <v>102160386</v>
          </cell>
        </row>
        <row r="14">
          <cell r="B14">
            <v>24691247</v>
          </cell>
          <cell r="C14">
            <v>28767232</v>
          </cell>
          <cell r="D14">
            <v>18322503</v>
          </cell>
          <cell r="E14">
            <v>30449034</v>
          </cell>
          <cell r="F14">
            <v>102230016</v>
          </cell>
        </row>
        <row r="17">
          <cell r="B17">
            <v>-85931</v>
          </cell>
          <cell r="C17">
            <v>-452531</v>
          </cell>
          <cell r="D17">
            <v>527223</v>
          </cell>
          <cell r="E17">
            <v>55741</v>
          </cell>
          <cell r="F17">
            <v>44502</v>
          </cell>
        </row>
      </sheetData>
      <sheetData sheetId="6">
        <row r="8">
          <cell r="B8">
            <v>582725</v>
          </cell>
          <cell r="C8">
            <v>509414</v>
          </cell>
          <cell r="D8">
            <v>133620</v>
          </cell>
          <cell r="E8">
            <v>2424670</v>
          </cell>
          <cell r="F8">
            <v>582725</v>
          </cell>
        </row>
        <row r="11">
          <cell r="B11">
            <v>4726930</v>
          </cell>
          <cell r="C11">
            <v>7487730</v>
          </cell>
          <cell r="D11">
            <v>13105627</v>
          </cell>
          <cell r="E11">
            <v>4749474</v>
          </cell>
          <cell r="F11">
            <v>30069761</v>
          </cell>
        </row>
        <row r="14">
          <cell r="B14">
            <v>4899587</v>
          </cell>
          <cell r="C14">
            <v>7654178</v>
          </cell>
          <cell r="D14">
            <v>10681186</v>
          </cell>
          <cell r="E14">
            <v>7387155</v>
          </cell>
          <cell r="F14">
            <v>30622106</v>
          </cell>
        </row>
        <row r="17">
          <cell r="B17">
            <v>99346</v>
          </cell>
          <cell r="C17">
            <v>-209346</v>
          </cell>
          <cell r="D17">
            <v>-133391</v>
          </cell>
          <cell r="E17">
            <v>313391</v>
          </cell>
          <cell r="F17">
            <v>70000</v>
          </cell>
        </row>
      </sheetData>
      <sheetData sheetId="7">
        <row r="8">
          <cell r="B8">
            <v>386289</v>
          </cell>
          <cell r="C8">
            <v>430347</v>
          </cell>
          <cell r="D8">
            <v>1391121</v>
          </cell>
          <cell r="E8">
            <v>1252377</v>
          </cell>
          <cell r="F8">
            <v>386289</v>
          </cell>
        </row>
        <row r="11">
          <cell r="B11">
            <v>32245026</v>
          </cell>
          <cell r="C11">
            <v>38127106</v>
          </cell>
          <cell r="D11">
            <v>31441385</v>
          </cell>
          <cell r="E11">
            <v>36667957</v>
          </cell>
          <cell r="F11">
            <v>138481474</v>
          </cell>
        </row>
        <row r="14">
          <cell r="B14">
            <v>29934280</v>
          </cell>
          <cell r="C14">
            <v>38975389</v>
          </cell>
          <cell r="D14">
            <v>32474071</v>
          </cell>
          <cell r="E14">
            <v>37509896</v>
          </cell>
          <cell r="F14">
            <v>138893636</v>
          </cell>
        </row>
        <row r="17">
          <cell r="B17">
            <v>-2266688</v>
          </cell>
          <cell r="C17">
            <v>1809057</v>
          </cell>
          <cell r="D17">
            <v>893942</v>
          </cell>
          <cell r="E17">
            <v>60600</v>
          </cell>
          <cell r="F17">
            <v>496911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view="pageBreakPreview" zoomScale="75" zoomScaleNormal="75" zoomScaleSheetLayoutView="75" workbookViewId="0">
      <selection activeCell="H1" sqref="H1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5.5546875" style="22" customWidth="1"/>
    <col min="4" max="6" width="15.5546875" style="23" customWidth="1"/>
    <col min="7" max="7" width="0.6640625" style="23" customWidth="1"/>
    <col min="8" max="8" width="15.5546875" style="22" customWidth="1"/>
    <col min="9" max="10" width="15.5546875" style="23" customWidth="1"/>
    <col min="11" max="11" width="0.6640625" style="23" customWidth="1"/>
    <col min="12" max="14" width="10.5546875" style="22" customWidth="1"/>
    <col min="15" max="15" width="0.6640625" style="23" customWidth="1"/>
    <col min="16" max="18" width="14.5546875" style="22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26" t="s">
        <v>440</v>
      </c>
      <c r="B1" s="225"/>
      <c r="C1" s="225"/>
      <c r="D1" s="225"/>
      <c r="E1" s="225"/>
      <c r="F1" s="338"/>
      <c r="G1" s="224"/>
      <c r="H1" s="223"/>
      <c r="I1" s="223"/>
      <c r="J1" s="221" t="str">
        <f>+'1. Sülysáp összesen'!J1</f>
        <v>2019. ÉVI ZÁRSZÁMADÁS</v>
      </c>
      <c r="K1" s="227"/>
      <c r="L1" s="227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3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3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39"/>
      <c r="D5" s="339"/>
      <c r="E5" s="339"/>
      <c r="F5" s="339"/>
      <c r="G5" s="339"/>
      <c r="H5" s="340"/>
      <c r="I5" s="340"/>
      <c r="J5" s="340"/>
      <c r="K5" s="339"/>
      <c r="L5" s="341"/>
      <c r="M5" s="36"/>
      <c r="N5" s="36"/>
      <c r="O5" s="339"/>
      <c r="P5" s="340"/>
      <c r="Q5" s="340"/>
      <c r="R5" s="340"/>
      <c r="S5" s="340"/>
      <c r="T5" s="36"/>
      <c r="U5" s="263"/>
    </row>
    <row r="6" spans="1:27" ht="14.1" hidden="1" customHeight="1" x14ac:dyDescent="0.25">
      <c r="A6" s="46"/>
      <c r="B6" s="46"/>
      <c r="C6" s="339"/>
      <c r="D6" s="339"/>
      <c r="E6" s="339"/>
      <c r="F6" s="339"/>
      <c r="G6" s="339"/>
      <c r="H6" s="340"/>
      <c r="I6" s="340"/>
      <c r="J6" s="340"/>
      <c r="K6" s="339"/>
      <c r="L6" s="341"/>
      <c r="M6" s="36"/>
      <c r="N6" s="36"/>
      <c r="O6" s="339"/>
      <c r="P6" s="340"/>
      <c r="Q6" s="340"/>
      <c r="R6" s="340"/>
      <c r="S6" s="340"/>
      <c r="T6" s="36"/>
      <c r="U6" s="263"/>
    </row>
    <row r="7" spans="1:27" ht="15.6" x14ac:dyDescent="0.3">
      <c r="A7" s="46"/>
      <c r="B7" s="46"/>
      <c r="C7" s="1386" t="s">
        <v>403</v>
      </c>
      <c r="D7" s="1387"/>
      <c r="E7" s="1387"/>
      <c r="F7" s="1388"/>
      <c r="G7" s="342"/>
      <c r="H7" s="1386" t="s">
        <v>402</v>
      </c>
      <c r="I7" s="1389"/>
      <c r="J7" s="1389"/>
      <c r="K7" s="1389"/>
      <c r="L7" s="1389"/>
      <c r="M7" s="1389"/>
      <c r="N7" s="1390"/>
      <c r="O7" s="342"/>
      <c r="P7" s="1386" t="s">
        <v>399</v>
      </c>
      <c r="Q7" s="1387"/>
      <c r="R7" s="1387"/>
      <c r="S7" s="1387"/>
      <c r="T7" s="1388"/>
      <c r="U7"/>
    </row>
    <row r="8" spans="1:27" ht="13.8" x14ac:dyDescent="0.25">
      <c r="A8" s="46"/>
      <c r="B8" s="46"/>
      <c r="C8" s="514"/>
      <c r="D8" s="461"/>
      <c r="E8" s="461"/>
      <c r="F8" s="486"/>
      <c r="G8" s="339"/>
      <c r="H8" s="1391" t="s">
        <v>412</v>
      </c>
      <c r="I8" s="1392"/>
      <c r="J8" s="1392"/>
      <c r="K8" s="460"/>
      <c r="L8" s="1393" t="s">
        <v>411</v>
      </c>
      <c r="M8" s="1392"/>
      <c r="N8" s="1394"/>
      <c r="O8" s="339"/>
      <c r="P8" s="485">
        <f>+'1. Sülysáp összesen'!P8</f>
        <v>1</v>
      </c>
      <c r="Q8" s="343">
        <f>+'2. Önk. Bevételek'!Q8</f>
        <v>1</v>
      </c>
      <c r="R8" s="343">
        <f>+'1. Sülysáp összesen'!R8</f>
        <v>1</v>
      </c>
      <c r="S8" s="461"/>
      <c r="T8" s="486"/>
      <c r="U8"/>
    </row>
    <row r="9" spans="1:27" ht="20.100000000000001" customHeight="1" x14ac:dyDescent="0.25">
      <c r="A9" s="344"/>
      <c r="B9" s="345" t="s">
        <v>373</v>
      </c>
      <c r="C9" s="487">
        <f>+C23</f>
        <v>1950141658.03</v>
      </c>
      <c r="D9" s="346">
        <f t="shared" ref="D9:J9" si="0">+D23</f>
        <v>1962128521</v>
      </c>
      <c r="E9" s="346">
        <f t="shared" si="0"/>
        <v>1972413317</v>
      </c>
      <c r="F9" s="515">
        <f t="shared" si="0"/>
        <v>1961864060</v>
      </c>
      <c r="G9" s="346"/>
      <c r="H9" s="487">
        <f t="shared" si="0"/>
        <v>588369045</v>
      </c>
      <c r="I9" s="346">
        <f t="shared" si="0"/>
        <v>982943374</v>
      </c>
      <c r="J9" s="346">
        <f t="shared" si="0"/>
        <v>1453174506</v>
      </c>
      <c r="K9" s="347"/>
      <c r="L9" s="348">
        <f>H9/C9</f>
        <v>0.30170579792360336</v>
      </c>
      <c r="M9" s="349">
        <f>I9/D9</f>
        <v>0.50095769134380774</v>
      </c>
      <c r="N9" s="488">
        <f>+J9/E9</f>
        <v>0.73674949031993375</v>
      </c>
      <c r="O9" s="347"/>
      <c r="P9" s="487">
        <f>IF(D9&gt;0,+D9-C9,0)</f>
        <v>11986862.970000029</v>
      </c>
      <c r="Q9" s="346">
        <f>IF(E9&gt;0,+E9-D9,0)</f>
        <v>10284796</v>
      </c>
      <c r="R9" s="346">
        <f>IF(F9&gt;0,+F9-E9,0)</f>
        <v>-10549257</v>
      </c>
      <c r="S9" s="346">
        <f>SUM(P9:R9)</f>
        <v>11722401.970000029</v>
      </c>
      <c r="T9" s="488">
        <f>+S9/C9</f>
        <v>6.0110515160430962E-3</v>
      </c>
      <c r="U9" s="244"/>
      <c r="V9" s="230">
        <f>+S9-E9+C9</f>
        <v>-10549257</v>
      </c>
    </row>
    <row r="10" spans="1:27" ht="13.8" x14ac:dyDescent="0.25">
      <c r="A10" s="350"/>
      <c r="B10" s="351"/>
      <c r="C10" s="489"/>
      <c r="D10" s="339"/>
      <c r="E10" s="339"/>
      <c r="F10" s="516"/>
      <c r="G10" s="339"/>
      <c r="H10" s="489"/>
      <c r="I10" s="339"/>
      <c r="J10" s="339"/>
      <c r="K10" s="339"/>
      <c r="L10" s="352"/>
      <c r="M10" s="353"/>
      <c r="N10" s="490"/>
      <c r="O10" s="339"/>
      <c r="P10" s="489"/>
      <c r="Q10" s="339"/>
      <c r="R10" s="339"/>
      <c r="S10" s="339"/>
      <c r="T10" s="490"/>
      <c r="U10" s="236"/>
      <c r="V10" s="237"/>
    </row>
    <row r="11" spans="1:27" s="1" customFormat="1" ht="64.5" customHeight="1" x14ac:dyDescent="0.25">
      <c r="A11" s="354" t="s">
        <v>368</v>
      </c>
      <c r="B11" s="354" t="s">
        <v>366</v>
      </c>
      <c r="C11" s="517" t="s">
        <v>484</v>
      </c>
      <c r="D11" s="355" t="s">
        <v>485</v>
      </c>
      <c r="E11" s="355" t="s">
        <v>486</v>
      </c>
      <c r="F11" s="518" t="s">
        <v>502</v>
      </c>
      <c r="G11" s="355"/>
      <c r="H11" s="491" t="s">
        <v>487</v>
      </c>
      <c r="I11" s="356" t="s">
        <v>488</v>
      </c>
      <c r="J11" s="356" t="s">
        <v>501</v>
      </c>
      <c r="K11" s="355"/>
      <c r="L11" s="357" t="s">
        <v>489</v>
      </c>
      <c r="M11" s="357" t="s">
        <v>490</v>
      </c>
      <c r="N11" s="492" t="s">
        <v>503</v>
      </c>
      <c r="O11" s="355"/>
      <c r="P11" s="491" t="s">
        <v>509</v>
      </c>
      <c r="Q11" s="356" t="s">
        <v>492</v>
      </c>
      <c r="R11" s="356" t="s">
        <v>510</v>
      </c>
      <c r="S11" s="356" t="s">
        <v>400</v>
      </c>
      <c r="T11" s="492" t="s">
        <v>401</v>
      </c>
      <c r="U11" s="337"/>
      <c r="V11" s="131" t="s">
        <v>405</v>
      </c>
    </row>
    <row r="12" spans="1:27" x14ac:dyDescent="0.25">
      <c r="A12" s="358"/>
      <c r="B12" s="47"/>
      <c r="C12" s="519"/>
      <c r="D12" s="359"/>
      <c r="E12" s="359"/>
      <c r="F12" s="520"/>
      <c r="G12" s="359"/>
      <c r="H12" s="493"/>
      <c r="I12" s="338"/>
      <c r="J12" s="338"/>
      <c r="K12" s="359"/>
      <c r="L12" s="352"/>
      <c r="M12" s="360"/>
      <c r="N12" s="506"/>
      <c r="O12" s="359"/>
      <c r="P12" s="493"/>
      <c r="Q12" s="338"/>
      <c r="R12" s="338"/>
      <c r="S12" s="338"/>
      <c r="T12" s="494"/>
      <c r="U12" s="363"/>
      <c r="V12" s="192"/>
    </row>
    <row r="13" spans="1:27" x14ac:dyDescent="0.25">
      <c r="A13" s="34" t="s">
        <v>0</v>
      </c>
      <c r="B13" s="511" t="s">
        <v>3</v>
      </c>
      <c r="C13" s="159">
        <f>+C37</f>
        <v>427595554</v>
      </c>
      <c r="D13" s="159">
        <f>+D37</f>
        <v>440289654</v>
      </c>
      <c r="E13" s="159">
        <f>+E37</f>
        <v>440573451</v>
      </c>
      <c r="F13" s="159">
        <f>+F37</f>
        <v>442390498</v>
      </c>
      <c r="G13" s="503"/>
      <c r="H13" s="159">
        <f>+H37</f>
        <v>206440974</v>
      </c>
      <c r="I13" s="159">
        <f>+I37</f>
        <v>316775768</v>
      </c>
      <c r="J13" s="159">
        <f>+J37</f>
        <v>439917775</v>
      </c>
      <c r="K13" s="159"/>
      <c r="L13" s="35">
        <f t="shared" ref="L13:N19" si="1">H13/D13</f>
        <v>0.46887536903149668</v>
      </c>
      <c r="M13" s="35">
        <f t="shared" si="1"/>
        <v>0.71900784598116874</v>
      </c>
      <c r="N13" s="35">
        <f t="shared" si="1"/>
        <v>0.99441054224451264</v>
      </c>
      <c r="O13" s="503"/>
      <c r="P13" s="171">
        <f t="shared" ref="P13:R21" si="2">+(D13-C13)*P$8</f>
        <v>12694100</v>
      </c>
      <c r="Q13" s="171">
        <f t="shared" si="2"/>
        <v>283797</v>
      </c>
      <c r="R13" s="171">
        <f t="shared" si="2"/>
        <v>1817047</v>
      </c>
      <c r="S13" s="171">
        <f t="shared" ref="S13:S21" si="3">SUM(P13:R13)</f>
        <v>14794944</v>
      </c>
      <c r="T13" s="172">
        <f t="shared" ref="T13:T24" si="4">IF(C13=0,0,+S13/C13)</f>
        <v>3.4600322341050344E-2</v>
      </c>
      <c r="U13" s="482"/>
      <c r="V13" s="237">
        <f t="shared" ref="V13:V24" si="5">+S13-E13+C13</f>
        <v>1817047</v>
      </c>
    </row>
    <row r="14" spans="1:27" ht="15" customHeight="1" x14ac:dyDescent="0.25">
      <c r="A14" s="34" t="s">
        <v>22</v>
      </c>
      <c r="B14" s="511" t="s">
        <v>445</v>
      </c>
      <c r="C14" s="159">
        <f>+C49</f>
        <v>82881356.030000001</v>
      </c>
      <c r="D14" s="159">
        <f>+D49</f>
        <v>83128031</v>
      </c>
      <c r="E14" s="159">
        <f>+E49</f>
        <v>83150829</v>
      </c>
      <c r="F14" s="159">
        <f>+F49</f>
        <v>83074843</v>
      </c>
      <c r="G14" s="503"/>
      <c r="H14" s="159">
        <f>+H49</f>
        <v>44058096</v>
      </c>
      <c r="I14" s="159">
        <f>+I49</f>
        <v>63733664</v>
      </c>
      <c r="J14" s="159">
        <f>+J49</f>
        <v>82750179</v>
      </c>
      <c r="K14" s="159"/>
      <c r="L14" s="35">
        <f t="shared" si="1"/>
        <v>0.53000288194002809</v>
      </c>
      <c r="M14" s="35">
        <f t="shared" si="1"/>
        <v>0.76648260476152319</v>
      </c>
      <c r="N14" s="35">
        <f t="shared" si="1"/>
        <v>0.99609190955678362</v>
      </c>
      <c r="O14" s="503"/>
      <c r="P14" s="171">
        <f t="shared" si="2"/>
        <v>246674.96999999881</v>
      </c>
      <c r="Q14" s="171">
        <f t="shared" si="2"/>
        <v>22798</v>
      </c>
      <c r="R14" s="171">
        <f t="shared" si="2"/>
        <v>-75986</v>
      </c>
      <c r="S14" s="171">
        <f t="shared" si="3"/>
        <v>193486.96999999881</v>
      </c>
      <c r="T14" s="172">
        <f t="shared" si="4"/>
        <v>2.3345053612535446E-3</v>
      </c>
      <c r="U14" s="482"/>
      <c r="V14" s="237">
        <f t="shared" si="5"/>
        <v>-75986</v>
      </c>
    </row>
    <row r="15" spans="1:27" x14ac:dyDescent="0.25">
      <c r="A15" s="34" t="s">
        <v>25</v>
      </c>
      <c r="B15" s="511" t="s">
        <v>26</v>
      </c>
      <c r="C15" s="159">
        <f>+C61</f>
        <v>297819000</v>
      </c>
      <c r="D15" s="370">
        <f>+D61</f>
        <v>285175143</v>
      </c>
      <c r="E15" s="159">
        <f>+E61</f>
        <v>339446765</v>
      </c>
      <c r="F15" s="159">
        <f>+F61</f>
        <v>327880813</v>
      </c>
      <c r="G15" s="503"/>
      <c r="H15" s="370">
        <f>+H61</f>
        <v>127489245</v>
      </c>
      <c r="I15" s="370">
        <f>+I61</f>
        <v>214632445</v>
      </c>
      <c r="J15" s="159">
        <f>+J61</f>
        <v>301425852</v>
      </c>
      <c r="K15" s="159"/>
      <c r="L15" s="35">
        <f t="shared" si="1"/>
        <v>0.44705595185762736</v>
      </c>
      <c r="M15" s="35">
        <f t="shared" si="1"/>
        <v>0.63230075266735863</v>
      </c>
      <c r="N15" s="35">
        <f t="shared" si="1"/>
        <v>0.91931531229916763</v>
      </c>
      <c r="O15" s="503"/>
      <c r="P15" s="171">
        <f t="shared" si="2"/>
        <v>-12643857</v>
      </c>
      <c r="Q15" s="171">
        <f t="shared" si="2"/>
        <v>54271622</v>
      </c>
      <c r="R15" s="171">
        <f t="shared" si="2"/>
        <v>-11565952</v>
      </c>
      <c r="S15" s="171">
        <f t="shared" si="3"/>
        <v>30061813</v>
      </c>
      <c r="T15" s="172">
        <f t="shared" si="4"/>
        <v>0.10093987623355125</v>
      </c>
      <c r="U15" s="482"/>
      <c r="V15" s="237">
        <f t="shared" si="5"/>
        <v>-11565952</v>
      </c>
    </row>
    <row r="16" spans="1:27" x14ac:dyDescent="0.25">
      <c r="A16" s="34" t="s">
        <v>107</v>
      </c>
      <c r="B16" s="511" t="s">
        <v>108</v>
      </c>
      <c r="C16" s="159">
        <f>+C73</f>
        <v>22100000</v>
      </c>
      <c r="D16" s="159">
        <f>+D73</f>
        <v>24267500</v>
      </c>
      <c r="E16" s="159">
        <f>+E73</f>
        <v>20200000</v>
      </c>
      <c r="F16" s="159">
        <f>+F73</f>
        <v>20200000</v>
      </c>
      <c r="G16" s="503"/>
      <c r="H16" s="159">
        <f>+H73</f>
        <v>7396231</v>
      </c>
      <c r="I16" s="159">
        <f>+I73</f>
        <v>10496866</v>
      </c>
      <c r="J16" s="159">
        <f>+J73</f>
        <v>13764056</v>
      </c>
      <c r="K16" s="159"/>
      <c r="L16" s="35">
        <f t="shared" si="1"/>
        <v>0.30477927268981148</v>
      </c>
      <c r="M16" s="35">
        <f t="shared" si="1"/>
        <v>0.51964683168316828</v>
      </c>
      <c r="N16" s="35">
        <f t="shared" si="1"/>
        <v>0.68138891089108911</v>
      </c>
      <c r="O16" s="503"/>
      <c r="P16" s="171">
        <f t="shared" si="2"/>
        <v>2167500</v>
      </c>
      <c r="Q16" s="171">
        <f t="shared" si="2"/>
        <v>-4067500</v>
      </c>
      <c r="R16" s="171">
        <f t="shared" si="2"/>
        <v>0</v>
      </c>
      <c r="S16" s="171">
        <f t="shared" si="3"/>
        <v>-1900000</v>
      </c>
      <c r="T16" s="172">
        <f t="shared" si="4"/>
        <v>-8.5972850678733032E-2</v>
      </c>
      <c r="U16" s="482"/>
      <c r="V16" s="237">
        <f t="shared" si="5"/>
        <v>0</v>
      </c>
    </row>
    <row r="17" spans="1:22" x14ac:dyDescent="0.25">
      <c r="A17" s="34" t="s">
        <v>371</v>
      </c>
      <c r="B17" s="511" t="s">
        <v>137</v>
      </c>
      <c r="C17" s="159">
        <f>+C85</f>
        <v>106777000</v>
      </c>
      <c r="D17" s="159">
        <f>+D85</f>
        <v>114831425</v>
      </c>
      <c r="E17" s="159">
        <f>+E85</f>
        <v>126926504</v>
      </c>
      <c r="F17" s="159">
        <f>+F85</f>
        <v>141693781</v>
      </c>
      <c r="G17" s="503"/>
      <c r="H17" s="159">
        <f>+H85</f>
        <v>68417711</v>
      </c>
      <c r="I17" s="159">
        <f>+I85</f>
        <v>111271404</v>
      </c>
      <c r="J17" s="159">
        <f>+J85</f>
        <v>136017681</v>
      </c>
      <c r="K17" s="159"/>
      <c r="L17" s="35">
        <f t="shared" si="1"/>
        <v>0.59580999713275351</v>
      </c>
      <c r="M17" s="35">
        <f t="shared" si="1"/>
        <v>0.87666011820509926</v>
      </c>
      <c r="N17" s="35">
        <f t="shared" si="1"/>
        <v>0.95994107885370072</v>
      </c>
      <c r="O17" s="503"/>
      <c r="P17" s="171">
        <f t="shared" si="2"/>
        <v>8054425</v>
      </c>
      <c r="Q17" s="171">
        <f t="shared" si="2"/>
        <v>12095079</v>
      </c>
      <c r="R17" s="171">
        <f t="shared" si="2"/>
        <v>14767277</v>
      </c>
      <c r="S17" s="171">
        <f t="shared" si="3"/>
        <v>34916781</v>
      </c>
      <c r="T17" s="172">
        <f t="shared" si="4"/>
        <v>0.32700657444955372</v>
      </c>
      <c r="U17" s="482"/>
      <c r="V17" s="237">
        <f t="shared" si="5"/>
        <v>14767277</v>
      </c>
    </row>
    <row r="18" spans="1:22" x14ac:dyDescent="0.25">
      <c r="A18" s="34" t="s">
        <v>154</v>
      </c>
      <c r="B18" s="511" t="s">
        <v>155</v>
      </c>
      <c r="C18" s="159">
        <f>+C97</f>
        <v>796250000</v>
      </c>
      <c r="D18" s="159">
        <f>+D97</f>
        <v>797718020</v>
      </c>
      <c r="E18" s="159">
        <f>+E97</f>
        <v>746934020</v>
      </c>
      <c r="F18" s="159">
        <f>+F97</f>
        <v>665947089</v>
      </c>
      <c r="G18" s="503"/>
      <c r="H18" s="159">
        <f>+H97</f>
        <v>100910696</v>
      </c>
      <c r="I18" s="159">
        <f>+I97</f>
        <v>179839289</v>
      </c>
      <c r="J18" s="159">
        <f>+J97</f>
        <v>237832312</v>
      </c>
      <c r="K18" s="159"/>
      <c r="L18" s="35">
        <f t="shared" si="1"/>
        <v>0.12649920582212748</v>
      </c>
      <c r="M18" s="35">
        <f t="shared" si="1"/>
        <v>0.24076997992406343</v>
      </c>
      <c r="N18" s="35">
        <f t="shared" si="1"/>
        <v>0.35713394641777613</v>
      </c>
      <c r="O18" s="503"/>
      <c r="P18" s="171">
        <f t="shared" si="2"/>
        <v>1468020</v>
      </c>
      <c r="Q18" s="171">
        <f t="shared" si="2"/>
        <v>-50784000</v>
      </c>
      <c r="R18" s="171">
        <f t="shared" si="2"/>
        <v>-80986931</v>
      </c>
      <c r="S18" s="171">
        <f t="shared" si="3"/>
        <v>-130302911</v>
      </c>
      <c r="T18" s="172">
        <f t="shared" si="4"/>
        <v>-0.16364572810047096</v>
      </c>
      <c r="U18" s="482"/>
      <c r="V18" s="237">
        <f t="shared" si="5"/>
        <v>-80986931</v>
      </c>
    </row>
    <row r="19" spans="1:22" x14ac:dyDescent="0.25">
      <c r="A19" s="34" t="s">
        <v>169</v>
      </c>
      <c r="B19" s="511" t="s">
        <v>170</v>
      </c>
      <c r="C19" s="159">
        <f>+C109</f>
        <v>198800000</v>
      </c>
      <c r="D19" s="159">
        <f>+D109</f>
        <v>198800000</v>
      </c>
      <c r="E19" s="159">
        <f>+E109</f>
        <v>197263000</v>
      </c>
      <c r="F19" s="159">
        <f>+F109</f>
        <v>262758288</v>
      </c>
      <c r="G19" s="503"/>
      <c r="H19" s="159">
        <f>+H109</f>
        <v>15737344</v>
      </c>
      <c r="I19" s="159">
        <f>+I109</f>
        <v>68275190</v>
      </c>
      <c r="J19" s="159">
        <f>+J109</f>
        <v>223547903</v>
      </c>
      <c r="K19" s="159"/>
      <c r="L19" s="35">
        <f t="shared" si="1"/>
        <v>7.9161690140845065E-2</v>
      </c>
      <c r="M19" s="35">
        <f t="shared" si="1"/>
        <v>0.34611249955642975</v>
      </c>
      <c r="N19" s="35">
        <f t="shared" si="1"/>
        <v>0.85077393638673726</v>
      </c>
      <c r="O19" s="503"/>
      <c r="P19" s="171">
        <f t="shared" si="2"/>
        <v>0</v>
      </c>
      <c r="Q19" s="171">
        <f t="shared" si="2"/>
        <v>-1537000</v>
      </c>
      <c r="R19" s="171">
        <f t="shared" si="2"/>
        <v>65495288</v>
      </c>
      <c r="S19" s="171">
        <f t="shared" si="3"/>
        <v>63958288</v>
      </c>
      <c r="T19" s="172">
        <f t="shared" si="4"/>
        <v>0.32172177062374246</v>
      </c>
      <c r="U19" s="482"/>
      <c r="V19" s="237">
        <f t="shared" si="5"/>
        <v>65495288</v>
      </c>
    </row>
    <row r="20" spans="1:22" x14ac:dyDescent="0.25">
      <c r="A20" s="34" t="s">
        <v>179</v>
      </c>
      <c r="B20" s="511" t="s">
        <v>180</v>
      </c>
      <c r="C20" s="159">
        <f>+C121</f>
        <v>0</v>
      </c>
      <c r="D20" s="159">
        <f>+D121</f>
        <v>0</v>
      </c>
      <c r="E20" s="159">
        <f>+E121</f>
        <v>0</v>
      </c>
      <c r="F20" s="159">
        <f>+F121</f>
        <v>0</v>
      </c>
      <c r="G20" s="503"/>
      <c r="H20" s="159">
        <f>+H121</f>
        <v>0</v>
      </c>
      <c r="I20" s="159">
        <f>+I121</f>
        <v>0</v>
      </c>
      <c r="J20" s="159">
        <f>+J121</f>
        <v>0</v>
      </c>
      <c r="K20" s="159"/>
      <c r="L20" s="35">
        <v>0</v>
      </c>
      <c r="M20" s="35">
        <v>0</v>
      </c>
      <c r="N20" s="35">
        <v>0</v>
      </c>
      <c r="O20" s="503"/>
      <c r="P20" s="171">
        <f t="shared" si="2"/>
        <v>0</v>
      </c>
      <c r="Q20" s="171">
        <f t="shared" si="2"/>
        <v>0</v>
      </c>
      <c r="R20" s="171">
        <f t="shared" si="2"/>
        <v>0</v>
      </c>
      <c r="S20" s="171">
        <f t="shared" si="3"/>
        <v>0</v>
      </c>
      <c r="T20" s="172">
        <f t="shared" si="4"/>
        <v>0</v>
      </c>
      <c r="U20" s="482"/>
      <c r="V20" s="237">
        <f t="shared" si="5"/>
        <v>0</v>
      </c>
    </row>
    <row r="21" spans="1:22" x14ac:dyDescent="0.25">
      <c r="A21" s="34" t="s">
        <v>197</v>
      </c>
      <c r="B21" s="511" t="s">
        <v>198</v>
      </c>
      <c r="C21" s="159">
        <f>+C133</f>
        <v>535243607.02999997</v>
      </c>
      <c r="D21" s="159">
        <f>+D133</f>
        <v>544090785</v>
      </c>
      <c r="E21" s="159">
        <f>+E133</f>
        <v>547364785</v>
      </c>
      <c r="F21" s="159">
        <f>+F133</f>
        <v>531647428</v>
      </c>
      <c r="G21" s="503"/>
      <c r="H21" s="159">
        <f>+H133</f>
        <v>277698930</v>
      </c>
      <c r="I21" s="159">
        <f>+I133</f>
        <v>402220672</v>
      </c>
      <c r="J21" s="159">
        <f>+J133</f>
        <v>531647428</v>
      </c>
      <c r="K21" s="159"/>
      <c r="L21" s="35">
        <f>+H21/D21</f>
        <v>0.51039079810917953</v>
      </c>
      <c r="M21" s="35">
        <f>+I21/E21</f>
        <v>0.73483110901991988</v>
      </c>
      <c r="N21" s="35">
        <f>+J21/F21</f>
        <v>1</v>
      </c>
      <c r="O21" s="503"/>
      <c r="P21" s="171">
        <f t="shared" si="2"/>
        <v>8847177.9700000286</v>
      </c>
      <c r="Q21" s="171">
        <f t="shared" si="2"/>
        <v>3274000</v>
      </c>
      <c r="R21" s="171">
        <f t="shared" si="2"/>
        <v>-15717357</v>
      </c>
      <c r="S21" s="171">
        <f t="shared" si="3"/>
        <v>-3596179.0299999714</v>
      </c>
      <c r="T21" s="172">
        <f t="shared" si="4"/>
        <v>-6.7187706359627918E-3</v>
      </c>
      <c r="U21" s="482"/>
      <c r="V21" s="237">
        <f t="shared" si="5"/>
        <v>-15717357</v>
      </c>
    </row>
    <row r="22" spans="1:22" x14ac:dyDescent="0.25">
      <c r="A22" s="34"/>
      <c r="B22" s="511" t="s">
        <v>438</v>
      </c>
      <c r="C22" s="159">
        <f>-C145</f>
        <v>-517324859.02999997</v>
      </c>
      <c r="D22" s="159">
        <f t="shared" ref="D22:J22" si="6">-D145</f>
        <v>-526172037</v>
      </c>
      <c r="E22" s="159">
        <f t="shared" si="6"/>
        <v>-529446037</v>
      </c>
      <c r="F22" s="159">
        <f t="shared" si="6"/>
        <v>-513728680</v>
      </c>
      <c r="G22" s="503"/>
      <c r="H22" s="159">
        <f t="shared" si="6"/>
        <v>-259780182</v>
      </c>
      <c r="I22" s="159">
        <f t="shared" si="6"/>
        <v>-384301924</v>
      </c>
      <c r="J22" s="159">
        <f t="shared" si="6"/>
        <v>-513728680</v>
      </c>
      <c r="K22" s="159"/>
      <c r="L22" s="35"/>
      <c r="M22" s="35"/>
      <c r="N22" s="35"/>
      <c r="O22" s="503"/>
      <c r="P22" s="159">
        <f>-P145</f>
        <v>-8847177.9699999988</v>
      </c>
      <c r="Q22" s="159">
        <f>-Q145</f>
        <v>-3274000</v>
      </c>
      <c r="R22" s="159">
        <f>-R145</f>
        <v>15717357</v>
      </c>
      <c r="S22" s="159">
        <f>-S145</f>
        <v>3596179.0300000012</v>
      </c>
      <c r="T22" s="172">
        <f t="shared" si="4"/>
        <v>-6.951490861550608E-3</v>
      </c>
      <c r="U22" s="482"/>
      <c r="V22" s="237">
        <f t="shared" si="5"/>
        <v>15717357</v>
      </c>
    </row>
    <row r="23" spans="1:22" x14ac:dyDescent="0.25">
      <c r="A23" s="12"/>
      <c r="B23" s="512" t="s">
        <v>373</v>
      </c>
      <c r="C23" s="163">
        <f>SUM(C13:C22)</f>
        <v>1950141658.03</v>
      </c>
      <c r="D23" s="163">
        <f>SUM(D13:D22)</f>
        <v>1962128521</v>
      </c>
      <c r="E23" s="163">
        <f>SUM(E13:E22)</f>
        <v>1972413317</v>
      </c>
      <c r="F23" s="163">
        <f>SUM(F13:F22)</f>
        <v>1961864060</v>
      </c>
      <c r="G23" s="504"/>
      <c r="H23" s="163">
        <f>SUM(H13:H22)</f>
        <v>588369045</v>
      </c>
      <c r="I23" s="163">
        <f>SUM(I13:I22)</f>
        <v>982943374</v>
      </c>
      <c r="J23" s="163">
        <f>SUM(J13:J22)</f>
        <v>1453174506</v>
      </c>
      <c r="K23" s="163"/>
      <c r="L23" s="33">
        <f>H23/D23</f>
        <v>0.29986264340122704</v>
      </c>
      <c r="M23" s="33">
        <f>I23/E23</f>
        <v>0.49834553717931523</v>
      </c>
      <c r="N23" s="33">
        <f>J23/F23</f>
        <v>0.74071111022850378</v>
      </c>
      <c r="O23" s="504"/>
      <c r="P23" s="163">
        <f>SUM(P13:P22)</f>
        <v>11986862.970000029</v>
      </c>
      <c r="Q23" s="163">
        <f>SUM(Q13:Q22)</f>
        <v>10284796</v>
      </c>
      <c r="R23" s="163">
        <f>SUM(R13:R22)</f>
        <v>-10549257</v>
      </c>
      <c r="S23" s="163">
        <f>SUM(S13:S22)</f>
        <v>11722401.970000029</v>
      </c>
      <c r="T23" s="172">
        <f t="shared" si="4"/>
        <v>6.0110515160430962E-3</v>
      </c>
      <c r="U23" s="483"/>
      <c r="V23" s="237">
        <f t="shared" si="5"/>
        <v>-10549257</v>
      </c>
    </row>
    <row r="24" spans="1:22" x14ac:dyDescent="0.25">
      <c r="A24" s="34"/>
      <c r="B24" s="513" t="s">
        <v>405</v>
      </c>
      <c r="C24" s="174"/>
      <c r="D24" s="174"/>
      <c r="E24" s="174"/>
      <c r="F24" s="174"/>
      <c r="G24" s="505"/>
      <c r="H24" s="174"/>
      <c r="I24" s="174"/>
      <c r="J24" s="174"/>
      <c r="K24" s="174"/>
      <c r="L24" s="364"/>
      <c r="M24" s="364"/>
      <c r="N24" s="364"/>
      <c r="O24" s="505"/>
      <c r="P24" s="174"/>
      <c r="Q24" s="174"/>
      <c r="R24" s="174"/>
      <c r="S24" s="174"/>
      <c r="T24" s="172">
        <f t="shared" si="4"/>
        <v>0</v>
      </c>
      <c r="U24" s="484"/>
      <c r="V24" s="237">
        <f t="shared" si="5"/>
        <v>0</v>
      </c>
    </row>
    <row r="25" spans="1:22" x14ac:dyDescent="0.25">
      <c r="C25" s="495"/>
      <c r="D25" s="74"/>
      <c r="E25" s="74"/>
      <c r="F25" s="521"/>
      <c r="G25" s="74"/>
      <c r="H25" s="495"/>
      <c r="K25" s="74"/>
      <c r="L25" s="87"/>
      <c r="M25" s="87"/>
      <c r="N25" s="496"/>
      <c r="O25" s="74"/>
      <c r="P25" s="495"/>
      <c r="Q25" s="73"/>
      <c r="R25" s="73"/>
      <c r="S25" s="73"/>
      <c r="T25" s="496"/>
      <c r="U25" s="74"/>
    </row>
    <row r="26" spans="1:22" x14ac:dyDescent="0.25">
      <c r="C26" s="495"/>
      <c r="D26" s="74"/>
      <c r="E26" s="74"/>
      <c r="F26" s="521"/>
      <c r="G26" s="74"/>
      <c r="H26" s="495"/>
      <c r="K26" s="74"/>
      <c r="L26" s="87"/>
      <c r="M26" s="87"/>
      <c r="N26" s="496"/>
      <c r="O26" s="74"/>
      <c r="P26" s="495"/>
      <c r="Q26" s="73"/>
      <c r="R26" s="73"/>
      <c r="S26" s="73"/>
      <c r="T26" s="496"/>
      <c r="U26" s="74"/>
    </row>
    <row r="27" spans="1:22" x14ac:dyDescent="0.25">
      <c r="C27" s="495"/>
      <c r="D27" s="74"/>
      <c r="E27" s="74"/>
      <c r="F27" s="521"/>
      <c r="G27" s="74"/>
      <c r="H27" s="495"/>
      <c r="K27" s="74"/>
      <c r="L27" s="87"/>
      <c r="M27" s="87"/>
      <c r="N27" s="496"/>
      <c r="O27" s="74"/>
      <c r="P27" s="495"/>
      <c r="Q27" s="73"/>
      <c r="R27" s="73"/>
      <c r="S27" s="73"/>
      <c r="T27" s="496"/>
      <c r="U27" s="74"/>
    </row>
    <row r="28" spans="1:22" x14ac:dyDescent="0.25">
      <c r="A28" s="316" t="s">
        <v>0</v>
      </c>
      <c r="B28" s="316" t="str">
        <f>+'3. Önk. Kiadások'!B13</f>
        <v>Személyi juttatások</v>
      </c>
      <c r="C28" s="495"/>
      <c r="D28" s="74"/>
      <c r="E28" s="74"/>
      <c r="F28" s="521"/>
      <c r="G28" s="74"/>
      <c r="H28" s="495"/>
      <c r="K28" s="74"/>
      <c r="L28" s="87"/>
      <c r="M28" s="87"/>
      <c r="N28" s="496"/>
      <c r="O28" s="74"/>
      <c r="P28" s="495"/>
      <c r="Q28" s="73"/>
      <c r="R28" s="73"/>
      <c r="S28" s="73"/>
      <c r="T28" s="496"/>
      <c r="U28" s="74"/>
    </row>
    <row r="29" spans="1:22" x14ac:dyDescent="0.25">
      <c r="B29" s="22" t="str">
        <f>+'3. Önk. Kiadások'!A1</f>
        <v>Sülysáp Város Önkormányzata</v>
      </c>
      <c r="C29" s="495">
        <f>+'3. Önk. Kiadások'!C13</f>
        <v>66622000</v>
      </c>
      <c r="D29" s="73">
        <f>+'3. Önk. Kiadások'!D13</f>
        <v>68241000</v>
      </c>
      <c r="E29" s="73">
        <f>+'3. Önk. Kiadások'!E13</f>
        <v>68524797</v>
      </c>
      <c r="F29" s="456">
        <f>+'3. Önk. Kiadások'!F13</f>
        <v>73579729</v>
      </c>
      <c r="G29" s="73">
        <f>+'3. Önk. Kiadások'!G13</f>
        <v>0</v>
      </c>
      <c r="H29" s="495">
        <f>+'3. Önk. Kiadások'!H13</f>
        <v>33091181</v>
      </c>
      <c r="I29" s="73">
        <f>+'3. Önk. Kiadások'!I13</f>
        <v>52878824</v>
      </c>
      <c r="J29" s="73">
        <f>+'3. Önk. Kiadások'!J13</f>
        <v>73579729</v>
      </c>
      <c r="K29" s="73"/>
      <c r="L29" s="73"/>
      <c r="M29" s="73"/>
      <c r="N29" s="456"/>
      <c r="O29" s="73"/>
      <c r="P29" s="495">
        <f>+'3. Önk. Kiadások'!P13</f>
        <v>1619000</v>
      </c>
      <c r="Q29" s="73">
        <f>+'3. Önk. Kiadások'!Q13</f>
        <v>283797</v>
      </c>
      <c r="R29" s="73">
        <f>+'3. Önk. Kiadások'!R13</f>
        <v>5054932</v>
      </c>
      <c r="S29" s="73">
        <f>+'3. Önk. Kiadások'!S13</f>
        <v>1902797</v>
      </c>
      <c r="T29" s="496"/>
      <c r="U29" s="74"/>
    </row>
    <row r="30" spans="1:22" x14ac:dyDescent="0.25">
      <c r="B30" s="56" t="s">
        <v>446</v>
      </c>
      <c r="C30" s="495">
        <f>+'4. Dr Gáspár HSZK'!C13</f>
        <v>26281954</v>
      </c>
      <c r="D30" s="73">
        <f>+'4. Dr Gáspár HSZK'!D13</f>
        <v>26281954</v>
      </c>
      <c r="E30" s="73">
        <f>+'4. Dr Gáspár HSZK'!E13</f>
        <v>26281954</v>
      </c>
      <c r="F30" s="456">
        <f>+'4. Dr Gáspár HSZK'!F13</f>
        <v>25037660</v>
      </c>
      <c r="G30" s="73"/>
      <c r="H30" s="495">
        <f>+'4. Dr Gáspár HSZK'!H13</f>
        <v>11842617</v>
      </c>
      <c r="I30" s="73">
        <f>+'4. Dr Gáspár HSZK'!I13</f>
        <v>18141800</v>
      </c>
      <c r="J30" s="73">
        <f>+'4. Dr Gáspár HSZK'!J13</f>
        <v>24992323</v>
      </c>
      <c r="K30" s="73"/>
      <c r="L30" s="73"/>
      <c r="M30" s="73"/>
      <c r="N30" s="456"/>
      <c r="O30" s="73"/>
      <c r="P30" s="495">
        <f>+'4. Dr Gáspár HSZK'!P13</f>
        <v>0</v>
      </c>
      <c r="Q30" s="73">
        <f>+'4. Dr Gáspár HSZK'!Q13</f>
        <v>0</v>
      </c>
      <c r="R30" s="73">
        <f>+'4. Dr Gáspár HSZK'!R13</f>
        <v>-1244294</v>
      </c>
      <c r="S30" s="73">
        <f>+'4. Dr Gáspár HSZK'!S13</f>
        <v>-1244294</v>
      </c>
      <c r="T30" s="496"/>
      <c r="U30" s="74"/>
    </row>
    <row r="31" spans="1:22" x14ac:dyDescent="0.25">
      <c r="B31" s="56" t="s">
        <v>452</v>
      </c>
      <c r="C31" s="495">
        <f>+'5. Csicsergő'!C13</f>
        <v>145684000</v>
      </c>
      <c r="D31" s="73">
        <f>+'5. Csicsergő'!D13</f>
        <v>145684000</v>
      </c>
      <c r="E31" s="73">
        <f>+'5. Csicsergő'!E13</f>
        <v>145684000</v>
      </c>
      <c r="F31" s="456">
        <f>+'5. Csicsergő'!F13</f>
        <v>147646000</v>
      </c>
      <c r="G31" s="73"/>
      <c r="H31" s="495">
        <f>+'5. Csicsergő'!H13</f>
        <v>69259443</v>
      </c>
      <c r="I31" s="73">
        <f>+'5. Csicsergő'!I13</f>
        <v>106851886</v>
      </c>
      <c r="J31" s="73">
        <f>+'5. Csicsergő'!J13</f>
        <v>147322762</v>
      </c>
      <c r="K31" s="73"/>
      <c r="L31" s="73"/>
      <c r="M31" s="73"/>
      <c r="N31" s="456"/>
      <c r="O31" s="73"/>
      <c r="P31" s="495">
        <f>+'5. Csicsergő'!P13</f>
        <v>0</v>
      </c>
      <c r="Q31" s="73">
        <f>+'5. Csicsergő'!Q13</f>
        <v>0</v>
      </c>
      <c r="R31" s="73">
        <f>+'5. Csicsergő'!R13</f>
        <v>1962000</v>
      </c>
      <c r="S31" s="73">
        <f>+'5. Csicsergő'!S13</f>
        <v>1962000</v>
      </c>
      <c r="T31" s="496"/>
      <c r="U31" s="74"/>
    </row>
    <row r="32" spans="1:22" x14ac:dyDescent="0.25">
      <c r="B32" s="56" t="s">
        <v>453</v>
      </c>
      <c r="C32" s="495">
        <f>+'6. Gólyahír'!C13</f>
        <v>43340000</v>
      </c>
      <c r="D32" s="73">
        <f>+'6. Gólyahír'!D13</f>
        <v>43340000</v>
      </c>
      <c r="E32" s="73">
        <f>+'6. Gólyahír'!E13</f>
        <v>43340000</v>
      </c>
      <c r="F32" s="456">
        <f>+'6. Gólyahír'!F13</f>
        <v>43222000</v>
      </c>
      <c r="G32" s="73"/>
      <c r="H32" s="495">
        <f>+'6. Gólyahír'!H13</f>
        <v>20669168</v>
      </c>
      <c r="I32" s="73">
        <f>+'6. Gólyahír'!I13</f>
        <v>31333670</v>
      </c>
      <c r="J32" s="73">
        <f>+'6. Gólyahír'!J13</f>
        <v>43186814</v>
      </c>
      <c r="K32" s="73"/>
      <c r="L32" s="73"/>
      <c r="M32" s="73"/>
      <c r="N32" s="456"/>
      <c r="O32" s="73"/>
      <c r="P32" s="495">
        <f>+'6. Gólyahír'!P13</f>
        <v>0</v>
      </c>
      <c r="Q32" s="73">
        <f>+'6. Gólyahír'!Q13</f>
        <v>0</v>
      </c>
      <c r="R32" s="73">
        <f>+'6. Gólyahír'!R13</f>
        <v>-118000</v>
      </c>
      <c r="S32" s="73">
        <f>+'6. Gólyahír'!S13</f>
        <v>-118000</v>
      </c>
      <c r="T32" s="496"/>
      <c r="U32" s="74"/>
    </row>
    <row r="33" spans="1:21" x14ac:dyDescent="0.25">
      <c r="B33" s="314" t="s">
        <v>448</v>
      </c>
      <c r="C33" s="495">
        <f>+'7. Polg.Hiv.'!C13</f>
        <v>102325600</v>
      </c>
      <c r="D33" s="73">
        <f>+'7. Polg.Hiv.'!D13</f>
        <v>113400700</v>
      </c>
      <c r="E33" s="73">
        <f>+'7. Polg.Hiv.'!E13</f>
        <v>113400700</v>
      </c>
      <c r="F33" s="456">
        <f>+'7. Polg.Hiv.'!F13</f>
        <v>107399109</v>
      </c>
      <c r="G33" s="73"/>
      <c r="H33" s="495">
        <f>+'7. Polg.Hiv.'!H13</f>
        <v>51012328</v>
      </c>
      <c r="I33" s="73">
        <f>+'7. Polg.Hiv.'!I13</f>
        <v>76482976</v>
      </c>
      <c r="J33" s="73">
        <f>+'7. Polg.Hiv.'!J13</f>
        <v>106599077</v>
      </c>
      <c r="K33" s="73"/>
      <c r="L33" s="73"/>
      <c r="M33" s="73"/>
      <c r="N33" s="456"/>
      <c r="O33" s="73"/>
      <c r="P33" s="495">
        <f>+'7. Polg.Hiv.'!P13</f>
        <v>11075100</v>
      </c>
      <c r="Q33" s="73">
        <f>+'7. Polg.Hiv.'!Q13</f>
        <v>0</v>
      </c>
      <c r="R33" s="73">
        <f>+'7. Polg.Hiv.'!R13</f>
        <v>-6001591</v>
      </c>
      <c r="S33" s="73">
        <f>+'7. Polg.Hiv.'!S13</f>
        <v>5073509</v>
      </c>
      <c r="T33" s="496"/>
      <c r="U33" s="74"/>
    </row>
    <row r="34" spans="1:21" x14ac:dyDescent="0.25">
      <c r="B34" s="73" t="s">
        <v>419</v>
      </c>
      <c r="C34" s="495">
        <f>+'8. WAMKK'!C13</f>
        <v>13970000</v>
      </c>
      <c r="D34" s="73">
        <f>+'8. WAMKK'!D13</f>
        <v>13970000</v>
      </c>
      <c r="E34" s="73">
        <f>+'8. WAMKK'!E13</f>
        <v>13970000</v>
      </c>
      <c r="F34" s="456">
        <f>+'8. WAMKK'!F13</f>
        <v>13970000</v>
      </c>
      <c r="G34" s="73"/>
      <c r="H34" s="495">
        <f>+'8. WAMKK'!H13</f>
        <v>6042177</v>
      </c>
      <c r="I34" s="73">
        <f>+'8. WAMKK'!I13</f>
        <v>9018873</v>
      </c>
      <c r="J34" s="73">
        <f>+'8. WAMKK'!J13</f>
        <v>13510045</v>
      </c>
      <c r="K34" s="73"/>
      <c r="L34" s="73"/>
      <c r="M34" s="73"/>
      <c r="N34" s="456"/>
      <c r="O34" s="73"/>
      <c r="P34" s="495">
        <f>+'8. WAMKK'!P13</f>
        <v>0</v>
      </c>
      <c r="Q34" s="73">
        <f>+'8. WAMKK'!Q13</f>
        <v>0</v>
      </c>
      <c r="R34" s="73">
        <f>+'8. WAMKK'!R13</f>
        <v>0</v>
      </c>
      <c r="S34" s="73">
        <f>+'8. WAMKK'!S13</f>
        <v>0</v>
      </c>
      <c r="T34" s="496"/>
      <c r="U34" s="74"/>
    </row>
    <row r="35" spans="1:21" x14ac:dyDescent="0.25">
      <c r="B35" s="73" t="s">
        <v>420</v>
      </c>
      <c r="C35" s="495">
        <f>+'9. Közp. Konyha'!C13</f>
        <v>29372000</v>
      </c>
      <c r="D35" s="73">
        <f>+'9. Közp. Konyha'!D13</f>
        <v>29372000</v>
      </c>
      <c r="E35" s="73">
        <f>+'9. Közp. Konyha'!E13</f>
        <v>29372000</v>
      </c>
      <c r="F35" s="456">
        <f>+'9. Közp. Konyha'!F13</f>
        <v>31536000</v>
      </c>
      <c r="G35" s="73"/>
      <c r="H35" s="495">
        <f>+'9. Közp. Konyha'!H13</f>
        <v>14524060</v>
      </c>
      <c r="I35" s="73">
        <f>+'9. Közp. Konyha'!I13</f>
        <v>22067739</v>
      </c>
      <c r="J35" s="73">
        <f>+'9. Közp. Konyha'!J13</f>
        <v>30727025</v>
      </c>
      <c r="K35" s="73"/>
      <c r="L35" s="73"/>
      <c r="M35" s="73"/>
      <c r="N35" s="456"/>
      <c r="O35" s="73"/>
      <c r="P35" s="495">
        <f>+'9. Közp. Konyha'!P13</f>
        <v>0</v>
      </c>
      <c r="Q35" s="73">
        <f>+'9. Közp. Konyha'!Q13</f>
        <v>0</v>
      </c>
      <c r="R35" s="73">
        <f>+'9. Közp. Konyha'!R13</f>
        <v>2164000</v>
      </c>
      <c r="S35" s="73">
        <f>+'9. Közp. Konyha'!S13</f>
        <v>2164000</v>
      </c>
      <c r="T35" s="496"/>
      <c r="U35" s="74"/>
    </row>
    <row r="36" spans="1:21" ht="8.1" customHeight="1" x14ac:dyDescent="0.25">
      <c r="B36" s="380" t="s">
        <v>443</v>
      </c>
      <c r="C36" s="497"/>
      <c r="D36" s="379"/>
      <c r="E36" s="379"/>
      <c r="F36" s="508"/>
      <c r="G36" s="379"/>
      <c r="H36" s="497"/>
      <c r="I36" s="379"/>
      <c r="J36" s="379"/>
      <c r="K36" s="379"/>
      <c r="L36" s="379"/>
      <c r="M36" s="379"/>
      <c r="N36" s="508"/>
      <c r="O36" s="379"/>
      <c r="P36" s="497"/>
      <c r="Q36" s="379"/>
      <c r="R36" s="379"/>
      <c r="S36" s="379"/>
      <c r="T36" s="496"/>
      <c r="U36" s="74"/>
    </row>
    <row r="37" spans="1:21" x14ac:dyDescent="0.25">
      <c r="A37" s="381" t="str">
        <f>+A28</f>
        <v>K1</v>
      </c>
      <c r="B37" s="361" t="s">
        <v>437</v>
      </c>
      <c r="C37" s="498">
        <f>SUM(C29:C36)</f>
        <v>427595554</v>
      </c>
      <c r="D37" s="362">
        <f>SUM(D29:D36)</f>
        <v>440289654</v>
      </c>
      <c r="E37" s="362">
        <f>SUM(E29:E36)</f>
        <v>440573451</v>
      </c>
      <c r="F37" s="509">
        <f>SUM(F29:F36)</f>
        <v>442390498</v>
      </c>
      <c r="G37" s="362"/>
      <c r="H37" s="498">
        <f>SUM(H29:H36)</f>
        <v>206440974</v>
      </c>
      <c r="I37" s="362">
        <f>SUM(I29:I36)</f>
        <v>316775768</v>
      </c>
      <c r="J37" s="362">
        <f>SUM(J29:J36)</f>
        <v>439917775</v>
      </c>
      <c r="K37" s="362"/>
      <c r="L37" s="362"/>
      <c r="M37" s="362"/>
      <c r="N37" s="509"/>
      <c r="O37" s="362"/>
      <c r="P37" s="498">
        <f>SUM(P29:P36)</f>
        <v>12694100</v>
      </c>
      <c r="Q37" s="362">
        <f>SUM(Q29:Q36)</f>
        <v>283797</v>
      </c>
      <c r="R37" s="362">
        <f>SUM(R29:R36)</f>
        <v>1817047</v>
      </c>
      <c r="S37" s="362">
        <f>SUM(S29:S36)</f>
        <v>9740012</v>
      </c>
      <c r="T37" s="496"/>
      <c r="U37" s="74"/>
    </row>
    <row r="38" spans="1:21" x14ac:dyDescent="0.25">
      <c r="C38" s="495"/>
      <c r="D38" s="74"/>
      <c r="E38" s="74"/>
      <c r="F38" s="521"/>
      <c r="G38" s="74"/>
      <c r="H38" s="495"/>
      <c r="K38" s="74"/>
      <c r="L38" s="87"/>
      <c r="M38" s="87"/>
      <c r="N38" s="496"/>
      <c r="O38" s="74"/>
      <c r="P38" s="495"/>
      <c r="Q38" s="73"/>
      <c r="R38" s="73"/>
      <c r="S38" s="73"/>
      <c r="T38" s="496"/>
      <c r="U38" s="74"/>
    </row>
    <row r="39" spans="1:21" x14ac:dyDescent="0.25">
      <c r="C39" s="495"/>
      <c r="D39" s="74"/>
      <c r="E39" s="74"/>
      <c r="F39" s="521"/>
      <c r="G39" s="74"/>
      <c r="H39" s="495"/>
      <c r="K39" s="74"/>
      <c r="L39" s="87"/>
      <c r="M39" s="87"/>
      <c r="N39" s="496"/>
      <c r="O39" s="74"/>
      <c r="P39" s="495"/>
      <c r="Q39" s="73"/>
      <c r="R39" s="73"/>
      <c r="S39" s="73"/>
      <c r="T39" s="496"/>
      <c r="U39" s="74"/>
    </row>
    <row r="40" spans="1:21" x14ac:dyDescent="0.25">
      <c r="A40" s="316" t="s">
        <v>22</v>
      </c>
      <c r="B40" s="316" t="str">
        <f>+'3. Önk. Kiadások'!B29</f>
        <v>Munkaadót terhelő járulékok és szociális hozzájárulás</v>
      </c>
      <c r="C40" s="495"/>
      <c r="D40" s="74"/>
      <c r="E40" s="74"/>
      <c r="F40" s="521"/>
      <c r="G40" s="74"/>
      <c r="H40" s="495"/>
      <c r="K40" s="74"/>
      <c r="L40" s="87"/>
      <c r="M40" s="87"/>
      <c r="N40" s="496"/>
      <c r="O40" s="74"/>
      <c r="P40" s="495"/>
      <c r="Q40" s="73"/>
      <c r="R40" s="73"/>
      <c r="S40" s="73"/>
      <c r="T40" s="496"/>
      <c r="U40" s="74"/>
    </row>
    <row r="41" spans="1:21" x14ac:dyDescent="0.25">
      <c r="B41" s="56" t="str">
        <f t="shared" ref="B41:B47" si="7">+B29</f>
        <v>Sülysáp Város Önkormányzata</v>
      </c>
      <c r="C41" s="495">
        <f>+'3. Önk. Kiadások'!C29</f>
        <v>11000000</v>
      </c>
      <c r="D41" s="73">
        <f>+'3. Önk. Kiadások'!D29</f>
        <v>11000000</v>
      </c>
      <c r="E41" s="73">
        <f>+'3. Önk. Kiadások'!E29</f>
        <v>11000000</v>
      </c>
      <c r="F41" s="456">
        <f>+'3. Önk. Kiadások'!F29</f>
        <v>11762014</v>
      </c>
      <c r="G41" s="74"/>
      <c r="H41" s="495">
        <f>+'3. Önk. Kiadások'!H29</f>
        <v>5790855</v>
      </c>
      <c r="I41" s="73">
        <f>+'3. Önk. Kiadások'!I29</f>
        <v>8980382</v>
      </c>
      <c r="J41" s="73">
        <f>+'3. Önk. Kiadások'!J29</f>
        <v>11762014</v>
      </c>
      <c r="K41" s="74"/>
      <c r="L41" s="87"/>
      <c r="M41" s="87"/>
      <c r="N41" s="496"/>
      <c r="O41" s="74"/>
      <c r="P41" s="495">
        <f>+'3. Önk. Kiadások'!P29</f>
        <v>0</v>
      </c>
      <c r="Q41" s="73">
        <f>+'3. Önk. Kiadások'!Q29</f>
        <v>0</v>
      </c>
      <c r="R41" s="73">
        <f>+'3. Önk. Kiadások'!R29</f>
        <v>762014</v>
      </c>
      <c r="S41" s="73">
        <f>+'3. Önk. Kiadások'!S29</f>
        <v>0</v>
      </c>
      <c r="T41" s="496"/>
      <c r="U41" s="74"/>
    </row>
    <row r="42" spans="1:21" x14ac:dyDescent="0.25">
      <c r="B42" s="56" t="str">
        <f t="shared" si="7"/>
        <v>Gondozási Központ</v>
      </c>
      <c r="C42" s="495">
        <f>+'4. Dr Gáspár HSZK'!C29</f>
        <v>4876356.03</v>
      </c>
      <c r="D42" s="73">
        <f>+'4. Dr Gáspár HSZK'!D29</f>
        <v>4876356</v>
      </c>
      <c r="E42" s="73">
        <f>+'4. Dr Gáspár HSZK'!E29</f>
        <v>4876356</v>
      </c>
      <c r="F42" s="456">
        <f>+'4. Dr Gáspár HSZK'!F29</f>
        <v>4876356</v>
      </c>
      <c r="G42" s="73"/>
      <c r="H42" s="495">
        <f>+'4. Dr Gáspár HSZK'!H29</f>
        <v>2545934</v>
      </c>
      <c r="I42" s="73">
        <f>+'4. Dr Gáspár HSZK'!I29</f>
        <v>3690717</v>
      </c>
      <c r="J42" s="73">
        <f>+'4. Dr Gáspár HSZK'!J29</f>
        <v>4832317</v>
      </c>
      <c r="K42" s="73"/>
      <c r="L42" s="73"/>
      <c r="M42" s="73"/>
      <c r="N42" s="456"/>
      <c r="O42" s="73"/>
      <c r="P42" s="495">
        <f>+'4. Dr Gáspár HSZK'!P29</f>
        <v>-3.0000000260770321E-2</v>
      </c>
      <c r="Q42" s="73">
        <f>+'4. Dr Gáspár HSZK'!Q29</f>
        <v>0</v>
      </c>
      <c r="R42" s="73">
        <f>+'4. Dr Gáspár HSZK'!R29</f>
        <v>0</v>
      </c>
      <c r="S42" s="73">
        <f>+'4. Dr Gáspár HSZK'!S29</f>
        <v>-3.0000000260770321E-2</v>
      </c>
      <c r="T42" s="496"/>
      <c r="U42" s="74"/>
    </row>
    <row r="43" spans="1:21" x14ac:dyDescent="0.25">
      <c r="B43" s="56" t="str">
        <f t="shared" si="7"/>
        <v>Csicsergő Napköziotthonos Óvoda</v>
      </c>
      <c r="C43" s="495">
        <f>+'5. Csicsergő'!C30</f>
        <v>30000000</v>
      </c>
      <c r="D43" s="73">
        <f>+'5. Csicsergő'!D30</f>
        <v>30000000</v>
      </c>
      <c r="E43" s="73">
        <f>+'5. Csicsergő'!E30</f>
        <v>30000000</v>
      </c>
      <c r="F43" s="456">
        <f>+'5. Csicsergő'!F30</f>
        <v>28038000</v>
      </c>
      <c r="G43" s="73"/>
      <c r="H43" s="495">
        <f>+'5. Csicsergő'!H30</f>
        <v>14696128</v>
      </c>
      <c r="I43" s="73">
        <f>+'5. Csicsergő'!I30</f>
        <v>21528393</v>
      </c>
      <c r="J43" s="73">
        <f>+'5. Csicsergő'!J30</f>
        <v>28037568</v>
      </c>
      <c r="K43" s="73"/>
      <c r="L43" s="73"/>
      <c r="M43" s="73"/>
      <c r="N43" s="456"/>
      <c r="O43" s="73"/>
      <c r="P43" s="495">
        <f>+'5. Csicsergő'!P30</f>
        <v>0</v>
      </c>
      <c r="Q43" s="73">
        <f>+'5. Csicsergő'!Q30</f>
        <v>0</v>
      </c>
      <c r="R43" s="73">
        <f>+'5. Csicsergő'!R30</f>
        <v>-1962000</v>
      </c>
      <c r="S43" s="73">
        <f>+'5. Csicsergő'!S30</f>
        <v>-1962000</v>
      </c>
      <c r="T43" s="496"/>
      <c r="U43" s="74"/>
    </row>
    <row r="44" spans="1:21" x14ac:dyDescent="0.25">
      <c r="B44" s="56" t="str">
        <f t="shared" si="7"/>
        <v>Gólyahír Bőlcsőde</v>
      </c>
      <c r="C44" s="495">
        <f>+'6. Gólyahír'!C29</f>
        <v>8153000</v>
      </c>
      <c r="D44" s="73">
        <f>+'6. Gólyahír'!D29</f>
        <v>8153000</v>
      </c>
      <c r="E44" s="73">
        <f>+'6. Gólyahír'!E29</f>
        <v>8153000</v>
      </c>
      <c r="F44" s="456">
        <f>+'6. Gólyahír'!F29</f>
        <v>8558000</v>
      </c>
      <c r="G44" s="73"/>
      <c r="H44" s="495">
        <f>+'6. Gólyahír'!H29</f>
        <v>4692885</v>
      </c>
      <c r="I44" s="73">
        <f>+'6. Gólyahír'!I29</f>
        <v>6664922</v>
      </c>
      <c r="J44" s="73">
        <f>+'6. Gólyahír'!J29</f>
        <v>8555513</v>
      </c>
      <c r="K44" s="73"/>
      <c r="L44" s="73"/>
      <c r="M44" s="73"/>
      <c r="N44" s="456"/>
      <c r="O44" s="73"/>
      <c r="P44" s="495">
        <f>+'6. Gólyahír'!P29</f>
        <v>0</v>
      </c>
      <c r="Q44" s="73">
        <f>+'6. Gólyahír'!Q29</f>
        <v>0</v>
      </c>
      <c r="R44" s="73">
        <f>+'6. Gólyahír'!R29</f>
        <v>405000</v>
      </c>
      <c r="S44" s="73">
        <f>+'6. Gólyahír'!S29</f>
        <v>405000</v>
      </c>
      <c r="T44" s="496"/>
      <c r="U44" s="74"/>
    </row>
    <row r="45" spans="1:21" x14ac:dyDescent="0.25">
      <c r="B45" s="56" t="str">
        <f t="shared" si="7"/>
        <v>Polgármesteri Hivatal</v>
      </c>
      <c r="C45" s="495">
        <f>+'7. Polg.Hiv.'!C29</f>
        <v>20252000</v>
      </c>
      <c r="D45" s="73">
        <f>+'7. Polg.Hiv.'!D29</f>
        <v>20498675</v>
      </c>
      <c r="E45" s="73">
        <f>+'7. Polg.Hiv.'!E29</f>
        <v>20521473</v>
      </c>
      <c r="F45" s="456">
        <f>+'7. Polg.Hiv.'!F29</f>
        <v>21201473</v>
      </c>
      <c r="G45" s="73"/>
      <c r="H45" s="495">
        <f>+'7. Polg.Hiv.'!H29</f>
        <v>11664414</v>
      </c>
      <c r="I45" s="73">
        <f>+'7. Polg.Hiv.'!I29</f>
        <v>16279513</v>
      </c>
      <c r="J45" s="73">
        <f>+'7. Polg.Hiv.'!J29</f>
        <v>20924717</v>
      </c>
      <c r="K45" s="73"/>
      <c r="L45" s="73"/>
      <c r="M45" s="73"/>
      <c r="N45" s="456"/>
      <c r="O45" s="73"/>
      <c r="P45" s="495">
        <f>+'7. Polg.Hiv.'!P29</f>
        <v>246675</v>
      </c>
      <c r="Q45" s="73">
        <f>+'7. Polg.Hiv.'!Q29</f>
        <v>22798</v>
      </c>
      <c r="R45" s="73">
        <f>+'7. Polg.Hiv.'!R29</f>
        <v>680000</v>
      </c>
      <c r="S45" s="73">
        <f>+'7. Polg.Hiv.'!S29</f>
        <v>949473</v>
      </c>
      <c r="T45" s="496"/>
      <c r="U45" s="74"/>
    </row>
    <row r="46" spans="1:21" x14ac:dyDescent="0.25">
      <c r="B46" s="56" t="str">
        <f t="shared" si="7"/>
        <v>Wass Albert Művelődési Központ és Könyvtár</v>
      </c>
      <c r="C46" s="495">
        <f>+'8. WAMKK'!C29</f>
        <v>3000000</v>
      </c>
      <c r="D46" s="73">
        <f>+'8. WAMKK'!D29</f>
        <v>3000000</v>
      </c>
      <c r="E46" s="73">
        <f>+'8. WAMKK'!E29</f>
        <v>3000000</v>
      </c>
      <c r="F46" s="456">
        <f>+'8. WAMKK'!F29</f>
        <v>2574000</v>
      </c>
      <c r="G46" s="73"/>
      <c r="H46" s="495">
        <f>+'8. WAMKK'!H29</f>
        <v>1315967</v>
      </c>
      <c r="I46" s="73">
        <f>+'8. WAMKK'!I29</f>
        <v>1869747</v>
      </c>
      <c r="J46" s="73">
        <f>+'8. WAMKK'!J29</f>
        <v>2573467</v>
      </c>
      <c r="K46" s="73"/>
      <c r="L46" s="73"/>
      <c r="M46" s="73"/>
      <c r="N46" s="456"/>
      <c r="O46" s="73"/>
      <c r="P46" s="495">
        <f>+'8. WAMKK'!P29</f>
        <v>0</v>
      </c>
      <c r="Q46" s="73">
        <f>+'8. WAMKK'!Q29</f>
        <v>0</v>
      </c>
      <c r="R46" s="73">
        <f>+'8. WAMKK'!R29</f>
        <v>-426000</v>
      </c>
      <c r="S46" s="73">
        <f>+'8. WAMKK'!S29</f>
        <v>-426000</v>
      </c>
      <c r="T46" s="496"/>
      <c r="U46" s="74"/>
    </row>
    <row r="47" spans="1:21" x14ac:dyDescent="0.25">
      <c r="B47" s="56" t="str">
        <f t="shared" si="7"/>
        <v>Központi Konyha</v>
      </c>
      <c r="C47" s="495">
        <f>+'9. Közp. Konyha'!C29</f>
        <v>5600000</v>
      </c>
      <c r="D47" s="73">
        <f>+'9. Közp. Konyha'!D29</f>
        <v>5600000</v>
      </c>
      <c r="E47" s="73">
        <f>+'9. Közp. Konyha'!E29</f>
        <v>5600000</v>
      </c>
      <c r="F47" s="456">
        <f>+'9. Közp. Konyha'!F29</f>
        <v>6065000</v>
      </c>
      <c r="G47" s="73"/>
      <c r="H47" s="495">
        <f>+'9. Közp. Konyha'!H29</f>
        <v>3351913</v>
      </c>
      <c r="I47" s="73">
        <f>+'9. Közp. Konyha'!I29</f>
        <v>4719990</v>
      </c>
      <c r="J47" s="73">
        <f>+'9. Közp. Konyha'!J29</f>
        <v>6064583</v>
      </c>
      <c r="K47" s="73"/>
      <c r="L47" s="73"/>
      <c r="M47" s="73"/>
      <c r="N47" s="456"/>
      <c r="O47" s="73"/>
      <c r="P47" s="495">
        <f>+'9. Közp. Konyha'!P29</f>
        <v>0</v>
      </c>
      <c r="Q47" s="73">
        <f>+'9. Közp. Konyha'!Q29</f>
        <v>0</v>
      </c>
      <c r="R47" s="73">
        <f>+'9. Közp. Konyha'!R29</f>
        <v>465000</v>
      </c>
      <c r="S47" s="73">
        <f>+'9. Közp. Konyha'!S29</f>
        <v>465000</v>
      </c>
      <c r="T47" s="496"/>
      <c r="U47" s="74"/>
    </row>
    <row r="48" spans="1:21" ht="8.1" customHeight="1" x14ac:dyDescent="0.25">
      <c r="B48" s="380" t="s">
        <v>443</v>
      </c>
      <c r="C48" s="497"/>
      <c r="D48" s="379"/>
      <c r="E48" s="379"/>
      <c r="F48" s="508"/>
      <c r="G48" s="379"/>
      <c r="H48" s="497"/>
      <c r="I48" s="379"/>
      <c r="J48" s="379"/>
      <c r="K48" s="379"/>
      <c r="L48" s="379"/>
      <c r="M48" s="379"/>
      <c r="N48" s="508"/>
      <c r="O48" s="379"/>
      <c r="P48" s="497"/>
      <c r="Q48" s="379"/>
      <c r="R48" s="379"/>
      <c r="S48" s="379"/>
      <c r="T48" s="496"/>
      <c r="U48" s="74"/>
    </row>
    <row r="49" spans="1:21" x14ac:dyDescent="0.25">
      <c r="A49" s="381" t="str">
        <f>+A40</f>
        <v>K2</v>
      </c>
      <c r="B49" s="361" t="s">
        <v>437</v>
      </c>
      <c r="C49" s="498">
        <f>SUM(C41:C48)</f>
        <v>82881356.030000001</v>
      </c>
      <c r="D49" s="362">
        <f>SUM(D41:D48)</f>
        <v>83128031</v>
      </c>
      <c r="E49" s="362">
        <f>SUM(E41:E48)</f>
        <v>83150829</v>
      </c>
      <c r="F49" s="509">
        <f>SUM(F41:F48)</f>
        <v>83074843</v>
      </c>
      <c r="G49" s="362"/>
      <c r="H49" s="498">
        <f>SUM(H41:H48)</f>
        <v>44058096</v>
      </c>
      <c r="I49" s="362">
        <f>SUM(I41:I48)</f>
        <v>63733664</v>
      </c>
      <c r="J49" s="362">
        <f>SUM(J41:J48)</f>
        <v>82750179</v>
      </c>
      <c r="K49" s="362"/>
      <c r="L49" s="362"/>
      <c r="M49" s="362"/>
      <c r="N49" s="509"/>
      <c r="O49" s="362"/>
      <c r="P49" s="498">
        <f>SUM(P41:P48)</f>
        <v>246674.96999999974</v>
      </c>
      <c r="Q49" s="362">
        <f>SUM(Q41:Q48)</f>
        <v>22798</v>
      </c>
      <c r="R49" s="362">
        <f>SUM(R41:R48)</f>
        <v>-75986</v>
      </c>
      <c r="S49" s="362">
        <f>SUM(S41:S48)</f>
        <v>-568527.03000000026</v>
      </c>
      <c r="T49" s="496"/>
      <c r="U49" s="74"/>
    </row>
    <row r="50" spans="1:21" x14ac:dyDescent="0.25">
      <c r="C50" s="495"/>
      <c r="D50" s="74"/>
      <c r="E50" s="74"/>
      <c r="F50" s="521"/>
      <c r="G50" s="74"/>
      <c r="H50" s="495"/>
      <c r="K50" s="74"/>
      <c r="L50" s="87"/>
      <c r="M50" s="87"/>
      <c r="N50" s="496"/>
      <c r="O50" s="74"/>
      <c r="P50" s="495"/>
      <c r="Q50" s="73"/>
      <c r="R50" s="73"/>
      <c r="S50" s="73"/>
      <c r="T50" s="496"/>
      <c r="U50" s="74"/>
    </row>
    <row r="51" spans="1:21" x14ac:dyDescent="0.25">
      <c r="C51" s="495"/>
      <c r="D51" s="74"/>
      <c r="E51" s="74"/>
      <c r="F51" s="521"/>
      <c r="G51" s="74"/>
      <c r="H51" s="495"/>
      <c r="K51" s="74"/>
      <c r="L51" s="87"/>
      <c r="M51" s="87"/>
      <c r="N51" s="496"/>
      <c r="O51" s="74"/>
      <c r="P51" s="495"/>
      <c r="Q51" s="73"/>
      <c r="R51" s="73"/>
      <c r="S51" s="73"/>
      <c r="T51" s="496"/>
      <c r="U51" s="74"/>
    </row>
    <row r="52" spans="1:21" x14ac:dyDescent="0.25">
      <c r="A52" s="316" t="s">
        <v>25</v>
      </c>
      <c r="B52" s="316" t="str">
        <f>+'3. Önk. Kiadások'!B32</f>
        <v>Dologi kiadások</v>
      </c>
      <c r="C52" s="495"/>
      <c r="D52" s="74"/>
      <c r="E52" s="74"/>
      <c r="F52" s="521"/>
      <c r="G52" s="74"/>
      <c r="H52" s="495"/>
      <c r="K52" s="74"/>
      <c r="L52" s="87"/>
      <c r="M52" s="87"/>
      <c r="N52" s="496"/>
      <c r="O52" s="74"/>
      <c r="P52" s="495"/>
      <c r="Q52" s="73"/>
      <c r="R52" s="73"/>
      <c r="S52" s="73"/>
      <c r="T52" s="496"/>
      <c r="U52" s="74"/>
    </row>
    <row r="53" spans="1:21" x14ac:dyDescent="0.25">
      <c r="B53" s="56" t="str">
        <f t="shared" ref="B53:B59" si="8">+B41</f>
        <v>Sülysáp Város Önkormányzata</v>
      </c>
      <c r="C53" s="495">
        <f>+'3. Önk. Kiadások'!C32</f>
        <v>162428000</v>
      </c>
      <c r="D53" s="73">
        <f>+'3. Önk. Kiadások'!D32</f>
        <v>150452970</v>
      </c>
      <c r="E53" s="73">
        <f>+'3. Önk. Kiadások'!E32</f>
        <v>201226541</v>
      </c>
      <c r="F53" s="456">
        <f>+'3. Önk. Kiadások'!F32</f>
        <v>199302595</v>
      </c>
      <c r="G53" s="74"/>
      <c r="H53" s="495">
        <f>+'3. Önk. Kiadások'!H32</f>
        <v>67263471</v>
      </c>
      <c r="I53" s="73">
        <f>+'3. Önk. Kiadások'!I32</f>
        <v>127937757</v>
      </c>
      <c r="J53" s="73">
        <f>+'3. Önk. Kiadások'!J32</f>
        <v>180172052</v>
      </c>
      <c r="K53" s="74"/>
      <c r="L53" s="87"/>
      <c r="M53" s="87"/>
      <c r="N53" s="496"/>
      <c r="O53" s="74"/>
      <c r="P53" s="495">
        <f>+'3. Önk. Kiadások'!P32</f>
        <v>-11975030</v>
      </c>
      <c r="Q53" s="73">
        <f>+'3. Önk. Kiadások'!Q32</f>
        <v>50773571</v>
      </c>
      <c r="R53" s="73">
        <f>+'3. Önk. Kiadások'!R32</f>
        <v>-1923946</v>
      </c>
      <c r="S53" s="73">
        <f>+'3. Önk. Kiadások'!S32</f>
        <v>38798541</v>
      </c>
      <c r="T53" s="496"/>
      <c r="U53" s="74"/>
    </row>
    <row r="54" spans="1:21" x14ac:dyDescent="0.25">
      <c r="A54" s="56"/>
      <c r="B54" s="56" t="str">
        <f t="shared" si="8"/>
        <v>Gondozási Központ</v>
      </c>
      <c r="C54" s="495">
        <f>+'4. Dr Gáspár HSZK'!C32</f>
        <v>10130000</v>
      </c>
      <c r="D54" s="73">
        <f>+'4. Dr Gáspár HSZK'!D32</f>
        <v>10130000</v>
      </c>
      <c r="E54" s="73">
        <f>+'4. Dr Gáspár HSZK'!E32</f>
        <v>10130000</v>
      </c>
      <c r="F54" s="456">
        <f>+'4. Dr Gáspár HSZK'!F32</f>
        <v>9678988</v>
      </c>
      <c r="G54" s="73"/>
      <c r="H54" s="524">
        <f>+'4. Dr Gáspár HSZK'!H32</f>
        <v>3117797</v>
      </c>
      <c r="I54" s="314">
        <f>+'4. Dr Gáspár HSZK'!I32</f>
        <v>5702808</v>
      </c>
      <c r="J54" s="73">
        <f>+'4. Dr Gáspár HSZK'!J32</f>
        <v>8871614</v>
      </c>
      <c r="K54" s="73"/>
      <c r="L54" s="73"/>
      <c r="M54" s="73"/>
      <c r="N54" s="456"/>
      <c r="O54" s="73"/>
      <c r="P54" s="495">
        <f>+'4. Dr Gáspár HSZK'!P32</f>
        <v>0</v>
      </c>
      <c r="Q54" s="73">
        <f>+'4. Dr Gáspár HSZK'!Q32</f>
        <v>0</v>
      </c>
      <c r="R54" s="73">
        <f>+'4. Dr Gáspár HSZK'!R32</f>
        <v>-451012</v>
      </c>
      <c r="S54" s="73">
        <f>+'4. Dr Gáspár HSZK'!S32</f>
        <v>-451012</v>
      </c>
      <c r="T54" s="496"/>
      <c r="U54" s="74"/>
    </row>
    <row r="55" spans="1:21" x14ac:dyDescent="0.25">
      <c r="B55" s="56" t="str">
        <f t="shared" si="8"/>
        <v>Csicsergő Napköziotthonos Óvoda</v>
      </c>
      <c r="C55" s="495">
        <f>+'5. Csicsergő'!C33</f>
        <v>15885000</v>
      </c>
      <c r="D55" s="73">
        <f>+'5. Csicsergő'!D33</f>
        <v>15885000</v>
      </c>
      <c r="E55" s="73">
        <f>+'5. Csicsergő'!E33</f>
        <v>15885000</v>
      </c>
      <c r="F55" s="456">
        <f>+'5. Csicsergő'!F33</f>
        <v>12683714</v>
      </c>
      <c r="G55" s="73"/>
      <c r="H55" s="495">
        <f>+'5. Csicsergő'!H33</f>
        <v>6272583</v>
      </c>
      <c r="I55" s="73">
        <f>+'5. Csicsergő'!I33</f>
        <v>8740932</v>
      </c>
      <c r="J55" s="73">
        <f>+'5. Csicsergő'!J33</f>
        <v>12553691</v>
      </c>
      <c r="K55" s="73"/>
      <c r="L55" s="73"/>
      <c r="M55" s="73"/>
      <c r="N55" s="456"/>
      <c r="O55" s="73"/>
      <c r="P55" s="495">
        <f>+'5. Csicsergő'!P33</f>
        <v>0</v>
      </c>
      <c r="Q55" s="73">
        <f>+'5. Csicsergő'!Q33</f>
        <v>0</v>
      </c>
      <c r="R55" s="73">
        <f>+'5. Csicsergő'!R33</f>
        <v>-3201286</v>
      </c>
      <c r="S55" s="73">
        <f>+'5. Csicsergő'!S33</f>
        <v>-3201286</v>
      </c>
      <c r="T55" s="496"/>
      <c r="U55" s="74"/>
    </row>
    <row r="56" spans="1:21" x14ac:dyDescent="0.25">
      <c r="B56" s="56" t="str">
        <f t="shared" si="8"/>
        <v>Gólyahír Bőlcsőde</v>
      </c>
      <c r="C56" s="495">
        <f>+'6. Gólyahír'!C32</f>
        <v>13785000</v>
      </c>
      <c r="D56" s="73">
        <f>+'6. Gólyahír'!D32</f>
        <v>13305000</v>
      </c>
      <c r="E56" s="73">
        <f>+'6. Gólyahír'!E32</f>
        <v>13305000</v>
      </c>
      <c r="F56" s="456">
        <f>+'6. Gólyahír'!F32</f>
        <v>12184263</v>
      </c>
      <c r="G56" s="73"/>
      <c r="H56" s="495">
        <f>+'6. Gólyahír'!H32</f>
        <v>5536614</v>
      </c>
      <c r="I56" s="73">
        <f>+'6. Gólyahír'!I32</f>
        <v>8025288</v>
      </c>
      <c r="J56" s="73">
        <f>+'6. Gólyahír'!J32</f>
        <v>10368642</v>
      </c>
      <c r="K56" s="73"/>
      <c r="L56" s="73"/>
      <c r="M56" s="73"/>
      <c r="N56" s="456"/>
      <c r="O56" s="73"/>
      <c r="P56" s="495">
        <f>+'6. Gólyahír'!P32</f>
        <v>-480000</v>
      </c>
      <c r="Q56" s="73">
        <f>+'6. Gólyahír'!Q32</f>
        <v>0</v>
      </c>
      <c r="R56" s="73">
        <f>+'6. Gólyahír'!R32</f>
        <v>-1120737</v>
      </c>
      <c r="S56" s="73">
        <f>+'6. Gólyahír'!S32</f>
        <v>-1600737</v>
      </c>
      <c r="T56" s="496"/>
      <c r="U56" s="74"/>
    </row>
    <row r="57" spans="1:21" x14ac:dyDescent="0.25">
      <c r="B57" s="56" t="str">
        <f t="shared" si="8"/>
        <v>Polgármesteri Hivatal</v>
      </c>
      <c r="C57" s="495">
        <f>+'7. Polg.Hiv.'!C32</f>
        <v>11128000</v>
      </c>
      <c r="D57" s="73">
        <f>+'7. Polg.Hiv.'!D32</f>
        <v>11011573</v>
      </c>
      <c r="E57" s="73">
        <f>+'7. Polg.Hiv.'!E32</f>
        <v>11235624</v>
      </c>
      <c r="F57" s="456">
        <f>+'7. Polg.Hiv.'!F32</f>
        <v>10587993</v>
      </c>
      <c r="G57" s="73"/>
      <c r="H57" s="495">
        <f>+'7. Polg.Hiv.'!H32</f>
        <v>4746493</v>
      </c>
      <c r="I57" s="73">
        <f>+'7. Polg.Hiv.'!I32</f>
        <v>7111916</v>
      </c>
      <c r="J57" s="73">
        <f>+'7. Polg.Hiv.'!J32</f>
        <v>9763591</v>
      </c>
      <c r="K57" s="73"/>
      <c r="L57" s="73"/>
      <c r="M57" s="73"/>
      <c r="N57" s="456"/>
      <c r="O57" s="73"/>
      <c r="P57" s="495">
        <f>+'7. Polg.Hiv.'!P32</f>
        <v>-116427</v>
      </c>
      <c r="Q57" s="73">
        <f>+'7. Polg.Hiv.'!Q32</f>
        <v>224051</v>
      </c>
      <c r="R57" s="73">
        <f>+'7. Polg.Hiv.'!R32</f>
        <v>-647631</v>
      </c>
      <c r="S57" s="73">
        <f>+'7. Polg.Hiv.'!S32</f>
        <v>-540007</v>
      </c>
      <c r="T57" s="496"/>
      <c r="U57" s="74"/>
    </row>
    <row r="58" spans="1:21" x14ac:dyDescent="0.25">
      <c r="B58" s="56" t="str">
        <f t="shared" si="8"/>
        <v>Wass Albert Művelődési Központ és Könyvtár</v>
      </c>
      <c r="C58" s="495">
        <f>+'8. WAMKK'!C32</f>
        <v>13092000</v>
      </c>
      <c r="D58" s="73">
        <f>+'8. WAMKK'!D32</f>
        <v>13019600</v>
      </c>
      <c r="E58" s="73">
        <f>+'8. WAMKK'!E32</f>
        <v>16293600</v>
      </c>
      <c r="F58" s="456">
        <f>+'8. WAMKK'!F32</f>
        <v>14701260</v>
      </c>
      <c r="G58" s="73"/>
      <c r="H58" s="495">
        <f>+'8. WAMKK'!H32</f>
        <v>4969781</v>
      </c>
      <c r="I58" s="73">
        <f>+'8. WAMKK'!I32</f>
        <v>12120491</v>
      </c>
      <c r="J58" s="73">
        <f>+'8. WAMKK'!J32</f>
        <v>14257854</v>
      </c>
      <c r="K58" s="73"/>
      <c r="L58" s="73"/>
      <c r="M58" s="73"/>
      <c r="N58" s="456"/>
      <c r="O58" s="73"/>
      <c r="P58" s="495">
        <f>+'8. WAMKK'!P32</f>
        <v>-72400</v>
      </c>
      <c r="Q58" s="73">
        <f>+'8. WAMKK'!Q32</f>
        <v>3274000</v>
      </c>
      <c r="R58" s="73">
        <f>+'8. WAMKK'!R32</f>
        <v>-1592340</v>
      </c>
      <c r="S58" s="73">
        <f>+'8. WAMKK'!S32</f>
        <v>1609260</v>
      </c>
      <c r="T58" s="496"/>
      <c r="U58" s="74"/>
    </row>
    <row r="59" spans="1:21" x14ac:dyDescent="0.25">
      <c r="B59" s="56" t="str">
        <f t="shared" si="8"/>
        <v>Központi Konyha</v>
      </c>
      <c r="C59" s="495">
        <f>+'9. Közp. Konyha'!C32</f>
        <v>71371000</v>
      </c>
      <c r="D59" s="73">
        <f>+'9. Közp. Konyha'!D32</f>
        <v>71371000</v>
      </c>
      <c r="E59" s="73">
        <f>+'9. Közp. Konyha'!E32</f>
        <v>71371000</v>
      </c>
      <c r="F59" s="456">
        <f>+'9. Közp. Konyha'!F32</f>
        <v>68742000</v>
      </c>
      <c r="G59" s="73"/>
      <c r="H59" s="495">
        <f>+'9. Közp. Konyha'!H32</f>
        <v>35582506</v>
      </c>
      <c r="I59" s="73">
        <f>+'9. Közp. Konyha'!I32</f>
        <v>44993253</v>
      </c>
      <c r="J59" s="73">
        <f>+'9. Közp. Konyha'!J32</f>
        <v>65438408</v>
      </c>
      <c r="K59" s="73"/>
      <c r="L59" s="73"/>
      <c r="M59" s="73"/>
      <c r="N59" s="456"/>
      <c r="O59" s="73"/>
      <c r="P59" s="495">
        <f>+'9. Közp. Konyha'!P32</f>
        <v>0</v>
      </c>
      <c r="Q59" s="73">
        <f>+'9. Közp. Konyha'!Q32</f>
        <v>0</v>
      </c>
      <c r="R59" s="73">
        <f>+'9. Közp. Konyha'!R32</f>
        <v>-2629000</v>
      </c>
      <c r="S59" s="73">
        <f>+'9. Közp. Konyha'!S32</f>
        <v>-2629000</v>
      </c>
      <c r="T59" s="496"/>
      <c r="U59" s="74"/>
    </row>
    <row r="60" spans="1:21" ht="8.1" customHeight="1" x14ac:dyDescent="0.25">
      <c r="B60" s="380" t="s">
        <v>443</v>
      </c>
      <c r="C60" s="497"/>
      <c r="D60" s="379"/>
      <c r="E60" s="379"/>
      <c r="F60" s="508"/>
      <c r="G60" s="379"/>
      <c r="H60" s="497"/>
      <c r="I60" s="379"/>
      <c r="J60" s="379"/>
      <c r="K60" s="379"/>
      <c r="L60" s="379"/>
      <c r="M60" s="379"/>
      <c r="N60" s="508"/>
      <c r="O60" s="379"/>
      <c r="P60" s="497"/>
      <c r="Q60" s="379"/>
      <c r="R60" s="379"/>
      <c r="S60" s="379"/>
      <c r="T60" s="496"/>
      <c r="U60" s="74"/>
    </row>
    <row r="61" spans="1:21" x14ac:dyDescent="0.25">
      <c r="A61" s="381" t="str">
        <f>+A52</f>
        <v>K3</v>
      </c>
      <c r="B61" s="361" t="s">
        <v>437</v>
      </c>
      <c r="C61" s="498">
        <f>SUM(C53:C60)</f>
        <v>297819000</v>
      </c>
      <c r="D61" s="362">
        <f>SUM(D53:D60)</f>
        <v>285175143</v>
      </c>
      <c r="E61" s="362">
        <f>SUM(E53:E60)</f>
        <v>339446765</v>
      </c>
      <c r="F61" s="509">
        <f>SUM(F53:F60)</f>
        <v>327880813</v>
      </c>
      <c r="G61" s="362"/>
      <c r="H61" s="498">
        <f>SUM(H53:H60)</f>
        <v>127489245</v>
      </c>
      <c r="I61" s="362">
        <f>SUM(I53:I60)</f>
        <v>214632445</v>
      </c>
      <c r="J61" s="362">
        <f>SUM(J53:J60)</f>
        <v>301425852</v>
      </c>
      <c r="K61" s="362"/>
      <c r="L61" s="362"/>
      <c r="M61" s="362"/>
      <c r="N61" s="509"/>
      <c r="O61" s="362"/>
      <c r="P61" s="498">
        <f>SUM(P53:P60)</f>
        <v>-12643857</v>
      </c>
      <c r="Q61" s="362">
        <f>SUM(Q53:Q60)</f>
        <v>54271622</v>
      </c>
      <c r="R61" s="362">
        <f>SUM(R53:R60)</f>
        <v>-11565952</v>
      </c>
      <c r="S61" s="362">
        <f>SUM(S53:S60)</f>
        <v>31985759</v>
      </c>
      <c r="T61" s="496"/>
      <c r="U61" s="74"/>
    </row>
    <row r="62" spans="1:21" x14ac:dyDescent="0.25">
      <c r="C62" s="495"/>
      <c r="D62" s="74"/>
      <c r="E62" s="74"/>
      <c r="F62" s="521"/>
      <c r="G62" s="74"/>
      <c r="H62" s="495"/>
      <c r="K62" s="74"/>
      <c r="L62" s="87"/>
      <c r="M62" s="87"/>
      <c r="N62" s="496"/>
      <c r="O62" s="74"/>
      <c r="P62" s="495"/>
      <c r="Q62" s="73"/>
      <c r="R62" s="73"/>
      <c r="S62" s="73"/>
      <c r="T62" s="496"/>
      <c r="U62" s="74"/>
    </row>
    <row r="63" spans="1:21" x14ac:dyDescent="0.25">
      <c r="C63" s="495"/>
      <c r="D63" s="74"/>
      <c r="E63" s="74"/>
      <c r="F63" s="521"/>
      <c r="G63" s="74"/>
      <c r="H63" s="495"/>
      <c r="K63" s="74"/>
      <c r="L63" s="87"/>
      <c r="M63" s="87"/>
      <c r="N63" s="496"/>
      <c r="O63" s="74"/>
      <c r="P63" s="495"/>
      <c r="Q63" s="73"/>
      <c r="R63" s="73"/>
      <c r="S63" s="73"/>
      <c r="T63" s="496"/>
      <c r="U63" s="74"/>
    </row>
    <row r="64" spans="1:21" x14ac:dyDescent="0.25">
      <c r="A64" s="316" t="s">
        <v>107</v>
      </c>
      <c r="B64" s="316" t="str">
        <f>+'3. Önk. Kiadások'!B81</f>
        <v>Elláttotak pénzpeli juttatásai</v>
      </c>
      <c r="C64" s="495"/>
      <c r="D64" s="74"/>
      <c r="E64" s="74"/>
      <c r="F64" s="521"/>
      <c r="G64" s="74"/>
      <c r="H64" s="495"/>
      <c r="K64" s="74"/>
      <c r="L64" s="87"/>
      <c r="M64" s="87"/>
      <c r="N64" s="496"/>
      <c r="O64" s="74"/>
      <c r="P64" s="495"/>
      <c r="Q64" s="73"/>
      <c r="R64" s="73"/>
      <c r="S64" s="73"/>
      <c r="T64" s="496"/>
      <c r="U64" s="74"/>
    </row>
    <row r="65" spans="1:21" x14ac:dyDescent="0.25">
      <c r="B65" s="56" t="str">
        <f t="shared" ref="B65:B71" si="9">+B53</f>
        <v>Sülysáp Város Önkormányzata</v>
      </c>
      <c r="C65" s="495">
        <f>+'3. Önk. Kiadások'!C81</f>
        <v>22100000</v>
      </c>
      <c r="D65" s="73">
        <f>+'3. Önk. Kiadások'!D81</f>
        <v>24267500</v>
      </c>
      <c r="E65" s="73">
        <f>+'3. Önk. Kiadások'!E81</f>
        <v>20200000</v>
      </c>
      <c r="F65" s="456">
        <f>+'3. Önk. Kiadások'!F81</f>
        <v>20200000</v>
      </c>
      <c r="G65" s="74"/>
      <c r="H65" s="495">
        <f>+'3. Önk. Kiadások'!H81</f>
        <v>7396231</v>
      </c>
      <c r="I65" s="73">
        <f>+'3. Önk. Kiadások'!I81</f>
        <v>10496866</v>
      </c>
      <c r="J65" s="73">
        <f>+'3. Önk. Kiadások'!J81</f>
        <v>13764056</v>
      </c>
      <c r="K65" s="74"/>
      <c r="L65" s="87"/>
      <c r="M65" s="87"/>
      <c r="N65" s="496"/>
      <c r="O65" s="74"/>
      <c r="P65" s="495">
        <f>+'3. Önk. Kiadások'!P81</f>
        <v>2167500</v>
      </c>
      <c r="Q65" s="73">
        <f>+'3. Önk. Kiadások'!Q81</f>
        <v>-4067500</v>
      </c>
      <c r="R65" s="73">
        <f>+'3. Önk. Kiadások'!R81</f>
        <v>0</v>
      </c>
      <c r="S65" s="73">
        <f>+'3. Önk. Kiadások'!S81</f>
        <v>-1900000</v>
      </c>
      <c r="T65" s="496"/>
      <c r="U65" s="74"/>
    </row>
    <row r="66" spans="1:21" x14ac:dyDescent="0.25">
      <c r="A66" s="56"/>
      <c r="B66" s="56" t="str">
        <f t="shared" si="9"/>
        <v>Gondozási Központ</v>
      </c>
      <c r="C66" s="495"/>
      <c r="D66" s="73"/>
      <c r="E66" s="73"/>
      <c r="F66" s="456"/>
      <c r="G66" s="73"/>
      <c r="H66" s="495"/>
      <c r="I66" s="73"/>
      <c r="J66" s="73"/>
      <c r="K66" s="73"/>
      <c r="L66" s="73"/>
      <c r="M66" s="73"/>
      <c r="N66" s="456"/>
      <c r="O66" s="73"/>
      <c r="P66" s="495"/>
      <c r="Q66" s="73"/>
      <c r="R66" s="73"/>
      <c r="S66" s="73"/>
      <c r="T66" s="496"/>
      <c r="U66" s="74"/>
    </row>
    <row r="67" spans="1:21" x14ac:dyDescent="0.25">
      <c r="B67" s="56" t="str">
        <f t="shared" si="9"/>
        <v>Csicsergő Napköziotthonos Óvoda</v>
      </c>
      <c r="C67" s="495"/>
      <c r="D67" s="73"/>
      <c r="E67" s="73"/>
      <c r="F67" s="456"/>
      <c r="G67" s="73"/>
      <c r="H67" s="495"/>
      <c r="I67" s="73"/>
      <c r="J67" s="73"/>
      <c r="K67" s="73"/>
      <c r="L67" s="73"/>
      <c r="M67" s="73"/>
      <c r="N67" s="456"/>
      <c r="O67" s="73"/>
      <c r="P67" s="495"/>
      <c r="Q67" s="73"/>
      <c r="R67" s="73"/>
      <c r="S67" s="73"/>
      <c r="T67" s="496"/>
      <c r="U67" s="74"/>
    </row>
    <row r="68" spans="1:21" x14ac:dyDescent="0.25">
      <c r="B68" s="56" t="str">
        <f t="shared" si="9"/>
        <v>Gólyahír Bőlcsőde</v>
      </c>
      <c r="C68" s="495"/>
      <c r="D68" s="73"/>
      <c r="E68" s="73"/>
      <c r="F68" s="456"/>
      <c r="G68" s="73"/>
      <c r="H68" s="495"/>
      <c r="I68" s="73"/>
      <c r="J68" s="73"/>
      <c r="K68" s="73"/>
      <c r="L68" s="73"/>
      <c r="M68" s="73"/>
      <c r="N68" s="456"/>
      <c r="O68" s="73"/>
      <c r="P68" s="495"/>
      <c r="Q68" s="73"/>
      <c r="R68" s="73"/>
      <c r="S68" s="73"/>
      <c r="T68" s="496"/>
      <c r="U68" s="74"/>
    </row>
    <row r="69" spans="1:21" x14ac:dyDescent="0.25">
      <c r="B69" s="56" t="str">
        <f t="shared" si="9"/>
        <v>Polgármesteri Hivatal</v>
      </c>
      <c r="C69" s="495"/>
      <c r="D69" s="73"/>
      <c r="E69" s="73"/>
      <c r="F69" s="456"/>
      <c r="G69" s="73"/>
      <c r="H69" s="495"/>
      <c r="I69" s="73"/>
      <c r="J69" s="73"/>
      <c r="K69" s="73"/>
      <c r="L69" s="73"/>
      <c r="M69" s="73"/>
      <c r="N69" s="456"/>
      <c r="O69" s="73"/>
      <c r="P69" s="495"/>
      <c r="Q69" s="73"/>
      <c r="R69" s="73"/>
      <c r="S69" s="73"/>
      <c r="T69" s="496"/>
      <c r="U69" s="74"/>
    </row>
    <row r="70" spans="1:21" x14ac:dyDescent="0.25">
      <c r="B70" s="56" t="str">
        <f t="shared" si="9"/>
        <v>Wass Albert Művelődési Központ és Könyvtár</v>
      </c>
      <c r="C70" s="495"/>
      <c r="D70" s="73"/>
      <c r="E70" s="73"/>
      <c r="F70" s="456"/>
      <c r="G70" s="73"/>
      <c r="H70" s="495"/>
      <c r="I70" s="73"/>
      <c r="J70" s="73"/>
      <c r="K70" s="73"/>
      <c r="L70" s="73"/>
      <c r="M70" s="73"/>
      <c r="N70" s="456"/>
      <c r="O70" s="73"/>
      <c r="P70" s="495"/>
      <c r="Q70" s="73"/>
      <c r="R70" s="73"/>
      <c r="S70" s="73"/>
      <c r="T70" s="496"/>
      <c r="U70" s="74"/>
    </row>
    <row r="71" spans="1:21" x14ac:dyDescent="0.25">
      <c r="B71" s="56" t="str">
        <f t="shared" si="9"/>
        <v>Központi Konyha</v>
      </c>
      <c r="C71" s="495"/>
      <c r="D71" s="73"/>
      <c r="E71" s="73"/>
      <c r="F71" s="456"/>
      <c r="G71" s="73"/>
      <c r="H71" s="495"/>
      <c r="I71" s="73"/>
      <c r="J71" s="73"/>
      <c r="K71" s="73"/>
      <c r="L71" s="73"/>
      <c r="M71" s="73"/>
      <c r="N71" s="456"/>
      <c r="O71" s="73"/>
      <c r="P71" s="495"/>
      <c r="Q71" s="73"/>
      <c r="R71" s="73"/>
      <c r="S71" s="73"/>
      <c r="T71" s="496"/>
      <c r="U71" s="74"/>
    </row>
    <row r="72" spans="1:21" ht="8.1" customHeight="1" x14ac:dyDescent="0.25">
      <c r="B72" s="380" t="s">
        <v>443</v>
      </c>
      <c r="C72" s="497"/>
      <c r="D72" s="379"/>
      <c r="E72" s="379"/>
      <c r="F72" s="508"/>
      <c r="G72" s="379"/>
      <c r="H72" s="497"/>
      <c r="I72" s="379"/>
      <c r="J72" s="379"/>
      <c r="K72" s="379"/>
      <c r="L72" s="379"/>
      <c r="M72" s="379"/>
      <c r="N72" s="508"/>
      <c r="O72" s="379"/>
      <c r="P72" s="497"/>
      <c r="Q72" s="379"/>
      <c r="R72" s="379"/>
      <c r="S72" s="379"/>
      <c r="T72" s="496"/>
      <c r="U72" s="74"/>
    </row>
    <row r="73" spans="1:21" x14ac:dyDescent="0.25">
      <c r="A73" s="381" t="str">
        <f>+A64</f>
        <v>K4</v>
      </c>
      <c r="B73" s="361" t="s">
        <v>437</v>
      </c>
      <c r="C73" s="498">
        <f>SUM(C65:C72)</f>
        <v>22100000</v>
      </c>
      <c r="D73" s="362">
        <f>SUM(D65:D72)</f>
        <v>24267500</v>
      </c>
      <c r="E73" s="362">
        <f>SUM(E65:E72)</f>
        <v>20200000</v>
      </c>
      <c r="F73" s="509">
        <f>SUM(F65:F72)</f>
        <v>20200000</v>
      </c>
      <c r="G73" s="362"/>
      <c r="H73" s="498">
        <f>SUM(H65:H72)</f>
        <v>7396231</v>
      </c>
      <c r="I73" s="362">
        <f>SUM(I65:I72)</f>
        <v>10496866</v>
      </c>
      <c r="J73" s="362">
        <f>SUM(J65:J72)</f>
        <v>13764056</v>
      </c>
      <c r="K73" s="362"/>
      <c r="L73" s="362"/>
      <c r="M73" s="362"/>
      <c r="N73" s="509"/>
      <c r="O73" s="362"/>
      <c r="P73" s="498">
        <f>SUM(P65:P72)</f>
        <v>2167500</v>
      </c>
      <c r="Q73" s="362">
        <f>SUM(Q65:Q72)</f>
        <v>-4067500</v>
      </c>
      <c r="R73" s="362">
        <f>SUM(R65:R72)</f>
        <v>0</v>
      </c>
      <c r="S73" s="362">
        <f>SUM(S65:S72)</f>
        <v>-1900000</v>
      </c>
      <c r="T73" s="496"/>
      <c r="U73" s="74"/>
    </row>
    <row r="74" spans="1:21" x14ac:dyDescent="0.25">
      <c r="C74" s="499"/>
      <c r="F74" s="454"/>
      <c r="H74" s="499"/>
      <c r="N74" s="496"/>
      <c r="P74" s="499"/>
      <c r="T74" s="496"/>
    </row>
    <row r="75" spans="1:21" x14ac:dyDescent="0.25">
      <c r="C75" s="499"/>
      <c r="F75" s="454"/>
      <c r="H75" s="499"/>
      <c r="N75" s="496"/>
      <c r="P75" s="499"/>
      <c r="T75" s="496"/>
    </row>
    <row r="76" spans="1:21" x14ac:dyDescent="0.25">
      <c r="A76" s="316" t="s">
        <v>371</v>
      </c>
      <c r="B76" s="316" t="str">
        <f>+'3. Önk. Kiadások'!B106</f>
        <v>Egyéb működési célú kiadások</v>
      </c>
      <c r="C76" s="495"/>
      <c r="D76" s="74"/>
      <c r="E76" s="74"/>
      <c r="F76" s="521"/>
      <c r="G76" s="74"/>
      <c r="H76" s="495"/>
      <c r="K76" s="74"/>
      <c r="L76" s="87"/>
      <c r="M76" s="87"/>
      <c r="N76" s="496"/>
      <c r="O76" s="74"/>
      <c r="P76" s="495"/>
      <c r="Q76" s="73"/>
      <c r="R76" s="73"/>
      <c r="S76" s="73"/>
      <c r="T76" s="496"/>
      <c r="U76" s="74"/>
    </row>
    <row r="77" spans="1:21" x14ac:dyDescent="0.25">
      <c r="B77" s="56" t="str">
        <f t="shared" ref="B77:B83" si="10">+B65</f>
        <v>Sülysáp Város Önkormányzata</v>
      </c>
      <c r="C77" s="495">
        <f>+'3. Önk. Kiadások'!C106</f>
        <v>106777000</v>
      </c>
      <c r="D77" s="73">
        <f>+'3. Önk. Kiadások'!D106</f>
        <v>114831425</v>
      </c>
      <c r="E77" s="73">
        <f>+'3. Önk. Kiadások'!E106</f>
        <v>126926504</v>
      </c>
      <c r="F77" s="456">
        <f>+'3. Önk. Kiadások'!F106</f>
        <v>141693781</v>
      </c>
      <c r="G77" s="74"/>
      <c r="H77" s="495">
        <f>+'3. Önk. Kiadások'!H106</f>
        <v>68417711</v>
      </c>
      <c r="I77" s="73">
        <f>+'3. Önk. Kiadások'!I106</f>
        <v>111271404</v>
      </c>
      <c r="J77" s="73">
        <f>+'3. Önk. Kiadások'!J106</f>
        <v>136017681</v>
      </c>
      <c r="K77" s="74"/>
      <c r="L77" s="87"/>
      <c r="M77" s="87"/>
      <c r="N77" s="496"/>
      <c r="O77" s="74"/>
      <c r="P77" s="495">
        <f>+'3. Önk. Kiadások'!P106</f>
        <v>8054425</v>
      </c>
      <c r="Q77" s="73">
        <f>+'3. Önk. Kiadások'!Q106</f>
        <v>12095079</v>
      </c>
      <c r="R77" s="73">
        <f>+'3. Önk. Kiadások'!R106</f>
        <v>14767277</v>
      </c>
      <c r="S77" s="73">
        <f>+'3. Önk. Kiadások'!S106</f>
        <v>20149504</v>
      </c>
      <c r="T77" s="496"/>
      <c r="U77" s="74"/>
    </row>
    <row r="78" spans="1:21" x14ac:dyDescent="0.25">
      <c r="A78" s="56"/>
      <c r="B78" s="56" t="str">
        <f t="shared" si="10"/>
        <v>Gondozási Központ</v>
      </c>
      <c r="C78" s="495"/>
      <c r="D78" s="73"/>
      <c r="E78" s="73"/>
      <c r="F78" s="456"/>
      <c r="G78" s="73"/>
      <c r="H78" s="495"/>
      <c r="I78" s="73"/>
      <c r="J78" s="73"/>
      <c r="K78" s="73"/>
      <c r="L78" s="73"/>
      <c r="M78" s="73"/>
      <c r="N78" s="456"/>
      <c r="O78" s="73"/>
      <c r="P78" s="495"/>
      <c r="Q78" s="73"/>
      <c r="R78" s="73"/>
      <c r="S78" s="73"/>
      <c r="T78" s="496"/>
      <c r="U78" s="74"/>
    </row>
    <row r="79" spans="1:21" x14ac:dyDescent="0.25">
      <c r="B79" s="56" t="str">
        <f t="shared" si="10"/>
        <v>Csicsergő Napköziotthonos Óvoda</v>
      </c>
      <c r="C79" s="495"/>
      <c r="D79" s="73"/>
      <c r="E79" s="73"/>
      <c r="F79" s="456"/>
      <c r="G79" s="73"/>
      <c r="H79" s="495"/>
      <c r="I79" s="73"/>
      <c r="J79" s="73"/>
      <c r="K79" s="73"/>
      <c r="L79" s="73"/>
      <c r="M79" s="73"/>
      <c r="N79" s="456"/>
      <c r="O79" s="73"/>
      <c r="P79" s="495"/>
      <c r="Q79" s="73"/>
      <c r="R79" s="73"/>
      <c r="S79" s="73"/>
      <c r="T79" s="496"/>
      <c r="U79" s="74"/>
    </row>
    <row r="80" spans="1:21" x14ac:dyDescent="0.25">
      <c r="B80" s="56" t="str">
        <f t="shared" si="10"/>
        <v>Gólyahír Bőlcsőde</v>
      </c>
      <c r="C80" s="495"/>
      <c r="D80" s="73"/>
      <c r="E80" s="73"/>
      <c r="F80" s="456"/>
      <c r="G80" s="73"/>
      <c r="H80" s="495"/>
      <c r="I80" s="73"/>
      <c r="J80" s="73"/>
      <c r="K80" s="73"/>
      <c r="L80" s="73"/>
      <c r="M80" s="73"/>
      <c r="N80" s="456"/>
      <c r="O80" s="73"/>
      <c r="P80" s="495"/>
      <c r="Q80" s="73"/>
      <c r="R80" s="73"/>
      <c r="S80" s="73"/>
      <c r="T80" s="496"/>
      <c r="U80" s="74"/>
    </row>
    <row r="81" spans="1:21" x14ac:dyDescent="0.25">
      <c r="B81" s="56" t="str">
        <f t="shared" si="10"/>
        <v>Polgármesteri Hivatal</v>
      </c>
      <c r="C81" s="495"/>
      <c r="D81" s="73"/>
      <c r="E81" s="73"/>
      <c r="F81" s="456"/>
      <c r="G81" s="73"/>
      <c r="H81" s="495"/>
      <c r="I81" s="73"/>
      <c r="J81" s="73"/>
      <c r="K81" s="73"/>
      <c r="L81" s="73"/>
      <c r="M81" s="73"/>
      <c r="N81" s="456"/>
      <c r="O81" s="73"/>
      <c r="P81" s="495"/>
      <c r="Q81" s="73"/>
      <c r="R81" s="73"/>
      <c r="S81" s="73"/>
      <c r="T81" s="496"/>
      <c r="U81" s="74"/>
    </row>
    <row r="82" spans="1:21" x14ac:dyDescent="0.25">
      <c r="B82" s="56" t="str">
        <f t="shared" si="10"/>
        <v>Wass Albert Művelődési Központ és Könyvtár</v>
      </c>
      <c r="C82" s="495"/>
      <c r="D82" s="73"/>
      <c r="E82" s="73"/>
      <c r="F82" s="456"/>
      <c r="G82" s="73"/>
      <c r="H82" s="495"/>
      <c r="I82" s="73"/>
      <c r="J82" s="73"/>
      <c r="K82" s="73"/>
      <c r="L82" s="73"/>
      <c r="M82" s="73"/>
      <c r="N82" s="456"/>
      <c r="O82" s="73"/>
      <c r="P82" s="495"/>
      <c r="Q82" s="73"/>
      <c r="R82" s="73"/>
      <c r="S82" s="73"/>
      <c r="T82" s="496"/>
      <c r="U82" s="74"/>
    </row>
    <row r="83" spans="1:21" x14ac:dyDescent="0.25">
      <c r="B83" s="56" t="str">
        <f t="shared" si="10"/>
        <v>Központi Konyha</v>
      </c>
      <c r="C83" s="495"/>
      <c r="D83" s="73"/>
      <c r="E83" s="73"/>
      <c r="F83" s="456"/>
      <c r="G83" s="73"/>
      <c r="H83" s="495"/>
      <c r="I83" s="73"/>
      <c r="J83" s="73"/>
      <c r="K83" s="73"/>
      <c r="L83" s="73"/>
      <c r="M83" s="73"/>
      <c r="N83" s="456"/>
      <c r="O83" s="73"/>
      <c r="P83" s="495"/>
      <c r="Q83" s="73"/>
      <c r="R83" s="73"/>
      <c r="S83" s="73"/>
      <c r="T83" s="496"/>
      <c r="U83" s="74"/>
    </row>
    <row r="84" spans="1:21" ht="8.1" customHeight="1" x14ac:dyDescent="0.25">
      <c r="B84" s="380" t="s">
        <v>443</v>
      </c>
      <c r="C84" s="497"/>
      <c r="D84" s="379"/>
      <c r="E84" s="379"/>
      <c r="F84" s="508"/>
      <c r="G84" s="379"/>
      <c r="H84" s="497"/>
      <c r="I84" s="379"/>
      <c r="J84" s="379"/>
      <c r="K84" s="379"/>
      <c r="L84" s="379"/>
      <c r="M84" s="379"/>
      <c r="N84" s="508"/>
      <c r="O84" s="379"/>
      <c r="P84" s="497"/>
      <c r="Q84" s="379"/>
      <c r="R84" s="379"/>
      <c r="S84" s="379"/>
      <c r="T84" s="496"/>
      <c r="U84" s="74"/>
    </row>
    <row r="85" spans="1:21" x14ac:dyDescent="0.25">
      <c r="A85" s="381" t="str">
        <f>+A76</f>
        <v>K5</v>
      </c>
      <c r="B85" s="361" t="s">
        <v>437</v>
      </c>
      <c r="C85" s="498">
        <f>SUM(C77:C84)</f>
        <v>106777000</v>
      </c>
      <c r="D85" s="362">
        <f>SUM(D77:D84)</f>
        <v>114831425</v>
      </c>
      <c r="E85" s="362">
        <f>SUM(E77:E84)</f>
        <v>126926504</v>
      </c>
      <c r="F85" s="509">
        <f>SUM(F77:F84)</f>
        <v>141693781</v>
      </c>
      <c r="G85" s="362"/>
      <c r="H85" s="498">
        <f>SUM(H77:H84)</f>
        <v>68417711</v>
      </c>
      <c r="I85" s="362">
        <f>SUM(I77:I84)</f>
        <v>111271404</v>
      </c>
      <c r="J85" s="362">
        <f>SUM(J77:J84)</f>
        <v>136017681</v>
      </c>
      <c r="K85" s="362"/>
      <c r="L85" s="362"/>
      <c r="M85" s="362"/>
      <c r="N85" s="509"/>
      <c r="O85" s="362"/>
      <c r="P85" s="498">
        <f>SUM(P77:P84)</f>
        <v>8054425</v>
      </c>
      <c r="Q85" s="362">
        <f>SUM(Q77:Q84)</f>
        <v>12095079</v>
      </c>
      <c r="R85" s="362">
        <f>SUM(R77:R84)</f>
        <v>14767277</v>
      </c>
      <c r="S85" s="362">
        <f>SUM(S77:S84)</f>
        <v>20149504</v>
      </c>
      <c r="T85" s="496"/>
      <c r="U85" s="74"/>
    </row>
    <row r="86" spans="1:21" x14ac:dyDescent="0.25">
      <c r="C86" s="499"/>
      <c r="F86" s="454"/>
      <c r="H86" s="499"/>
      <c r="N86" s="496"/>
      <c r="P86" s="499"/>
      <c r="T86" s="496"/>
    </row>
    <row r="87" spans="1:21" x14ac:dyDescent="0.25">
      <c r="C87" s="499"/>
      <c r="F87" s="454"/>
      <c r="H87" s="499"/>
      <c r="N87" s="496"/>
      <c r="P87" s="499"/>
      <c r="T87" s="496"/>
    </row>
    <row r="88" spans="1:21" x14ac:dyDescent="0.25">
      <c r="A88" s="316" t="s">
        <v>154</v>
      </c>
      <c r="B88" s="316" t="str">
        <f>+'3. Önk. Kiadások'!B120</f>
        <v>Beruházások</v>
      </c>
      <c r="C88" s="495"/>
      <c r="D88" s="74"/>
      <c r="E88" s="74"/>
      <c r="F88" s="521"/>
      <c r="G88" s="74"/>
      <c r="H88" s="495"/>
      <c r="K88" s="74"/>
      <c r="L88" s="87"/>
      <c r="M88" s="87"/>
      <c r="N88" s="496"/>
      <c r="O88" s="74"/>
      <c r="P88" s="495"/>
      <c r="Q88" s="73"/>
      <c r="R88" s="73"/>
      <c r="S88" s="73"/>
      <c r="T88" s="496"/>
      <c r="U88" s="74"/>
    </row>
    <row r="89" spans="1:21" x14ac:dyDescent="0.25">
      <c r="B89" s="56" t="str">
        <f t="shared" ref="B89:B95" si="11">+B77</f>
        <v>Sülysáp Város Önkormányzata</v>
      </c>
      <c r="C89" s="495">
        <f>+'3. Önk. Kiadások'!C120</f>
        <v>792250000</v>
      </c>
      <c r="D89" s="73">
        <f>+'3. Önk. Kiadások'!D120</f>
        <v>793165620</v>
      </c>
      <c r="E89" s="73">
        <f>+'3. Önk. Kiadások'!E120</f>
        <v>742381620</v>
      </c>
      <c r="F89" s="456">
        <f>+'3. Önk. Kiadások'!F120</f>
        <v>661513746</v>
      </c>
      <c r="G89" s="74"/>
      <c r="H89" s="495">
        <f>+'3. Önk. Kiadások'!H120</f>
        <v>97143389</v>
      </c>
      <c r="I89" s="73">
        <f>+'3. Önk. Kiadások'!I120</f>
        <v>175947301</v>
      </c>
      <c r="J89" s="73">
        <f>+'3. Önk. Kiadások'!J120</f>
        <v>233667739</v>
      </c>
      <c r="K89" s="74"/>
      <c r="L89" s="87"/>
      <c r="M89" s="87"/>
      <c r="N89" s="496"/>
      <c r="O89" s="74"/>
      <c r="P89" s="495">
        <f>+'3. Önk. Kiadások'!P120</f>
        <v>915620</v>
      </c>
      <c r="Q89" s="73">
        <f>+'3. Önk. Kiadások'!Q120</f>
        <v>-50784000</v>
      </c>
      <c r="R89" s="73">
        <f>+'3. Önk. Kiadások'!R120</f>
        <v>-80867874</v>
      </c>
      <c r="S89" s="73">
        <f>+'3. Önk. Kiadások'!S120</f>
        <v>-49868380</v>
      </c>
      <c r="T89" s="496"/>
      <c r="U89" s="74"/>
    </row>
    <row r="90" spans="1:21" x14ac:dyDescent="0.25">
      <c r="A90" s="56"/>
      <c r="B90" s="56" t="str">
        <f t="shared" si="11"/>
        <v>Gondozási Központ</v>
      </c>
      <c r="C90" s="495">
        <f>+'4. Dr Gáspár HSZK'!C83</f>
        <v>120000</v>
      </c>
      <c r="D90" s="73">
        <f>+'4. Dr Gáspár HSZK'!D83</f>
        <v>120000</v>
      </c>
      <c r="E90" s="73">
        <f>+'4. Dr Gáspár HSZK'!E83</f>
        <v>120000</v>
      </c>
      <c r="F90" s="456">
        <f>+'4. Dr Gáspár HSZK'!F83</f>
        <v>120000</v>
      </c>
      <c r="G90" s="73"/>
      <c r="H90" s="495">
        <f>+'4. Dr Gáspár HSZK'!H83</f>
        <v>0</v>
      </c>
      <c r="I90" s="73">
        <f>+'4. Dr Gáspár HSZK'!I83</f>
        <v>0</v>
      </c>
      <c r="J90" s="73">
        <f>+'4. Dr Gáspár HSZK'!J83</f>
        <v>22200</v>
      </c>
      <c r="K90" s="73"/>
      <c r="L90" s="73"/>
      <c r="M90" s="73"/>
      <c r="N90" s="456"/>
      <c r="O90" s="73"/>
      <c r="P90" s="495">
        <f>+'4. Dr Gáspár HSZK'!P83</f>
        <v>0</v>
      </c>
      <c r="Q90" s="73">
        <f>+'4. Dr Gáspár HSZK'!Q83</f>
        <v>0</v>
      </c>
      <c r="R90" s="73">
        <f>+'4. Dr Gáspár HSZK'!R83</f>
        <v>0</v>
      </c>
      <c r="S90" s="73">
        <f>+'4. Dr Gáspár HSZK'!S83</f>
        <v>0</v>
      </c>
      <c r="T90" s="496"/>
      <c r="U90" s="74"/>
    </row>
    <row r="91" spans="1:21" x14ac:dyDescent="0.25">
      <c r="B91" s="56" t="str">
        <f t="shared" si="11"/>
        <v>Csicsergő Napköziotthonos Óvoda</v>
      </c>
      <c r="C91" s="495">
        <f>+'5. Csicsergő'!C84</f>
        <v>1650000</v>
      </c>
      <c r="D91" s="73">
        <f>+'5. Csicsergő'!D84</f>
        <v>1650000</v>
      </c>
      <c r="E91" s="73">
        <f>+'5. Csicsergő'!E84</f>
        <v>1650000</v>
      </c>
      <c r="F91" s="456">
        <f>+'5. Csicsergő'!F84</f>
        <v>1452453</v>
      </c>
      <c r="G91" s="73"/>
      <c r="H91" s="495">
        <f>+'5. Csicsergő'!H84</f>
        <v>1297203</v>
      </c>
      <c r="I91" s="73">
        <f>+'5. Csicsergő'!I84</f>
        <v>1398983</v>
      </c>
      <c r="J91" s="73">
        <f>+'5. Csicsergő'!J84</f>
        <v>1452453</v>
      </c>
      <c r="K91" s="73"/>
      <c r="L91" s="73"/>
      <c r="M91" s="73"/>
      <c r="N91" s="456"/>
      <c r="O91" s="73"/>
      <c r="P91" s="495">
        <f>+'5. Csicsergő'!P84</f>
        <v>0</v>
      </c>
      <c r="Q91" s="73">
        <f>+'5. Csicsergő'!Q84</f>
        <v>0</v>
      </c>
      <c r="R91" s="73">
        <f>+'5. Csicsergő'!R84</f>
        <v>-197547</v>
      </c>
      <c r="S91" s="73">
        <f>+'5. Csicsergő'!S84</f>
        <v>-197547</v>
      </c>
      <c r="T91" s="496"/>
      <c r="U91" s="74"/>
    </row>
    <row r="92" spans="1:21" x14ac:dyDescent="0.25">
      <c r="B92" s="56" t="str">
        <f t="shared" si="11"/>
        <v>Gólyahír Bőlcsőde</v>
      </c>
      <c r="C92" s="495">
        <f>+'6. Gólyahír'!C83</f>
        <v>300000</v>
      </c>
      <c r="D92" s="73">
        <f>+'6. Gólyahír'!D83</f>
        <v>780000</v>
      </c>
      <c r="E92" s="73">
        <f>+'6. Gólyahír'!E83</f>
        <v>780000</v>
      </c>
      <c r="F92" s="456">
        <f>+'6. Gólyahír'!F83</f>
        <v>850150</v>
      </c>
      <c r="G92" s="73"/>
      <c r="H92" s="495">
        <f>+'6. Gólyahír'!H83</f>
        <v>757830</v>
      </c>
      <c r="I92" s="73">
        <f>+'6. Gólyahír'!I83</f>
        <v>757830</v>
      </c>
      <c r="J92" s="73">
        <f>+'6. Gólyahír'!J83</f>
        <v>802929</v>
      </c>
      <c r="K92" s="73"/>
      <c r="L92" s="73"/>
      <c r="M92" s="73"/>
      <c r="N92" s="456"/>
      <c r="O92" s="73"/>
      <c r="P92" s="495">
        <f>+'6. Gólyahír'!P83</f>
        <v>480000</v>
      </c>
      <c r="Q92" s="73">
        <f>+'6. Gólyahír'!Q83</f>
        <v>0</v>
      </c>
      <c r="R92" s="73">
        <f>+'6. Gólyahír'!R83</f>
        <v>70150</v>
      </c>
      <c r="S92" s="73">
        <f>+'6. Gólyahír'!S83</f>
        <v>550150</v>
      </c>
      <c r="T92" s="496"/>
      <c r="U92" s="74"/>
    </row>
    <row r="93" spans="1:21" x14ac:dyDescent="0.25">
      <c r="B93" s="322" t="str">
        <f t="shared" si="11"/>
        <v>Polgármesteri Hivatal</v>
      </c>
      <c r="C93" s="495">
        <f>+'7. Polg.Hiv.'!C83</f>
        <v>1730000</v>
      </c>
      <c r="D93" s="73">
        <f>+'7. Polg.Hiv.'!D83</f>
        <v>1730000</v>
      </c>
      <c r="E93" s="73">
        <f>+'7. Polg.Hiv.'!E83</f>
        <v>1730000</v>
      </c>
      <c r="F93" s="456">
        <f>+'7. Polg.Hiv.'!F83</f>
        <v>1730000</v>
      </c>
      <c r="G93" s="73"/>
      <c r="H93" s="495">
        <f>+'7. Polg.Hiv.'!H83</f>
        <v>1486434</v>
      </c>
      <c r="I93" s="73">
        <f>+'7. Polg.Hiv.'!I83</f>
        <v>1509335</v>
      </c>
      <c r="J93" s="73">
        <f>+'7. Polg.Hiv.'!J83</f>
        <v>1606251</v>
      </c>
      <c r="K93" s="73"/>
      <c r="L93" s="73"/>
      <c r="M93" s="73"/>
      <c r="N93" s="456"/>
      <c r="O93" s="73"/>
      <c r="P93" s="495">
        <f>+'7. Polg.Hiv.'!P83</f>
        <v>0</v>
      </c>
      <c r="Q93" s="73">
        <f>+'7. Polg.Hiv.'!Q83</f>
        <v>0</v>
      </c>
      <c r="R93" s="73">
        <f>+'7. Polg.Hiv.'!R83</f>
        <v>0</v>
      </c>
      <c r="S93" s="73">
        <f>+'7. Polg.Hiv.'!S83</f>
        <v>0</v>
      </c>
      <c r="T93" s="496"/>
      <c r="U93" s="74"/>
    </row>
    <row r="94" spans="1:21" x14ac:dyDescent="0.25">
      <c r="B94" s="56" t="str">
        <f t="shared" si="11"/>
        <v>Wass Albert Művelődési Központ és Könyvtár</v>
      </c>
      <c r="C94" s="495">
        <f>+'8. WAMKK'!C83</f>
        <v>200000</v>
      </c>
      <c r="D94" s="73">
        <f>+'8. WAMKK'!D83</f>
        <v>272400</v>
      </c>
      <c r="E94" s="73">
        <f>+'8. WAMKK'!E83</f>
        <v>272400</v>
      </c>
      <c r="F94" s="456">
        <f>+'8. WAMKK'!F83</f>
        <v>280740</v>
      </c>
      <c r="G94" s="73"/>
      <c r="H94" s="495">
        <f>+'8. WAMKK'!H83</f>
        <v>225840</v>
      </c>
      <c r="I94" s="73">
        <f>+'8. WAMKK'!I83</f>
        <v>225840</v>
      </c>
      <c r="J94" s="73">
        <f>+'8. WAMKK'!J83</f>
        <v>280740</v>
      </c>
      <c r="K94" s="73"/>
      <c r="L94" s="73"/>
      <c r="M94" s="73"/>
      <c r="N94" s="456"/>
      <c r="O94" s="73"/>
      <c r="P94" s="495">
        <f>+'8. WAMKK'!P83</f>
        <v>72400</v>
      </c>
      <c r="Q94" s="73">
        <f>+'8. WAMKK'!Q83</f>
        <v>0</v>
      </c>
      <c r="R94" s="73">
        <f>+'8. WAMKK'!R83</f>
        <v>8340</v>
      </c>
      <c r="S94" s="73">
        <f>+'8. WAMKK'!S83</f>
        <v>80740</v>
      </c>
      <c r="T94" s="496"/>
      <c r="U94" s="74"/>
    </row>
    <row r="95" spans="1:21" x14ac:dyDescent="0.25">
      <c r="B95" s="56" t="str">
        <f t="shared" si="11"/>
        <v>Központi Konyha</v>
      </c>
      <c r="C95" s="495">
        <f>+'9. Közp. Konyha'!C83</f>
        <v>0</v>
      </c>
      <c r="D95" s="73">
        <f>+'9. Közp. Konyha'!D83</f>
        <v>0</v>
      </c>
      <c r="E95" s="73">
        <f>+'9. Közp. Konyha'!E83</f>
        <v>0</v>
      </c>
      <c r="F95" s="456">
        <f>+'9. Közp. Konyha'!F83</f>
        <v>0</v>
      </c>
      <c r="G95" s="73"/>
      <c r="H95" s="495">
        <f>+'9. Közp. Konyha'!H83</f>
        <v>0</v>
      </c>
      <c r="I95" s="73">
        <f>+'9. Közp. Konyha'!I83</f>
        <v>0</v>
      </c>
      <c r="J95" s="73">
        <f>+'9. Közp. Konyha'!J83</f>
        <v>0</v>
      </c>
      <c r="K95" s="73"/>
      <c r="L95" s="73"/>
      <c r="M95" s="73"/>
      <c r="N95" s="456"/>
      <c r="O95" s="73"/>
      <c r="P95" s="495">
        <f>+'9. Közp. Konyha'!P83</f>
        <v>0</v>
      </c>
      <c r="Q95" s="73">
        <f>+'9. Közp. Konyha'!Q83</f>
        <v>0</v>
      </c>
      <c r="R95" s="73">
        <f>+'9. Közp. Konyha'!R83</f>
        <v>0</v>
      </c>
      <c r="S95" s="73">
        <f>+'9. Közp. Konyha'!S83</f>
        <v>0</v>
      </c>
      <c r="T95" s="496"/>
      <c r="U95" s="74"/>
    </row>
    <row r="96" spans="1:21" ht="8.1" customHeight="1" x14ac:dyDescent="0.25">
      <c r="B96" s="380" t="s">
        <v>443</v>
      </c>
      <c r="C96" s="497"/>
      <c r="D96" s="379"/>
      <c r="E96" s="379"/>
      <c r="F96" s="508"/>
      <c r="G96" s="379"/>
      <c r="H96" s="497"/>
      <c r="I96" s="379"/>
      <c r="J96" s="379"/>
      <c r="K96" s="379"/>
      <c r="L96" s="379"/>
      <c r="M96" s="379"/>
      <c r="N96" s="508"/>
      <c r="O96" s="379"/>
      <c r="P96" s="497"/>
      <c r="Q96" s="379"/>
      <c r="R96" s="379"/>
      <c r="S96" s="379"/>
      <c r="T96" s="496"/>
      <c r="U96" s="74"/>
    </row>
    <row r="97" spans="1:21" x14ac:dyDescent="0.25">
      <c r="A97" s="381" t="str">
        <f>+A88</f>
        <v>K6</v>
      </c>
      <c r="B97" s="361" t="s">
        <v>437</v>
      </c>
      <c r="C97" s="498">
        <f>SUM(C89:C96)</f>
        <v>796250000</v>
      </c>
      <c r="D97" s="362">
        <f>SUM(D89:D96)</f>
        <v>797718020</v>
      </c>
      <c r="E97" s="362">
        <f>SUM(E89:E96)</f>
        <v>746934020</v>
      </c>
      <c r="F97" s="509">
        <f>SUM(F89:F96)</f>
        <v>665947089</v>
      </c>
      <c r="G97" s="362"/>
      <c r="H97" s="498">
        <f>SUM(H89:H96)</f>
        <v>100910696</v>
      </c>
      <c r="I97" s="362">
        <f>SUM(I89:I96)</f>
        <v>179839289</v>
      </c>
      <c r="J97" s="362">
        <f>SUM(J89:J96)</f>
        <v>237832312</v>
      </c>
      <c r="K97" s="362"/>
      <c r="L97" s="362"/>
      <c r="M97" s="362"/>
      <c r="N97" s="509"/>
      <c r="O97" s="362"/>
      <c r="P97" s="498">
        <f>SUM(P89:P96)</f>
        <v>1468020</v>
      </c>
      <c r="Q97" s="362">
        <f>SUM(Q89:Q96)</f>
        <v>-50784000</v>
      </c>
      <c r="R97" s="362">
        <f>SUM(R89:R96)</f>
        <v>-80986931</v>
      </c>
      <c r="S97" s="362">
        <f>SUM(S89:S96)</f>
        <v>-49435037</v>
      </c>
      <c r="T97" s="496"/>
      <c r="U97" s="74"/>
    </row>
    <row r="98" spans="1:21" x14ac:dyDescent="0.25">
      <c r="C98" s="499"/>
      <c r="F98" s="454"/>
      <c r="H98" s="499"/>
      <c r="N98" s="496"/>
      <c r="P98" s="499"/>
      <c r="T98" s="496"/>
    </row>
    <row r="99" spans="1:21" x14ac:dyDescent="0.25">
      <c r="C99" s="499"/>
      <c r="F99" s="454"/>
      <c r="H99" s="499"/>
      <c r="N99" s="496"/>
      <c r="P99" s="499"/>
      <c r="T99" s="496"/>
    </row>
    <row r="100" spans="1:21" x14ac:dyDescent="0.25">
      <c r="A100" s="316" t="s">
        <v>169</v>
      </c>
      <c r="B100" s="316" t="str">
        <f>+'3. Önk. Kiadások'!B129</f>
        <v>Felújítások</v>
      </c>
      <c r="C100" s="495"/>
      <c r="D100" s="74"/>
      <c r="E100" s="74"/>
      <c r="F100" s="521"/>
      <c r="G100" s="74"/>
      <c r="H100" s="495"/>
      <c r="K100" s="74"/>
      <c r="L100" s="87"/>
      <c r="M100" s="87"/>
      <c r="N100" s="496"/>
      <c r="O100" s="74"/>
      <c r="P100" s="495"/>
      <c r="Q100" s="73"/>
      <c r="R100" s="73"/>
      <c r="S100" s="73"/>
      <c r="T100" s="496"/>
      <c r="U100" s="74"/>
    </row>
    <row r="101" spans="1:21" x14ac:dyDescent="0.25">
      <c r="B101" s="56" t="str">
        <f t="shared" ref="B101:B107" si="12">+B89</f>
        <v>Sülysáp Város Önkormányzata</v>
      </c>
      <c r="C101" s="495">
        <f>+'3. Önk. Kiadások'!C129</f>
        <v>198800000</v>
      </c>
      <c r="D101" s="73">
        <f>+'3. Önk. Kiadások'!D129</f>
        <v>198800000</v>
      </c>
      <c r="E101" s="73">
        <f>+'3. Önk. Kiadások'!E129</f>
        <v>197263000</v>
      </c>
      <c r="F101" s="456">
        <f>+'3. Önk. Kiadások'!F129</f>
        <v>262758288</v>
      </c>
      <c r="G101" s="74"/>
      <c r="H101" s="495">
        <f>+'3. Önk. Kiadások'!H129</f>
        <v>15737344</v>
      </c>
      <c r="I101" s="73">
        <f>+'3. Önk. Kiadások'!I129</f>
        <v>68275190</v>
      </c>
      <c r="J101" s="73">
        <f>+'3. Önk. Kiadások'!J129</f>
        <v>223547903</v>
      </c>
      <c r="K101" s="74"/>
      <c r="L101" s="87"/>
      <c r="M101" s="87"/>
      <c r="N101" s="496"/>
      <c r="O101" s="74"/>
      <c r="P101" s="495">
        <f>+'3. Önk. Kiadások'!P129</f>
        <v>0</v>
      </c>
      <c r="Q101" s="73">
        <f>+'3. Önk. Kiadások'!Q129</f>
        <v>-1537000</v>
      </c>
      <c r="R101" s="73">
        <f>+'3. Önk. Kiadások'!R129</f>
        <v>65495288</v>
      </c>
      <c r="S101" s="73">
        <f>+'3. Önk. Kiadások'!S129</f>
        <v>-1537000</v>
      </c>
      <c r="T101" s="496"/>
      <c r="U101" s="74"/>
    </row>
    <row r="102" spans="1:21" x14ac:dyDescent="0.25">
      <c r="A102" s="56"/>
      <c r="B102" s="56" t="str">
        <f t="shared" si="12"/>
        <v>Gondozási Központ</v>
      </c>
      <c r="C102" s="495">
        <f>+'4. Dr Gáspár HSZK'!C86</f>
        <v>0</v>
      </c>
      <c r="D102" s="73">
        <f>+'4. Dr Gáspár HSZK'!D86</f>
        <v>0</v>
      </c>
      <c r="E102" s="73">
        <f>+'4. Dr Gáspár HSZK'!E86</f>
        <v>0</v>
      </c>
      <c r="F102" s="456">
        <f>+'4. Dr Gáspár HSZK'!F86</f>
        <v>0</v>
      </c>
      <c r="G102" s="73"/>
      <c r="H102" s="495">
        <f>+'4. Dr Gáspár HSZK'!H86</f>
        <v>0</v>
      </c>
      <c r="I102" s="73">
        <f>+'4. Dr Gáspár HSZK'!I86</f>
        <v>0</v>
      </c>
      <c r="J102" s="73">
        <f>+'4. Dr Gáspár HSZK'!J86</f>
        <v>0</v>
      </c>
      <c r="K102" s="73"/>
      <c r="L102" s="73"/>
      <c r="M102" s="73"/>
      <c r="N102" s="456"/>
      <c r="O102" s="73"/>
      <c r="P102" s="495">
        <f>+'4. Dr Gáspár HSZK'!P86</f>
        <v>0</v>
      </c>
      <c r="Q102" s="73">
        <f>+'4. Dr Gáspár HSZK'!Q86</f>
        <v>0</v>
      </c>
      <c r="R102" s="73">
        <f>+'4. Dr Gáspár HSZK'!R86</f>
        <v>0</v>
      </c>
      <c r="S102" s="73">
        <f>+'4. Dr Gáspár HSZK'!S86</f>
        <v>0</v>
      </c>
      <c r="T102" s="496"/>
      <c r="U102" s="74"/>
    </row>
    <row r="103" spans="1:21" x14ac:dyDescent="0.25">
      <c r="B103" s="56" t="str">
        <f t="shared" si="12"/>
        <v>Csicsergő Napköziotthonos Óvoda</v>
      </c>
      <c r="C103" s="495">
        <f>+'5. Csicsergő'!C87</f>
        <v>0</v>
      </c>
      <c r="D103" s="73">
        <f>+'5. Csicsergő'!D87</f>
        <v>0</v>
      </c>
      <c r="E103" s="73">
        <f>+'5. Csicsergő'!E87</f>
        <v>0</v>
      </c>
      <c r="F103" s="456">
        <f>+'5. Csicsergő'!F87</f>
        <v>0</v>
      </c>
      <c r="G103" s="73"/>
      <c r="H103" s="495">
        <f>+'5. Csicsergő'!H87</f>
        <v>0</v>
      </c>
      <c r="I103" s="73">
        <f>+'5. Csicsergő'!I87</f>
        <v>0</v>
      </c>
      <c r="J103" s="73">
        <f>+'5. Csicsergő'!J87</f>
        <v>0</v>
      </c>
      <c r="K103" s="73"/>
      <c r="L103" s="73"/>
      <c r="M103" s="73"/>
      <c r="N103" s="456"/>
      <c r="O103" s="73"/>
      <c r="P103" s="495">
        <f>+'5. Csicsergő'!P87</f>
        <v>0</v>
      </c>
      <c r="Q103" s="73">
        <f>+'5. Csicsergő'!Q87</f>
        <v>0</v>
      </c>
      <c r="R103" s="73">
        <f>+'5. Csicsergő'!R87</f>
        <v>0</v>
      </c>
      <c r="S103" s="73">
        <f>+'5. Csicsergő'!S87</f>
        <v>0</v>
      </c>
      <c r="T103" s="496"/>
      <c r="U103" s="74"/>
    </row>
    <row r="104" spans="1:21" x14ac:dyDescent="0.25">
      <c r="B104" s="56" t="str">
        <f t="shared" si="12"/>
        <v>Gólyahír Bőlcsőde</v>
      </c>
      <c r="C104" s="495">
        <f>+'6. Gólyahír'!C86</f>
        <v>0</v>
      </c>
      <c r="D104" s="73">
        <f>+'6. Gólyahír'!D86</f>
        <v>0</v>
      </c>
      <c r="E104" s="73">
        <f>+'6. Gólyahír'!E86</f>
        <v>0</v>
      </c>
      <c r="F104" s="456">
        <f>+'6. Gólyahír'!F86</f>
        <v>0</v>
      </c>
      <c r="G104" s="73"/>
      <c r="H104" s="495">
        <f>+'6. Gólyahír'!H86</f>
        <v>0</v>
      </c>
      <c r="I104" s="73">
        <f>+'6. Gólyahír'!I86</f>
        <v>0</v>
      </c>
      <c r="J104" s="73">
        <f>+'6. Gólyahír'!J86</f>
        <v>0</v>
      </c>
      <c r="K104" s="73"/>
      <c r="L104" s="73"/>
      <c r="M104" s="73"/>
      <c r="N104" s="456"/>
      <c r="O104" s="73"/>
      <c r="P104" s="495">
        <f>+'6. Gólyahír'!P86</f>
        <v>0</v>
      </c>
      <c r="Q104" s="73">
        <f>+'6. Gólyahír'!Q86</f>
        <v>0</v>
      </c>
      <c r="R104" s="73">
        <f>+'6. Gólyahír'!R86</f>
        <v>0</v>
      </c>
      <c r="S104" s="73">
        <f>+'6. Gólyahír'!S86</f>
        <v>0</v>
      </c>
      <c r="T104" s="496"/>
      <c r="U104" s="74"/>
    </row>
    <row r="105" spans="1:21" x14ac:dyDescent="0.25">
      <c r="B105" s="56" t="str">
        <f t="shared" si="12"/>
        <v>Polgármesteri Hivatal</v>
      </c>
      <c r="C105" s="495">
        <f>+'7. Polg.Hiv.'!C86</f>
        <v>0</v>
      </c>
      <c r="D105" s="73">
        <f>+'7. Polg.Hiv.'!D86</f>
        <v>0</v>
      </c>
      <c r="E105" s="73">
        <f>+'7. Polg.Hiv.'!E86</f>
        <v>0</v>
      </c>
      <c r="F105" s="456">
        <f>+'7. Polg.Hiv.'!F86</f>
        <v>0</v>
      </c>
      <c r="G105" s="73"/>
      <c r="H105" s="495">
        <f>+'7. Polg.Hiv.'!H86</f>
        <v>0</v>
      </c>
      <c r="I105" s="73">
        <f>+'7. Polg.Hiv.'!I86</f>
        <v>0</v>
      </c>
      <c r="J105" s="73">
        <f>+'7. Polg.Hiv.'!J86</f>
        <v>0</v>
      </c>
      <c r="K105" s="73"/>
      <c r="L105" s="73"/>
      <c r="M105" s="73"/>
      <c r="N105" s="456"/>
      <c r="O105" s="73"/>
      <c r="P105" s="495">
        <f>+'7. Polg.Hiv.'!P86</f>
        <v>0</v>
      </c>
      <c r="Q105" s="73">
        <f>+'7. Polg.Hiv.'!Q86</f>
        <v>0</v>
      </c>
      <c r="R105" s="73">
        <f>+'7. Polg.Hiv.'!R86</f>
        <v>0</v>
      </c>
      <c r="S105" s="73">
        <f>+'7. Polg.Hiv.'!S86</f>
        <v>0</v>
      </c>
      <c r="T105" s="496"/>
      <c r="U105" s="74"/>
    </row>
    <row r="106" spans="1:21" x14ac:dyDescent="0.25">
      <c r="B106" s="56" t="str">
        <f t="shared" si="12"/>
        <v>Wass Albert Művelődési Központ és Könyvtár</v>
      </c>
      <c r="C106" s="495">
        <f>+'8. WAMKK'!C86</f>
        <v>0</v>
      </c>
      <c r="D106" s="73">
        <f>+'8. WAMKK'!D86</f>
        <v>0</v>
      </c>
      <c r="E106" s="73">
        <f>+'8. WAMKK'!E86</f>
        <v>0</v>
      </c>
      <c r="F106" s="456">
        <f>+'8. WAMKK'!F86</f>
        <v>0</v>
      </c>
      <c r="G106" s="73"/>
      <c r="H106" s="495">
        <f>+'8. WAMKK'!H86</f>
        <v>0</v>
      </c>
      <c r="I106" s="73">
        <f>+'8. WAMKK'!I86</f>
        <v>0</v>
      </c>
      <c r="J106" s="73">
        <f>+'8. WAMKK'!J86</f>
        <v>0</v>
      </c>
      <c r="K106" s="73"/>
      <c r="L106" s="73"/>
      <c r="M106" s="73"/>
      <c r="N106" s="456"/>
      <c r="O106" s="73"/>
      <c r="P106" s="495">
        <f>+'8. WAMKK'!P86</f>
        <v>0</v>
      </c>
      <c r="Q106" s="73">
        <f>+'8. WAMKK'!Q86</f>
        <v>0</v>
      </c>
      <c r="R106" s="73">
        <f>+'8. WAMKK'!R86</f>
        <v>0</v>
      </c>
      <c r="S106" s="73">
        <f>+'8. WAMKK'!S86</f>
        <v>0</v>
      </c>
      <c r="T106" s="496"/>
      <c r="U106" s="74"/>
    </row>
    <row r="107" spans="1:21" x14ac:dyDescent="0.25">
      <c r="B107" s="56" t="str">
        <f t="shared" si="12"/>
        <v>Központi Konyha</v>
      </c>
      <c r="C107" s="495">
        <f>+'9. Közp. Konyha'!C86</f>
        <v>0</v>
      </c>
      <c r="D107" s="73">
        <f>+'9. Közp. Konyha'!D86</f>
        <v>0</v>
      </c>
      <c r="E107" s="73">
        <f>+'9. Közp. Konyha'!E86</f>
        <v>0</v>
      </c>
      <c r="F107" s="456">
        <f>+'9. Közp. Konyha'!F86</f>
        <v>0</v>
      </c>
      <c r="G107" s="73"/>
      <c r="H107" s="495">
        <f>+'9. Közp. Konyha'!H86</f>
        <v>0</v>
      </c>
      <c r="I107" s="73">
        <f>+'9. Közp. Konyha'!I86</f>
        <v>0</v>
      </c>
      <c r="J107" s="73">
        <f>+'9. Közp. Konyha'!J86</f>
        <v>0</v>
      </c>
      <c r="K107" s="73"/>
      <c r="L107" s="73"/>
      <c r="M107" s="73"/>
      <c r="N107" s="456"/>
      <c r="O107" s="73"/>
      <c r="P107" s="495">
        <f>+'9. Közp. Konyha'!P86</f>
        <v>0</v>
      </c>
      <c r="Q107" s="73">
        <f>+'9. Közp. Konyha'!Q86</f>
        <v>0</v>
      </c>
      <c r="R107" s="73">
        <f>+'9. Közp. Konyha'!R86</f>
        <v>0</v>
      </c>
      <c r="S107" s="73">
        <f>+'9. Közp. Konyha'!S86</f>
        <v>0</v>
      </c>
      <c r="T107" s="496"/>
      <c r="U107" s="74"/>
    </row>
    <row r="108" spans="1:21" ht="8.1" customHeight="1" x14ac:dyDescent="0.25">
      <c r="B108" s="380" t="s">
        <v>443</v>
      </c>
      <c r="C108" s="497"/>
      <c r="D108" s="379"/>
      <c r="E108" s="379"/>
      <c r="F108" s="508"/>
      <c r="G108" s="379"/>
      <c r="H108" s="497"/>
      <c r="I108" s="379"/>
      <c r="J108" s="379"/>
      <c r="K108" s="379"/>
      <c r="L108" s="379"/>
      <c r="M108" s="379"/>
      <c r="N108" s="508"/>
      <c r="O108" s="379"/>
      <c r="P108" s="497"/>
      <c r="Q108" s="379"/>
      <c r="R108" s="379"/>
      <c r="S108" s="379"/>
      <c r="T108" s="496"/>
      <c r="U108" s="74"/>
    </row>
    <row r="109" spans="1:21" x14ac:dyDescent="0.25">
      <c r="A109" s="381" t="str">
        <f>+A100</f>
        <v>K7</v>
      </c>
      <c r="B109" s="361" t="s">
        <v>437</v>
      </c>
      <c r="C109" s="498">
        <f>SUM(C101:C108)</f>
        <v>198800000</v>
      </c>
      <c r="D109" s="362">
        <f>SUM(D101:D108)</f>
        <v>198800000</v>
      </c>
      <c r="E109" s="362">
        <f>SUM(E101:E108)</f>
        <v>197263000</v>
      </c>
      <c r="F109" s="509">
        <f>SUM(F101:F108)</f>
        <v>262758288</v>
      </c>
      <c r="G109" s="362"/>
      <c r="H109" s="498">
        <f>SUM(H101:H108)</f>
        <v>15737344</v>
      </c>
      <c r="I109" s="362">
        <f>SUM(I101:I108)</f>
        <v>68275190</v>
      </c>
      <c r="J109" s="362">
        <f>SUM(J101:J108)</f>
        <v>223547903</v>
      </c>
      <c r="K109" s="362"/>
      <c r="L109" s="362"/>
      <c r="M109" s="362"/>
      <c r="N109" s="509"/>
      <c r="O109" s="362"/>
      <c r="P109" s="498">
        <f>SUM(P101:P108)</f>
        <v>0</v>
      </c>
      <c r="Q109" s="362">
        <f>SUM(Q101:Q108)</f>
        <v>-1537000</v>
      </c>
      <c r="R109" s="362">
        <f>SUM(R101:R108)</f>
        <v>65495288</v>
      </c>
      <c r="S109" s="362">
        <f>SUM(S101:S108)</f>
        <v>-1537000</v>
      </c>
      <c r="T109" s="496"/>
      <c r="U109" s="74"/>
    </row>
    <row r="110" spans="1:21" x14ac:dyDescent="0.25">
      <c r="C110" s="499"/>
      <c r="F110" s="454"/>
      <c r="H110" s="499"/>
      <c r="N110" s="496"/>
      <c r="P110" s="499"/>
      <c r="T110" s="496"/>
    </row>
    <row r="111" spans="1:21" x14ac:dyDescent="0.25">
      <c r="C111" s="499"/>
      <c r="F111" s="454"/>
      <c r="H111" s="499"/>
      <c r="N111" s="496"/>
      <c r="P111" s="499"/>
      <c r="T111" s="496"/>
    </row>
    <row r="112" spans="1:21" x14ac:dyDescent="0.25">
      <c r="A112" s="316" t="s">
        <v>179</v>
      </c>
      <c r="B112" s="316" t="str">
        <f>+'3. Önk. Kiadások'!B135</f>
        <v>Egyéb felhalmozási célú kiadások</v>
      </c>
      <c r="C112" s="495"/>
      <c r="D112" s="74"/>
      <c r="E112" s="74"/>
      <c r="F112" s="521"/>
      <c r="G112" s="74"/>
      <c r="H112" s="495"/>
      <c r="K112" s="74"/>
      <c r="L112" s="87"/>
      <c r="M112" s="87"/>
      <c r="N112" s="496"/>
      <c r="O112" s="74"/>
      <c r="P112" s="495"/>
      <c r="Q112" s="73"/>
      <c r="R112" s="73"/>
      <c r="S112" s="73"/>
      <c r="T112" s="496"/>
      <c r="U112" s="74"/>
    </row>
    <row r="113" spans="1:21" x14ac:dyDescent="0.25">
      <c r="B113" s="56" t="str">
        <f t="shared" ref="B113:B119" si="13">+B101</f>
        <v>Sülysáp Város Önkormányzata</v>
      </c>
      <c r="C113" s="495">
        <f>+'3. Önk. Kiadások'!C135</f>
        <v>0</v>
      </c>
      <c r="D113" s="73">
        <f>+'3. Önk. Kiadások'!D135</f>
        <v>0</v>
      </c>
      <c r="E113" s="73">
        <f>+'3. Önk. Kiadások'!E135</f>
        <v>0</v>
      </c>
      <c r="F113" s="456">
        <f>+'3. Önk. Kiadások'!F135</f>
        <v>0</v>
      </c>
      <c r="G113" s="74"/>
      <c r="H113" s="495">
        <f>+'3. Önk. Kiadások'!H135</f>
        <v>0</v>
      </c>
      <c r="I113" s="73">
        <f>+'3. Önk. Kiadások'!I135</f>
        <v>0</v>
      </c>
      <c r="J113" s="73">
        <f>+'3. Önk. Kiadások'!J135</f>
        <v>0</v>
      </c>
      <c r="K113" s="74"/>
      <c r="L113" s="87"/>
      <c r="M113" s="87"/>
      <c r="N113" s="496"/>
      <c r="O113" s="74"/>
      <c r="P113" s="495">
        <f>+'3. Önk. Kiadások'!P135</f>
        <v>0</v>
      </c>
      <c r="Q113" s="73">
        <f>+'3. Önk. Kiadások'!Q135</f>
        <v>0</v>
      </c>
      <c r="R113" s="73">
        <f>+'3. Önk. Kiadások'!R135</f>
        <v>0</v>
      </c>
      <c r="S113" s="73">
        <f>+'3. Önk. Kiadások'!S135</f>
        <v>0</v>
      </c>
      <c r="T113" s="496"/>
      <c r="U113" s="74"/>
    </row>
    <row r="114" spans="1:21" x14ac:dyDescent="0.25">
      <c r="A114" s="56"/>
      <c r="B114" s="56" t="str">
        <f t="shared" si="13"/>
        <v>Gondozási Központ</v>
      </c>
      <c r="C114" s="495"/>
      <c r="D114" s="73"/>
      <c r="E114" s="73"/>
      <c r="F114" s="456"/>
      <c r="G114" s="73"/>
      <c r="H114" s="495"/>
      <c r="I114" s="73"/>
      <c r="J114" s="73"/>
      <c r="K114" s="73"/>
      <c r="L114" s="73"/>
      <c r="M114" s="73"/>
      <c r="N114" s="456"/>
      <c r="O114" s="73"/>
      <c r="P114" s="495"/>
      <c r="Q114" s="73"/>
      <c r="R114" s="73"/>
      <c r="S114" s="73"/>
      <c r="T114" s="496"/>
      <c r="U114" s="74"/>
    </row>
    <row r="115" spans="1:21" x14ac:dyDescent="0.25">
      <c r="B115" s="56" t="str">
        <f t="shared" si="13"/>
        <v>Csicsergő Napköziotthonos Óvoda</v>
      </c>
      <c r="C115" s="495"/>
      <c r="D115" s="73"/>
      <c r="E115" s="73"/>
      <c r="F115" s="456"/>
      <c r="G115" s="73"/>
      <c r="H115" s="495"/>
      <c r="I115" s="73"/>
      <c r="J115" s="73"/>
      <c r="K115" s="73"/>
      <c r="L115" s="73"/>
      <c r="M115" s="73"/>
      <c r="N115" s="456"/>
      <c r="O115" s="73"/>
      <c r="P115" s="495"/>
      <c r="Q115" s="73"/>
      <c r="R115" s="73"/>
      <c r="S115" s="73"/>
      <c r="T115" s="496"/>
      <c r="U115" s="74"/>
    </row>
    <row r="116" spans="1:21" x14ac:dyDescent="0.25">
      <c r="B116" s="56" t="str">
        <f t="shared" si="13"/>
        <v>Gólyahír Bőlcsőde</v>
      </c>
      <c r="C116" s="495"/>
      <c r="D116" s="73"/>
      <c r="E116" s="73"/>
      <c r="F116" s="456"/>
      <c r="G116" s="73"/>
      <c r="H116" s="495"/>
      <c r="I116" s="73"/>
      <c r="J116" s="73"/>
      <c r="K116" s="73"/>
      <c r="L116" s="73"/>
      <c r="M116" s="73"/>
      <c r="N116" s="456"/>
      <c r="O116" s="73"/>
      <c r="P116" s="495"/>
      <c r="Q116" s="73"/>
      <c r="R116" s="73"/>
      <c r="S116" s="73"/>
      <c r="T116" s="496"/>
      <c r="U116" s="74"/>
    </row>
    <row r="117" spans="1:21" x14ac:dyDescent="0.25">
      <c r="B117" s="56" t="str">
        <f t="shared" si="13"/>
        <v>Polgármesteri Hivatal</v>
      </c>
      <c r="C117" s="495"/>
      <c r="D117" s="73"/>
      <c r="E117" s="73"/>
      <c r="F117" s="456"/>
      <c r="G117" s="73"/>
      <c r="H117" s="495"/>
      <c r="I117" s="73"/>
      <c r="J117" s="73"/>
      <c r="K117" s="73"/>
      <c r="L117" s="73"/>
      <c r="M117" s="73"/>
      <c r="N117" s="456"/>
      <c r="O117" s="73"/>
      <c r="P117" s="495"/>
      <c r="Q117" s="73"/>
      <c r="R117" s="73"/>
      <c r="S117" s="73"/>
      <c r="T117" s="496"/>
      <c r="U117" s="74"/>
    </row>
    <row r="118" spans="1:21" x14ac:dyDescent="0.25">
      <c r="B118" s="56" t="str">
        <f t="shared" si="13"/>
        <v>Wass Albert Művelődési Központ és Könyvtár</v>
      </c>
      <c r="C118" s="495"/>
      <c r="D118" s="73"/>
      <c r="E118" s="73"/>
      <c r="F118" s="456"/>
      <c r="G118" s="73"/>
      <c r="H118" s="495"/>
      <c r="I118" s="73"/>
      <c r="J118" s="73"/>
      <c r="K118" s="73"/>
      <c r="L118" s="73"/>
      <c r="M118" s="73"/>
      <c r="N118" s="456"/>
      <c r="O118" s="73"/>
      <c r="P118" s="495"/>
      <c r="Q118" s="73"/>
      <c r="R118" s="73"/>
      <c r="S118" s="73"/>
      <c r="T118" s="496"/>
      <c r="U118" s="74"/>
    </row>
    <row r="119" spans="1:21" x14ac:dyDescent="0.25">
      <c r="B119" s="56" t="str">
        <f t="shared" si="13"/>
        <v>Központi Konyha</v>
      </c>
      <c r="C119" s="495"/>
      <c r="D119" s="73"/>
      <c r="E119" s="73"/>
      <c r="F119" s="456"/>
      <c r="G119" s="73"/>
      <c r="H119" s="495"/>
      <c r="I119" s="73"/>
      <c r="J119" s="73"/>
      <c r="K119" s="73"/>
      <c r="L119" s="73"/>
      <c r="M119" s="73"/>
      <c r="N119" s="456"/>
      <c r="O119" s="73"/>
      <c r="P119" s="495"/>
      <c r="Q119" s="73"/>
      <c r="R119" s="73"/>
      <c r="S119" s="73"/>
      <c r="T119" s="496"/>
      <c r="U119" s="74"/>
    </row>
    <row r="120" spans="1:21" ht="8.1" customHeight="1" x14ac:dyDescent="0.25">
      <c r="B120" s="380" t="s">
        <v>443</v>
      </c>
      <c r="C120" s="497"/>
      <c r="D120" s="379"/>
      <c r="E120" s="379"/>
      <c r="F120" s="508"/>
      <c r="G120" s="379"/>
      <c r="H120" s="497"/>
      <c r="I120" s="379"/>
      <c r="J120" s="379"/>
      <c r="K120" s="379"/>
      <c r="L120" s="379"/>
      <c r="M120" s="379"/>
      <c r="N120" s="508"/>
      <c r="O120" s="379"/>
      <c r="P120" s="497"/>
      <c r="Q120" s="379"/>
      <c r="R120" s="379"/>
      <c r="S120" s="379"/>
      <c r="T120" s="496"/>
      <c r="U120" s="74"/>
    </row>
    <row r="121" spans="1:21" x14ac:dyDescent="0.25">
      <c r="A121" s="381" t="str">
        <f>+A112</f>
        <v>K8</v>
      </c>
      <c r="B121" s="361" t="s">
        <v>437</v>
      </c>
      <c r="C121" s="498">
        <f>SUM(C113:C120)</f>
        <v>0</v>
      </c>
      <c r="D121" s="362">
        <f>SUM(D113:D120)</f>
        <v>0</v>
      </c>
      <c r="E121" s="362">
        <f>SUM(E113:E120)</f>
        <v>0</v>
      </c>
      <c r="F121" s="509">
        <f>SUM(F113:F120)</f>
        <v>0</v>
      </c>
      <c r="G121" s="362"/>
      <c r="H121" s="498">
        <f>SUM(H113:H120)</f>
        <v>0</v>
      </c>
      <c r="I121" s="362">
        <f>SUM(I113:I120)</f>
        <v>0</v>
      </c>
      <c r="J121" s="362">
        <f>SUM(J113:J120)</f>
        <v>0</v>
      </c>
      <c r="K121" s="362"/>
      <c r="L121" s="362"/>
      <c r="M121" s="362"/>
      <c r="N121" s="509"/>
      <c r="O121" s="362"/>
      <c r="P121" s="498">
        <f>SUM(P113:P120)</f>
        <v>0</v>
      </c>
      <c r="Q121" s="362">
        <f>SUM(Q113:Q120)</f>
        <v>0</v>
      </c>
      <c r="R121" s="362">
        <f>SUM(R113:R120)</f>
        <v>0</v>
      </c>
      <c r="S121" s="362">
        <f>SUM(S113:S120)</f>
        <v>0</v>
      </c>
      <c r="T121" s="496"/>
      <c r="U121" s="74"/>
    </row>
    <row r="122" spans="1:21" x14ac:dyDescent="0.25">
      <c r="C122" s="499"/>
      <c r="F122" s="454"/>
      <c r="H122" s="499"/>
      <c r="N122" s="496"/>
      <c r="P122" s="499"/>
      <c r="T122" s="496"/>
    </row>
    <row r="123" spans="1:21" x14ac:dyDescent="0.25">
      <c r="C123" s="499"/>
      <c r="F123" s="454"/>
      <c r="H123" s="499"/>
      <c r="N123" s="496"/>
      <c r="P123" s="499"/>
      <c r="T123" s="496"/>
    </row>
    <row r="124" spans="1:21" x14ac:dyDescent="0.25">
      <c r="A124" s="316" t="s">
        <v>197</v>
      </c>
      <c r="B124" s="316" t="str">
        <f>+'3. Önk. Kiadások'!B145</f>
        <v>Finanszírozási kiadások</v>
      </c>
      <c r="C124" s="495"/>
      <c r="D124" s="74"/>
      <c r="E124" s="74"/>
      <c r="F124" s="521"/>
      <c r="G124" s="74"/>
      <c r="H124" s="495"/>
      <c r="K124" s="74"/>
      <c r="L124" s="87"/>
      <c r="M124" s="87"/>
      <c r="N124" s="496"/>
      <c r="O124" s="74"/>
      <c r="P124" s="495"/>
      <c r="Q124" s="73"/>
      <c r="R124" s="73"/>
      <c r="S124" s="73"/>
      <c r="T124" s="496"/>
      <c r="U124" s="74"/>
    </row>
    <row r="125" spans="1:21" x14ac:dyDescent="0.25">
      <c r="B125" s="56" t="str">
        <f t="shared" ref="B125:B131" si="14">+B113</f>
        <v>Sülysáp Város Önkormányzata</v>
      </c>
      <c r="C125" s="495">
        <f>+'3. Önk. Kiadások'!C145</f>
        <v>535243607.02999997</v>
      </c>
      <c r="D125" s="73">
        <f>+'3. Önk. Kiadások'!D145</f>
        <v>544090785</v>
      </c>
      <c r="E125" s="73">
        <f>+'3. Önk. Kiadások'!E145</f>
        <v>547364785</v>
      </c>
      <c r="F125" s="456">
        <f>+'3. Önk. Kiadások'!F145</f>
        <v>531647428</v>
      </c>
      <c r="G125" s="74"/>
      <c r="H125" s="495">
        <f>+'3. Önk. Kiadások'!H145</f>
        <v>277698930</v>
      </c>
      <c r="I125" s="73">
        <f>+'3. Önk. Kiadások'!I145</f>
        <v>402220672</v>
      </c>
      <c r="J125" s="73">
        <f>+'3. Önk. Kiadások'!J145</f>
        <v>531647428</v>
      </c>
      <c r="K125" s="74"/>
      <c r="L125" s="87"/>
      <c r="M125" s="87"/>
      <c r="N125" s="496"/>
      <c r="O125" s="74"/>
      <c r="P125" s="495">
        <f>+'3. Önk. Kiadások'!P145</f>
        <v>8847177.9700000286</v>
      </c>
      <c r="Q125" s="73">
        <f>+'3. Önk. Kiadások'!Q145</f>
        <v>3274000</v>
      </c>
      <c r="R125" s="73">
        <f>+'3. Önk. Kiadások'!R145</f>
        <v>-15717357</v>
      </c>
      <c r="S125" s="73">
        <f>+'3. Önk. Kiadások'!S145</f>
        <v>12121177.970000029</v>
      </c>
      <c r="T125" s="496"/>
      <c r="U125" s="74"/>
    </row>
    <row r="126" spans="1:21" x14ac:dyDescent="0.25">
      <c r="A126" s="56"/>
      <c r="B126" s="56" t="str">
        <f t="shared" si="14"/>
        <v>Gondozási Központ</v>
      </c>
      <c r="C126" s="495"/>
      <c r="D126" s="73"/>
      <c r="E126" s="73"/>
      <c r="F126" s="456"/>
      <c r="G126" s="73"/>
      <c r="H126" s="495"/>
      <c r="I126" s="73"/>
      <c r="J126" s="73"/>
      <c r="K126" s="73"/>
      <c r="L126" s="73"/>
      <c r="M126" s="73"/>
      <c r="N126" s="456"/>
      <c r="O126" s="73"/>
      <c r="P126" s="495"/>
      <c r="Q126" s="73"/>
      <c r="R126" s="73"/>
      <c r="S126" s="73"/>
      <c r="T126" s="496"/>
      <c r="U126" s="74"/>
    </row>
    <row r="127" spans="1:21" x14ac:dyDescent="0.25">
      <c r="B127" s="56" t="str">
        <f t="shared" si="14"/>
        <v>Csicsergő Napköziotthonos Óvoda</v>
      </c>
      <c r="C127" s="495"/>
      <c r="D127" s="73"/>
      <c r="E127" s="73"/>
      <c r="F127" s="456"/>
      <c r="G127" s="73"/>
      <c r="H127" s="495"/>
      <c r="I127" s="73"/>
      <c r="J127" s="73"/>
      <c r="K127" s="73"/>
      <c r="L127" s="73"/>
      <c r="M127" s="73"/>
      <c r="N127" s="456"/>
      <c r="O127" s="73"/>
      <c r="P127" s="495"/>
      <c r="Q127" s="73"/>
      <c r="R127" s="73"/>
      <c r="S127" s="73"/>
      <c r="T127" s="496"/>
      <c r="U127" s="74"/>
    </row>
    <row r="128" spans="1:21" x14ac:dyDescent="0.25">
      <c r="B128" s="56" t="str">
        <f t="shared" si="14"/>
        <v>Gólyahír Bőlcsőde</v>
      </c>
      <c r="C128" s="495"/>
      <c r="D128" s="73"/>
      <c r="E128" s="73"/>
      <c r="F128" s="456"/>
      <c r="G128" s="73"/>
      <c r="H128" s="495"/>
      <c r="I128" s="73"/>
      <c r="J128" s="73"/>
      <c r="K128" s="73"/>
      <c r="L128" s="73"/>
      <c r="M128" s="73"/>
      <c r="N128" s="456"/>
      <c r="O128" s="73"/>
      <c r="P128" s="495"/>
      <c r="Q128" s="73"/>
      <c r="R128" s="73"/>
      <c r="S128" s="73"/>
      <c r="T128" s="496"/>
      <c r="U128" s="74"/>
    </row>
    <row r="129" spans="1:21" x14ac:dyDescent="0.25">
      <c r="B129" s="56" t="str">
        <f t="shared" si="14"/>
        <v>Polgármesteri Hivatal</v>
      </c>
      <c r="C129" s="495"/>
      <c r="D129" s="73"/>
      <c r="E129" s="73"/>
      <c r="F129" s="456"/>
      <c r="G129" s="73"/>
      <c r="H129" s="495"/>
      <c r="I129" s="73"/>
      <c r="J129" s="73"/>
      <c r="K129" s="73"/>
      <c r="L129" s="73"/>
      <c r="M129" s="73"/>
      <c r="N129" s="456"/>
      <c r="O129" s="73"/>
      <c r="P129" s="495"/>
      <c r="Q129" s="73"/>
      <c r="R129" s="73"/>
      <c r="S129" s="73"/>
      <c r="T129" s="496"/>
      <c r="U129" s="74"/>
    </row>
    <row r="130" spans="1:21" x14ac:dyDescent="0.25">
      <c r="B130" s="56" t="str">
        <f t="shared" si="14"/>
        <v>Wass Albert Művelődési Központ és Könyvtár</v>
      </c>
      <c r="C130" s="495"/>
      <c r="D130" s="73"/>
      <c r="E130" s="73"/>
      <c r="F130" s="456"/>
      <c r="G130" s="73"/>
      <c r="H130" s="495"/>
      <c r="I130" s="73"/>
      <c r="J130" s="73"/>
      <c r="K130" s="73"/>
      <c r="L130" s="73"/>
      <c r="M130" s="73"/>
      <c r="N130" s="456"/>
      <c r="O130" s="73"/>
      <c r="P130" s="495"/>
      <c r="Q130" s="73"/>
      <c r="R130" s="73"/>
      <c r="S130" s="73"/>
      <c r="T130" s="496"/>
      <c r="U130" s="74"/>
    </row>
    <row r="131" spans="1:21" x14ac:dyDescent="0.25">
      <c r="B131" s="56" t="str">
        <f t="shared" si="14"/>
        <v>Központi Konyha</v>
      </c>
      <c r="C131" s="495"/>
      <c r="D131" s="73"/>
      <c r="E131" s="73"/>
      <c r="F131" s="456"/>
      <c r="G131" s="73"/>
      <c r="H131" s="495"/>
      <c r="I131" s="73"/>
      <c r="J131" s="73"/>
      <c r="K131" s="73"/>
      <c r="L131" s="73"/>
      <c r="M131" s="73"/>
      <c r="N131" s="456"/>
      <c r="O131" s="73"/>
      <c r="P131" s="495"/>
      <c r="Q131" s="73"/>
      <c r="R131" s="73"/>
      <c r="S131" s="73"/>
      <c r="T131" s="496"/>
      <c r="U131" s="74"/>
    </row>
    <row r="132" spans="1:21" ht="8.1" customHeight="1" x14ac:dyDescent="0.25">
      <c r="B132" s="380" t="s">
        <v>443</v>
      </c>
      <c r="C132" s="497"/>
      <c r="D132" s="379"/>
      <c r="E132" s="379"/>
      <c r="F132" s="508"/>
      <c r="G132" s="379"/>
      <c r="H132" s="497"/>
      <c r="I132" s="379"/>
      <c r="J132" s="379"/>
      <c r="K132" s="379"/>
      <c r="L132" s="379"/>
      <c r="M132" s="379"/>
      <c r="N132" s="508"/>
      <c r="O132" s="379"/>
      <c r="P132" s="497"/>
      <c r="Q132" s="379"/>
      <c r="R132" s="379"/>
      <c r="S132" s="379"/>
      <c r="T132" s="496"/>
      <c r="U132" s="74"/>
    </row>
    <row r="133" spans="1:21" x14ac:dyDescent="0.25">
      <c r="A133" s="381" t="str">
        <f>+A124</f>
        <v>K9</v>
      </c>
      <c r="B133" s="361" t="s">
        <v>437</v>
      </c>
      <c r="C133" s="498">
        <f>SUM(C125:C132)</f>
        <v>535243607.02999997</v>
      </c>
      <c r="D133" s="362">
        <f>SUM(D125:D132)</f>
        <v>544090785</v>
      </c>
      <c r="E133" s="362">
        <f>SUM(E125:E132)</f>
        <v>547364785</v>
      </c>
      <c r="F133" s="509">
        <f>SUM(F125:F132)</f>
        <v>531647428</v>
      </c>
      <c r="G133" s="362"/>
      <c r="H133" s="498">
        <f>SUM(H125:H132)</f>
        <v>277698930</v>
      </c>
      <c r="I133" s="362">
        <f>SUM(I125:I132)</f>
        <v>402220672</v>
      </c>
      <c r="J133" s="362">
        <f>SUM(J125:J132)</f>
        <v>531647428</v>
      </c>
      <c r="K133" s="362"/>
      <c r="L133" s="362"/>
      <c r="M133" s="362"/>
      <c r="N133" s="509"/>
      <c r="O133" s="362"/>
      <c r="P133" s="498">
        <f>SUM(P125:P132)</f>
        <v>8847177.9700000286</v>
      </c>
      <c r="Q133" s="362">
        <f>SUM(Q125:Q132)</f>
        <v>3274000</v>
      </c>
      <c r="R133" s="362">
        <f>SUM(R125:R132)</f>
        <v>-15717357</v>
      </c>
      <c r="S133" s="362">
        <f>SUM(S125:S132)</f>
        <v>12121177.970000029</v>
      </c>
      <c r="T133" s="496"/>
      <c r="U133" s="74"/>
    </row>
    <row r="134" spans="1:21" x14ac:dyDescent="0.25">
      <c r="C134" s="499"/>
      <c r="F134" s="454"/>
      <c r="H134" s="499"/>
      <c r="N134" s="496"/>
      <c r="P134" s="499"/>
      <c r="T134" s="496"/>
    </row>
    <row r="135" spans="1:21" x14ac:dyDescent="0.25">
      <c r="C135" s="499"/>
      <c r="F135" s="454"/>
      <c r="H135" s="499"/>
      <c r="N135" s="496"/>
      <c r="P135" s="499"/>
      <c r="T135" s="496"/>
    </row>
    <row r="136" spans="1:21" x14ac:dyDescent="0.25">
      <c r="A136" s="316" t="s">
        <v>355</v>
      </c>
      <c r="B136" s="316" t="str">
        <f>+'4. Dr Gáspár HSZK'!B100</f>
        <v>Központi, irányító szervi támogatás</v>
      </c>
      <c r="C136" s="522" t="s">
        <v>439</v>
      </c>
      <c r="D136" s="74"/>
      <c r="E136" s="74"/>
      <c r="F136" s="521"/>
      <c r="G136" s="74"/>
      <c r="H136" s="495"/>
      <c r="K136" s="74"/>
      <c r="L136" s="87"/>
      <c r="M136" s="87"/>
      <c r="N136" s="496"/>
      <c r="O136" s="74"/>
      <c r="P136" s="495"/>
      <c r="Q136" s="73"/>
      <c r="R136" s="73"/>
      <c r="S136" s="73"/>
      <c r="T136" s="496"/>
      <c r="U136" s="74"/>
    </row>
    <row r="137" spans="1:21" x14ac:dyDescent="0.25">
      <c r="B137" s="56" t="str">
        <f t="shared" ref="B137:B143" si="15">+B125</f>
        <v>Sülysáp Város Önkormányzata</v>
      </c>
      <c r="C137" s="495"/>
      <c r="D137" s="73"/>
      <c r="E137" s="73"/>
      <c r="F137" s="456"/>
      <c r="G137" s="74"/>
      <c r="H137" s="495"/>
      <c r="I137" s="73"/>
      <c r="J137" s="73"/>
      <c r="K137" s="74"/>
      <c r="L137" s="87"/>
      <c r="M137" s="87"/>
      <c r="N137" s="496"/>
      <c r="O137" s="74"/>
      <c r="P137" s="495"/>
      <c r="Q137" s="73"/>
      <c r="R137" s="73"/>
      <c r="S137" s="73"/>
      <c r="T137" s="496"/>
      <c r="U137" s="74"/>
    </row>
    <row r="138" spans="1:21" x14ac:dyDescent="0.25">
      <c r="A138" s="56"/>
      <c r="B138" s="56" t="str">
        <f t="shared" si="15"/>
        <v>Gondozási Központ</v>
      </c>
      <c r="C138" s="495">
        <f>+'4. Dr Gáspár HSZK'!C100</f>
        <v>33628310.030000001</v>
      </c>
      <c r="D138" s="73">
        <f>+'4. Dr Gáspár HSZK'!D100</f>
        <v>32959488</v>
      </c>
      <c r="E138" s="73">
        <f>+'4. Dr Gáspár HSZK'!E100</f>
        <v>32959488</v>
      </c>
      <c r="F138" s="456">
        <f>+'4. Dr Gáspár HSZK'!F100</f>
        <v>31264182</v>
      </c>
      <c r="G138" s="73"/>
      <c r="H138" s="495">
        <f>+'4. Dr Gáspár HSZK'!H100</f>
        <v>15328283</v>
      </c>
      <c r="I138" s="73">
        <f>+'4. Dr Gáspár HSZK'!I100</f>
        <v>23495274</v>
      </c>
      <c r="J138" s="73">
        <f>+'4. Dr Gáspár HSZK'!J100</f>
        <v>31264182</v>
      </c>
      <c r="K138" s="73"/>
      <c r="L138" s="73"/>
      <c r="M138" s="73"/>
      <c r="N138" s="456"/>
      <c r="O138" s="73"/>
      <c r="P138" s="495">
        <f>+'4. Dr Gáspár HSZK'!P100</f>
        <v>-668822.03000000119</v>
      </c>
      <c r="Q138" s="73">
        <f>+'4. Dr Gáspár HSZK'!Q100</f>
        <v>0</v>
      </c>
      <c r="R138" s="73">
        <f>+'4. Dr Gáspár HSZK'!R100</f>
        <v>-1695306</v>
      </c>
      <c r="S138" s="73">
        <f>+'4. Dr Gáspár HSZK'!S100</f>
        <v>-2364128.0300000012</v>
      </c>
      <c r="T138" s="496"/>
      <c r="U138" s="74"/>
    </row>
    <row r="139" spans="1:21" x14ac:dyDescent="0.25">
      <c r="B139" s="56" t="str">
        <f t="shared" si="15"/>
        <v>Csicsergő Napköziotthonos Óvoda</v>
      </c>
      <c r="C139" s="495">
        <f>+'5. Csicsergő'!C100</f>
        <v>191656859</v>
      </c>
      <c r="D139" s="73">
        <f>+'5. Csicsergő'!D100</f>
        <v>191656859</v>
      </c>
      <c r="E139" s="73">
        <f>+'5. Csicsergő'!E100</f>
        <v>191656859</v>
      </c>
      <c r="F139" s="456">
        <f>+'5. Csicsergő'!F100</f>
        <v>188255193</v>
      </c>
      <c r="G139" s="73"/>
      <c r="H139" s="495">
        <f>+'5. Csicsergő'!H100</f>
        <v>92579361</v>
      </c>
      <c r="I139" s="73">
        <f>+'5. Csicsergő'!I100</f>
        <v>138740413</v>
      </c>
      <c r="J139" s="73">
        <f>+'5. Csicsergő'!J100</f>
        <v>188255193</v>
      </c>
      <c r="K139" s="73"/>
      <c r="L139" s="73"/>
      <c r="M139" s="73"/>
      <c r="N139" s="456"/>
      <c r="O139" s="73"/>
      <c r="P139" s="495">
        <f>+'5. Csicsergő'!P100</f>
        <v>0</v>
      </c>
      <c r="Q139" s="73">
        <f>+'5. Csicsergő'!Q100</f>
        <v>0</v>
      </c>
      <c r="R139" s="73">
        <f>+'5. Csicsergő'!R100</f>
        <v>-3401666</v>
      </c>
      <c r="S139" s="73">
        <f>+'5. Csicsergő'!S100</f>
        <v>-3401666</v>
      </c>
      <c r="T139" s="496"/>
      <c r="U139" s="74"/>
    </row>
    <row r="140" spans="1:21" x14ac:dyDescent="0.25">
      <c r="B140" s="56" t="str">
        <f t="shared" si="15"/>
        <v>Gólyahír Bőlcsőde</v>
      </c>
      <c r="C140" s="495">
        <f>+'6. Gólyahír'!C100</f>
        <v>59311639</v>
      </c>
      <c r="D140" s="73">
        <f>+'6. Gólyahír'!D100</f>
        <v>59311639</v>
      </c>
      <c r="E140" s="73">
        <f>+'6. Gólyahír'!E100</f>
        <v>59311639</v>
      </c>
      <c r="F140" s="456">
        <f>+'6. Gólyahír'!F100</f>
        <v>58548052</v>
      </c>
      <c r="G140" s="73"/>
      <c r="H140" s="495">
        <f>+'6. Gólyahír'!H100</f>
        <v>33204714</v>
      </c>
      <c r="I140" s="73">
        <f>+'6. Gólyahír'!I100</f>
        <v>45691064</v>
      </c>
      <c r="J140" s="73">
        <f>+'6. Gólyahír'!J100</f>
        <v>58548052</v>
      </c>
      <c r="K140" s="73"/>
      <c r="L140" s="73"/>
      <c r="M140" s="73"/>
      <c r="N140" s="456"/>
      <c r="O140" s="73"/>
      <c r="P140" s="495">
        <f>+'6. Gólyahír'!P100</f>
        <v>0</v>
      </c>
      <c r="Q140" s="73">
        <f>+'6. Gólyahír'!Q100</f>
        <v>0</v>
      </c>
      <c r="R140" s="73">
        <f>+'6. Gólyahír'!R100</f>
        <v>-763587</v>
      </c>
      <c r="S140" s="73">
        <f>+'6. Gólyahír'!S100</f>
        <v>-763587</v>
      </c>
      <c r="T140" s="496"/>
      <c r="U140" s="74"/>
    </row>
    <row r="141" spans="1:21" x14ac:dyDescent="0.25">
      <c r="B141" s="56" t="str">
        <f t="shared" si="15"/>
        <v>Polgármesteri Hivatal</v>
      </c>
      <c r="C141" s="495">
        <f>+'7. Polg.Hiv.'!C100</f>
        <v>132994717</v>
      </c>
      <c r="D141" s="73">
        <f>+'7. Polg.Hiv.'!D100</f>
        <v>142510717</v>
      </c>
      <c r="E141" s="73">
        <f>+'7. Polg.Hiv.'!E100</f>
        <v>142510717</v>
      </c>
      <c r="F141" s="456">
        <f>+'7. Polg.Hiv.'!F100</f>
        <v>134301411</v>
      </c>
      <c r="G141" s="73"/>
      <c r="H141" s="495">
        <f>+'7. Polg.Hiv.'!H100</f>
        <v>68609214</v>
      </c>
      <c r="I141" s="73">
        <f>+'7. Polg.Hiv.'!I100</f>
        <v>99619603</v>
      </c>
      <c r="J141" s="73">
        <f>+'7. Polg.Hiv.'!J100</f>
        <v>134301411</v>
      </c>
      <c r="K141" s="73"/>
      <c r="L141" s="73"/>
      <c r="M141" s="73"/>
      <c r="N141" s="456"/>
      <c r="O141" s="73"/>
      <c r="P141" s="495">
        <f>+'7. Polg.Hiv.'!P100</f>
        <v>9516000</v>
      </c>
      <c r="Q141" s="73">
        <f>+'7. Polg.Hiv.'!Q100</f>
        <v>0</v>
      </c>
      <c r="R141" s="73">
        <f>+'7. Polg.Hiv.'!R100</f>
        <v>-8209306</v>
      </c>
      <c r="S141" s="73">
        <f>+'7. Polg.Hiv.'!S100</f>
        <v>1306694</v>
      </c>
      <c r="T141" s="496"/>
      <c r="U141" s="74"/>
    </row>
    <row r="142" spans="1:21" x14ac:dyDescent="0.25">
      <c r="B142" s="56" t="str">
        <f t="shared" si="15"/>
        <v>Wass Albert Művelődési Központ és Könyvtár</v>
      </c>
      <c r="C142" s="495">
        <f>+'8. WAMKK'!C100</f>
        <v>28334588</v>
      </c>
      <c r="D142" s="73">
        <f>+'8. WAMKK'!D100</f>
        <v>28334588</v>
      </c>
      <c r="E142" s="73">
        <f>+'8. WAMKK'!E100</f>
        <v>31608588</v>
      </c>
      <c r="F142" s="456">
        <f>+'8. WAMKK'!F100</f>
        <v>28599060</v>
      </c>
      <c r="G142" s="73"/>
      <c r="H142" s="495">
        <f>+'8. WAMKK'!H100</f>
        <v>11496302</v>
      </c>
      <c r="I142" s="73">
        <f>+'8. WAMKK'!I100</f>
        <v>24377110</v>
      </c>
      <c r="J142" s="73">
        <f>+'8. WAMKK'!J100</f>
        <v>28599060</v>
      </c>
      <c r="K142" s="73"/>
      <c r="L142" s="73"/>
      <c r="M142" s="73"/>
      <c r="N142" s="456"/>
      <c r="O142" s="73"/>
      <c r="P142" s="495">
        <f>+'8. WAMKK'!P100</f>
        <v>0</v>
      </c>
      <c r="Q142" s="73">
        <f>+'8. WAMKK'!Q100</f>
        <v>3274000</v>
      </c>
      <c r="R142" s="73">
        <f>+'8. WAMKK'!R100</f>
        <v>-3009528</v>
      </c>
      <c r="S142" s="73">
        <f>+'8. WAMKK'!S100</f>
        <v>264472</v>
      </c>
      <c r="T142" s="496"/>
      <c r="U142" s="74"/>
    </row>
    <row r="143" spans="1:21" x14ac:dyDescent="0.25">
      <c r="B143" s="56" t="str">
        <f t="shared" si="15"/>
        <v>Központi Konyha</v>
      </c>
      <c r="C143" s="495">
        <f>+'9. Közp. Konyha'!C100</f>
        <v>71398746</v>
      </c>
      <c r="D143" s="73">
        <f>+'9. Közp. Konyha'!D100</f>
        <v>71398746</v>
      </c>
      <c r="E143" s="73">
        <f>+'9. Közp. Konyha'!E100</f>
        <v>71398746</v>
      </c>
      <c r="F143" s="456">
        <f>+'9. Közp. Konyha'!F100</f>
        <v>72760782</v>
      </c>
      <c r="G143" s="73"/>
      <c r="H143" s="495">
        <f>+'9. Közp. Konyha'!H100</f>
        <v>38562308</v>
      </c>
      <c r="I143" s="73">
        <f>+'9. Közp. Konyha'!I100</f>
        <v>52378460</v>
      </c>
      <c r="J143" s="73">
        <f>+'9. Közp. Konyha'!J100</f>
        <v>72760782</v>
      </c>
      <c r="K143" s="73"/>
      <c r="L143" s="73"/>
      <c r="M143" s="73"/>
      <c r="N143" s="456"/>
      <c r="O143" s="73"/>
      <c r="P143" s="495">
        <f>+'9. Közp. Konyha'!P100</f>
        <v>0</v>
      </c>
      <c r="Q143" s="73">
        <f>+'9. Közp. Konyha'!Q100</f>
        <v>0</v>
      </c>
      <c r="R143" s="73">
        <f>+'9. Közp. Konyha'!R100</f>
        <v>1362036</v>
      </c>
      <c r="S143" s="73">
        <f>+'9. Közp. Konyha'!S100</f>
        <v>1362036</v>
      </c>
      <c r="T143" s="496"/>
      <c r="U143" s="74"/>
    </row>
    <row r="144" spans="1:21" ht="8.1" customHeight="1" x14ac:dyDescent="0.25">
      <c r="B144" s="380" t="s">
        <v>443</v>
      </c>
      <c r="C144" s="497"/>
      <c r="D144" s="379"/>
      <c r="E144" s="379"/>
      <c r="F144" s="508"/>
      <c r="G144" s="379"/>
      <c r="H144" s="497"/>
      <c r="I144" s="379"/>
      <c r="J144" s="379"/>
      <c r="K144" s="379"/>
      <c r="L144" s="379"/>
      <c r="M144" s="379"/>
      <c r="N144" s="508"/>
      <c r="O144" s="379"/>
      <c r="P144" s="497"/>
      <c r="Q144" s="379"/>
      <c r="R144" s="379"/>
      <c r="S144" s="379"/>
      <c r="T144" s="496"/>
      <c r="U144" s="74"/>
    </row>
    <row r="145" spans="1:21" x14ac:dyDescent="0.25">
      <c r="A145" s="381" t="str">
        <f>+A136</f>
        <v>B816</v>
      </c>
      <c r="B145" s="361" t="s">
        <v>437</v>
      </c>
      <c r="C145" s="498">
        <f>SUM(C137:C144)</f>
        <v>517324859.02999997</v>
      </c>
      <c r="D145" s="362">
        <f>SUM(D137:D144)</f>
        <v>526172037</v>
      </c>
      <c r="E145" s="362">
        <f>SUM(E137:E144)</f>
        <v>529446037</v>
      </c>
      <c r="F145" s="509">
        <f>SUM(F137:F144)</f>
        <v>513728680</v>
      </c>
      <c r="G145" s="362"/>
      <c r="H145" s="498">
        <f>SUM(H137:H144)</f>
        <v>259780182</v>
      </c>
      <c r="I145" s="362">
        <f>SUM(I137:I144)</f>
        <v>384301924</v>
      </c>
      <c r="J145" s="362">
        <f>SUM(J137:J144)</f>
        <v>513728680</v>
      </c>
      <c r="K145" s="362"/>
      <c r="L145" s="362"/>
      <c r="M145" s="362"/>
      <c r="N145" s="509"/>
      <c r="O145" s="362"/>
      <c r="P145" s="498">
        <f>SUM(P137:P144)</f>
        <v>8847177.9699999988</v>
      </c>
      <c r="Q145" s="362">
        <f>SUM(Q137:Q144)</f>
        <v>3274000</v>
      </c>
      <c r="R145" s="362">
        <f>SUM(R137:R144)</f>
        <v>-15717357</v>
      </c>
      <c r="S145" s="362">
        <f>SUM(S137:S144)</f>
        <v>-3596179.0300000012</v>
      </c>
      <c r="T145" s="496"/>
      <c r="U145" s="74"/>
    </row>
    <row r="146" spans="1:21" x14ac:dyDescent="0.25">
      <c r="C146" s="500"/>
      <c r="D146" s="510"/>
      <c r="E146" s="510"/>
      <c r="F146" s="523"/>
      <c r="H146" s="500"/>
      <c r="I146" s="510"/>
      <c r="J146" s="510"/>
      <c r="K146" s="510"/>
      <c r="L146" s="501"/>
      <c r="M146" s="501"/>
      <c r="N146" s="502"/>
      <c r="P146" s="500"/>
      <c r="Q146" s="501"/>
      <c r="R146" s="501"/>
      <c r="S146" s="501"/>
      <c r="T146" s="502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9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zoomScaleNormal="75" zoomScaleSheetLayoutView="100" workbookViewId="0">
      <selection activeCell="C10" sqref="C10:F10"/>
    </sheetView>
  </sheetViews>
  <sheetFormatPr defaultRowHeight="13.2" x14ac:dyDescent="0.25"/>
  <cols>
    <col min="1" max="1" width="8.5546875" style="25" customWidth="1"/>
    <col min="2" max="2" width="55.6640625" style="13" customWidth="1"/>
    <col min="3" max="6" width="15.44140625" style="13" customWidth="1"/>
    <col min="7" max="7" width="0.6640625" style="13" customWidth="1"/>
    <col min="8" max="9" width="15.44140625" style="13" customWidth="1"/>
    <col min="10" max="10" width="15" style="13" customWidth="1"/>
    <col min="11" max="11" width="0.6640625" style="13" customWidth="1"/>
    <col min="12" max="13" width="10.5546875" style="13" customWidth="1"/>
    <col min="14" max="14" width="10.5546875" style="13" bestFit="1" customWidth="1"/>
    <col min="15" max="15" width="0.6640625" style="13" customWidth="1"/>
    <col min="16" max="17" width="14.5546875" style="13" customWidth="1"/>
    <col min="18" max="18" width="14.88671875" style="13" customWidth="1"/>
    <col min="19" max="19" width="15.5546875" style="13" customWidth="1"/>
    <col min="21" max="21" width="2.5546875" customWidth="1"/>
    <col min="22" max="22" width="3.44140625" customWidth="1"/>
    <col min="23" max="23" width="12.5546875" bestFit="1" customWidth="1"/>
  </cols>
  <sheetData>
    <row r="1" spans="1:26" ht="24.6" x14ac:dyDescent="0.4">
      <c r="A1" s="295" t="s">
        <v>418</v>
      </c>
      <c r="B1" s="225"/>
      <c r="C1" s="225"/>
      <c r="D1" s="225"/>
      <c r="E1" s="225"/>
      <c r="F1" s="225"/>
      <c r="G1" s="224"/>
      <c r="H1" s="223"/>
      <c r="I1" s="223"/>
      <c r="J1" s="221" t="str">
        <f>+'1. Sülysáp összesen'!J1</f>
        <v>2019. ÉVI ZÁRSZÁMADÁS</v>
      </c>
      <c r="K1" s="227"/>
      <c r="L1" s="227"/>
      <c r="M1" s="223"/>
      <c r="N1" s="223"/>
      <c r="O1" s="227"/>
      <c r="P1" s="223"/>
      <c r="Q1" s="223"/>
      <c r="R1" s="223"/>
      <c r="S1" s="223"/>
      <c r="T1" s="223"/>
      <c r="U1" s="223"/>
      <c r="V1" s="223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64"/>
      <c r="B4" s="263"/>
      <c r="C4" s="88"/>
      <c r="D4" s="88"/>
      <c r="E4" s="88"/>
      <c r="F4" s="88"/>
      <c r="G4" s="88"/>
      <c r="H4" s="88"/>
      <c r="I4" s="88"/>
      <c r="J4" s="88"/>
      <c r="K4" s="88"/>
      <c r="L4" s="263"/>
      <c r="M4" s="263"/>
      <c r="N4" s="263"/>
      <c r="O4" s="88"/>
      <c r="P4" s="88"/>
      <c r="Q4" s="88"/>
      <c r="R4" s="88"/>
      <c r="S4" s="88"/>
      <c r="T4" s="88"/>
      <c r="U4" s="263"/>
      <c r="V4" s="249"/>
      <c r="W4" s="122"/>
      <c r="X4" s="122"/>
    </row>
    <row r="5" spans="1:26" ht="20.100000000000001" customHeight="1" x14ac:dyDescent="0.3">
      <c r="A5" s="245"/>
      <c r="B5" s="245" t="s">
        <v>373</v>
      </c>
      <c r="C5" s="246">
        <f>+C89</f>
        <v>135435600</v>
      </c>
      <c r="D5" s="246">
        <f>+D89</f>
        <v>146640948</v>
      </c>
      <c r="E5" s="246">
        <f>+E89</f>
        <v>146887797</v>
      </c>
      <c r="F5" s="246">
        <f>+F89</f>
        <v>140918575</v>
      </c>
      <c r="G5" s="246"/>
      <c r="H5" s="246">
        <f>+H89</f>
        <v>68909669</v>
      </c>
      <c r="I5" s="246">
        <f>+I89</f>
        <v>101383740</v>
      </c>
      <c r="J5" s="246">
        <f>+J89</f>
        <v>138893636</v>
      </c>
      <c r="K5" s="89"/>
      <c r="L5" s="639">
        <f t="shared" ref="L5:N6" si="0">IF(H5&gt;0,H5/C5,0)</f>
        <v>0.50880026374158638</v>
      </c>
      <c r="M5" s="639">
        <f t="shared" si="0"/>
        <v>0.69137400830223761</v>
      </c>
      <c r="N5" s="639">
        <f t="shared" si="0"/>
        <v>0.94557641163343198</v>
      </c>
      <c r="O5" s="89"/>
      <c r="P5" s="246">
        <f>+P89</f>
        <v>11205348</v>
      </c>
      <c r="Q5" s="246">
        <f>+Q89</f>
        <v>246849</v>
      </c>
      <c r="R5" s="246">
        <f>+R89</f>
        <v>-5969222</v>
      </c>
      <c r="S5" s="246">
        <f>+S89</f>
        <v>5482975</v>
      </c>
      <c r="T5" s="132">
        <f>IF(C5=0,0,+S5/C5)</f>
        <v>4.0484001252255687E-2</v>
      </c>
      <c r="U5" s="118"/>
      <c r="V5" s="195">
        <f>+S5-E5+C5</f>
        <v>-5969222</v>
      </c>
      <c r="W5" s="122"/>
      <c r="X5" s="122"/>
    </row>
    <row r="6" spans="1:26" ht="20.100000000000001" customHeight="1" x14ac:dyDescent="0.3">
      <c r="A6" s="247"/>
      <c r="B6" s="247" t="s">
        <v>372</v>
      </c>
      <c r="C6" s="248">
        <f>+C102</f>
        <v>135435600</v>
      </c>
      <c r="D6" s="248">
        <f>+D102</f>
        <v>146640948</v>
      </c>
      <c r="E6" s="248">
        <f>+E102</f>
        <v>146887797</v>
      </c>
      <c r="F6" s="248">
        <f>+F102</f>
        <v>140918575</v>
      </c>
      <c r="G6" s="248"/>
      <c r="H6" s="248">
        <f>+H102</f>
        <v>72803015</v>
      </c>
      <c r="I6" s="248">
        <f>+I102</f>
        <v>104244400</v>
      </c>
      <c r="J6" s="248">
        <f>+J102</f>
        <v>140912357</v>
      </c>
      <c r="K6" s="67"/>
      <c r="L6" s="639">
        <f t="shared" si="0"/>
        <v>0.53754710725983423</v>
      </c>
      <c r="M6" s="639">
        <f t="shared" si="0"/>
        <v>0.71088192910482273</v>
      </c>
      <c r="N6" s="639">
        <f t="shared" si="0"/>
        <v>0.95931969760564928</v>
      </c>
      <c r="O6" s="67"/>
      <c r="P6" s="248">
        <f>+P102</f>
        <v>11205348</v>
      </c>
      <c r="Q6" s="248">
        <f>+Q102</f>
        <v>246849</v>
      </c>
      <c r="R6" s="248">
        <f>+R102</f>
        <v>-5969222</v>
      </c>
      <c r="S6" s="248">
        <f>+S102</f>
        <v>5482975</v>
      </c>
      <c r="T6" s="31">
        <f>IF(C6=0,0,+S6/C6)</f>
        <v>4.0484001252255687E-2</v>
      </c>
      <c r="U6" s="118"/>
      <c r="V6" s="195">
        <f>+S6-E6+C6</f>
        <v>-5969222</v>
      </c>
      <c r="W6" s="122"/>
      <c r="X6" s="122"/>
    </row>
    <row r="7" spans="1:26" ht="20.100000000000001" customHeight="1" x14ac:dyDescent="0.3">
      <c r="A7" s="247"/>
      <c r="B7" s="247" t="s">
        <v>404</v>
      </c>
      <c r="C7" s="248">
        <f>+C6-C5</f>
        <v>0</v>
      </c>
      <c r="D7" s="248">
        <f>+D6-D5</f>
        <v>0</v>
      </c>
      <c r="E7" s="248">
        <f>+E6-E5</f>
        <v>0</v>
      </c>
      <c r="F7" s="248">
        <f>+F6-F5</f>
        <v>0</v>
      </c>
      <c r="G7" s="248"/>
      <c r="H7" s="248">
        <f>+H6-H5</f>
        <v>3893346</v>
      </c>
      <c r="I7" s="248">
        <f>+I6-I5</f>
        <v>2860660</v>
      </c>
      <c r="J7" s="248">
        <f>+J6-J5</f>
        <v>2018721</v>
      </c>
      <c r="K7" s="67"/>
      <c r="L7" s="639"/>
      <c r="M7" s="639"/>
      <c r="N7" s="639"/>
      <c r="O7" s="67"/>
      <c r="P7" s="248">
        <f>+P6-P5</f>
        <v>0</v>
      </c>
      <c r="Q7" s="248">
        <f>+Q6-Q5</f>
        <v>0</v>
      </c>
      <c r="R7" s="248">
        <f>+R6-R5</f>
        <v>0</v>
      </c>
      <c r="S7" s="248">
        <f>+S6-S5</f>
        <v>0</v>
      </c>
      <c r="T7" s="31">
        <f>IF(C7=0,0,+S7/C7)</f>
        <v>0</v>
      </c>
      <c r="U7" s="118"/>
      <c r="V7" s="195">
        <f>+S7-E7+C7</f>
        <v>0</v>
      </c>
      <c r="W7" s="122"/>
      <c r="X7" s="122"/>
    </row>
    <row r="8" spans="1:26" x14ac:dyDescent="0.25">
      <c r="A8" s="231"/>
      <c r="B8" s="232"/>
      <c r="C8" s="609"/>
      <c r="D8" s="610"/>
      <c r="E8" s="610"/>
      <c r="F8" s="610"/>
      <c r="G8" s="611"/>
      <c r="H8" s="611"/>
      <c r="I8" s="611"/>
      <c r="J8" s="611"/>
      <c r="K8" s="611"/>
      <c r="L8" s="136"/>
      <c r="M8" s="136"/>
      <c r="N8" s="136"/>
      <c r="O8" s="94"/>
      <c r="P8" s="81"/>
      <c r="Q8" s="81"/>
      <c r="R8" s="81"/>
      <c r="S8" s="81"/>
      <c r="T8" s="151"/>
      <c r="U8" s="120"/>
      <c r="V8" s="192"/>
      <c r="W8" s="122"/>
      <c r="X8" s="122"/>
    </row>
    <row r="9" spans="1:26" ht="15.6" x14ac:dyDescent="0.3">
      <c r="A9" s="62"/>
      <c r="B9" s="233"/>
      <c r="C9" s="1442" t="s">
        <v>403</v>
      </c>
      <c r="D9" s="1450"/>
      <c r="E9" s="1450"/>
      <c r="F9" s="1451"/>
      <c r="G9" s="153"/>
      <c r="H9" s="1442" t="s">
        <v>402</v>
      </c>
      <c r="I9" s="1450"/>
      <c r="J9" s="1450"/>
      <c r="K9" s="1450"/>
      <c r="L9" s="1450"/>
      <c r="M9" s="1450"/>
      <c r="N9" s="1451"/>
      <c r="O9" s="153"/>
      <c r="P9" s="1442" t="s">
        <v>399</v>
      </c>
      <c r="Q9" s="1450"/>
      <c r="R9" s="1450"/>
      <c r="S9" s="1450"/>
      <c r="T9" s="1451"/>
      <c r="U9" s="196"/>
      <c r="V9" s="192"/>
      <c r="W9" s="122"/>
      <c r="X9" s="122"/>
    </row>
    <row r="10" spans="1:26" x14ac:dyDescent="0.25">
      <c r="A10" s="264"/>
      <c r="B10" s="263"/>
      <c r="C10" s="1437" t="s">
        <v>412</v>
      </c>
      <c r="D10" s="1438"/>
      <c r="E10" s="1438"/>
      <c r="F10" s="1439"/>
      <c r="G10" s="133"/>
      <c r="H10" s="1437" t="s">
        <v>412</v>
      </c>
      <c r="I10" s="1438"/>
      <c r="J10" s="1439"/>
      <c r="K10" s="133"/>
      <c r="L10" s="1437" t="s">
        <v>411</v>
      </c>
      <c r="M10" s="1438"/>
      <c r="N10" s="1439"/>
      <c r="O10" s="133"/>
      <c r="P10" s="127">
        <f>+'2. Önk. Bevételek'!P8</f>
        <v>1</v>
      </c>
      <c r="Q10" s="127">
        <f>+'2. Önk. Bevételek'!Q8</f>
        <v>1</v>
      </c>
      <c r="R10" s="127">
        <f>+'2. Önk. Bevételek'!R8</f>
        <v>1</v>
      </c>
      <c r="S10" s="126"/>
      <c r="T10" s="126"/>
      <c r="U10" s="152"/>
      <c r="V10" s="250"/>
      <c r="W10" s="130"/>
      <c r="X10" s="130"/>
      <c r="Y10" s="130"/>
      <c r="Z10" s="130"/>
    </row>
    <row r="11" spans="1:26" ht="61.2" x14ac:dyDescent="0.25">
      <c r="A11" s="27" t="s">
        <v>368</v>
      </c>
      <c r="B11" s="27" t="s">
        <v>366</v>
      </c>
      <c r="C11" s="517" t="s">
        <v>484</v>
      </c>
      <c r="D11" s="355" t="s">
        <v>485</v>
      </c>
      <c r="E11" s="355" t="s">
        <v>486</v>
      </c>
      <c r="F11" s="518" t="s">
        <v>502</v>
      </c>
      <c r="G11" s="355"/>
      <c r="H11" s="491" t="s">
        <v>487</v>
      </c>
      <c r="I11" s="356" t="s">
        <v>488</v>
      </c>
      <c r="J11" s="356" t="s">
        <v>501</v>
      </c>
      <c r="K11" s="355"/>
      <c r="L11" s="357" t="s">
        <v>489</v>
      </c>
      <c r="M11" s="357" t="s">
        <v>490</v>
      </c>
      <c r="N11" s="492" t="s">
        <v>503</v>
      </c>
      <c r="O11" s="355"/>
      <c r="P11" s="491" t="s">
        <v>491</v>
      </c>
      <c r="Q11" s="356" t="s">
        <v>492</v>
      </c>
      <c r="R11" s="356" t="s">
        <v>510</v>
      </c>
      <c r="S11" s="356" t="s">
        <v>400</v>
      </c>
      <c r="T11" s="492" t="s">
        <v>401</v>
      </c>
      <c r="U11" s="186"/>
      <c r="V11" s="131" t="s">
        <v>405</v>
      </c>
      <c r="W11" s="122"/>
      <c r="X11" s="122"/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16"/>
      <c r="M12" s="14"/>
      <c r="N12" s="16"/>
      <c r="O12" s="68"/>
      <c r="P12" s="268"/>
      <c r="Q12" s="268"/>
      <c r="R12" s="268"/>
      <c r="S12" s="268"/>
      <c r="T12" s="68"/>
      <c r="U12" s="68"/>
      <c r="V12" s="251"/>
    </row>
    <row r="13" spans="1:26" x14ac:dyDescent="0.25">
      <c r="A13" s="5" t="s">
        <v>0</v>
      </c>
      <c r="B13" s="5" t="s">
        <v>3</v>
      </c>
      <c r="C13" s="187">
        <f>+C14+C24</f>
        <v>102325600</v>
      </c>
      <c r="D13" s="187">
        <f t="shared" ref="D13:I13" si="1">+D14+D24</f>
        <v>113400700</v>
      </c>
      <c r="E13" s="187">
        <f t="shared" si="1"/>
        <v>113400700</v>
      </c>
      <c r="F13" s="187">
        <f t="shared" si="1"/>
        <v>107399109</v>
      </c>
      <c r="G13" s="187"/>
      <c r="H13" s="187">
        <f t="shared" si="1"/>
        <v>51012328</v>
      </c>
      <c r="I13" s="187">
        <f t="shared" si="1"/>
        <v>76482976</v>
      </c>
      <c r="J13" s="187">
        <f>+J14+J24</f>
        <v>106599077</v>
      </c>
      <c r="K13" s="10"/>
      <c r="L13" s="588">
        <f>+H13/C13</f>
        <v>0.49852947844918571</v>
      </c>
      <c r="M13" s="588">
        <f>+I13/D13</f>
        <v>0.67444888788164448</v>
      </c>
      <c r="N13" s="588">
        <f>+J13/E13</f>
        <v>0.94002133143798938</v>
      </c>
      <c r="O13" s="10"/>
      <c r="P13" s="292">
        <f t="shared" ref="P13:P76" si="2">+(D13-C13)*P$10</f>
        <v>11075100</v>
      </c>
      <c r="Q13" s="292">
        <f t="shared" ref="Q13:Q76" si="3">+(E13-D13)*Q$10</f>
        <v>0</v>
      </c>
      <c r="R13" s="292">
        <f t="shared" ref="R13:R76" si="4">+(F13-E13)*R$10</f>
        <v>-6001591</v>
      </c>
      <c r="S13" s="292">
        <f>+P13*P$10+Q13*Q$10+R13*R$10</f>
        <v>5073509</v>
      </c>
      <c r="T13" s="278">
        <f t="shared" ref="T13:T76" si="5">IF(C13=0,0,+S13/C13)</f>
        <v>4.9582010757816229E-2</v>
      </c>
      <c r="U13" s="120"/>
      <c r="V13" s="192">
        <f>+S13-E13+C13</f>
        <v>-6001591</v>
      </c>
    </row>
    <row r="14" spans="1:26" x14ac:dyDescent="0.25">
      <c r="A14" s="20" t="s">
        <v>1</v>
      </c>
      <c r="B14" s="20"/>
      <c r="C14" s="371">
        <f>SUM(C15:C23)</f>
        <v>102325600</v>
      </c>
      <c r="D14" s="371">
        <f t="shared" ref="D14:I14" si="6">SUM(D15:D23)</f>
        <v>111532800</v>
      </c>
      <c r="E14" s="371">
        <f t="shared" si="6"/>
        <v>111937800</v>
      </c>
      <c r="F14" s="371">
        <f t="shared" si="6"/>
        <v>104823660</v>
      </c>
      <c r="G14" s="68"/>
      <c r="H14" s="371">
        <f t="shared" si="6"/>
        <v>50653515</v>
      </c>
      <c r="I14" s="371">
        <f t="shared" si="6"/>
        <v>75068027</v>
      </c>
      <c r="J14" s="371">
        <f>SUM(J15:J23)</f>
        <v>104230252</v>
      </c>
      <c r="K14" s="16"/>
      <c r="L14" s="591"/>
      <c r="M14" s="591"/>
      <c r="N14" s="591"/>
      <c r="O14" s="16"/>
      <c r="P14" s="268">
        <f t="shared" si="2"/>
        <v>9207200</v>
      </c>
      <c r="Q14" s="268">
        <f t="shared" si="3"/>
        <v>405000</v>
      </c>
      <c r="R14" s="268">
        <f t="shared" si="4"/>
        <v>-7114140</v>
      </c>
      <c r="S14" s="268">
        <f>+P14*P$10+Q14*Q$10+R14*R$10</f>
        <v>2498060</v>
      </c>
      <c r="T14" s="277">
        <f t="shared" si="5"/>
        <v>2.4412854652208243E-2</v>
      </c>
      <c r="U14" s="120"/>
      <c r="V14" s="192">
        <f>+S14-E14+C14</f>
        <v>-7114140</v>
      </c>
    </row>
    <row r="15" spans="1:26" x14ac:dyDescent="0.25">
      <c r="A15" s="20" t="s">
        <v>2</v>
      </c>
      <c r="B15" s="479" t="s">
        <v>358</v>
      </c>
      <c r="C15" s="556">
        <f>96435600-1100000</f>
        <v>95335600</v>
      </c>
      <c r="D15" s="68">
        <v>104182800</v>
      </c>
      <c r="E15" s="68">
        <v>104014800</v>
      </c>
      <c r="F15" s="68">
        <v>93622751</v>
      </c>
      <c r="G15" s="68"/>
      <c r="H15" s="68">
        <v>45963468</v>
      </c>
      <c r="I15" s="68">
        <v>69376810</v>
      </c>
      <c r="J15" s="68">
        <v>93552390</v>
      </c>
      <c r="K15" s="16"/>
      <c r="L15" s="591">
        <f t="shared" ref="L15:L27" si="7">IF(H15&gt;0,H15/C15,0)</f>
        <v>0.48212281666030316</v>
      </c>
      <c r="M15" s="591">
        <f t="shared" ref="M15:M27" si="8">IF(I15&gt;0,I15/D15,0)</f>
        <v>0.66591423920263226</v>
      </c>
      <c r="N15" s="591">
        <f t="shared" ref="N15:N27" si="9">IF(J15&gt;0,J15/E15,0)</f>
        <v>0.89941421797667254</v>
      </c>
      <c r="O15" s="16"/>
      <c r="P15" s="81">
        <f t="shared" si="2"/>
        <v>8847200</v>
      </c>
      <c r="Q15" s="81">
        <f t="shared" si="3"/>
        <v>-168000</v>
      </c>
      <c r="R15" s="81">
        <f t="shared" si="4"/>
        <v>-10392049</v>
      </c>
      <c r="S15" s="81">
        <f>+P15*P$10+Q15*Q$10+R15*R$10</f>
        <v>-1712849</v>
      </c>
      <c r="T15" s="277">
        <f t="shared" si="5"/>
        <v>-1.7966520376438602E-2</v>
      </c>
      <c r="U15" s="120"/>
      <c r="V15" s="192">
        <f>+S15-E15+C15</f>
        <v>-10392049</v>
      </c>
    </row>
    <row r="16" spans="1:26" x14ac:dyDescent="0.25">
      <c r="A16" s="526" t="s">
        <v>507</v>
      </c>
      <c r="B16" s="479" t="s">
        <v>517</v>
      </c>
      <c r="C16" s="96"/>
      <c r="D16" s="68">
        <v>360000</v>
      </c>
      <c r="E16" s="68">
        <f>360000+168000</f>
        <v>528000</v>
      </c>
      <c r="F16" s="68">
        <f>3964000+168000</f>
        <v>4132000</v>
      </c>
      <c r="G16" s="68"/>
      <c r="H16" s="68">
        <v>359400</v>
      </c>
      <c r="I16" s="68">
        <f>359400+168000</f>
        <v>527400</v>
      </c>
      <c r="J16" s="68">
        <f>3879713+168000</f>
        <v>4047713</v>
      </c>
      <c r="K16" s="16"/>
      <c r="L16" s="591" t="e">
        <f t="shared" si="7"/>
        <v>#DIV/0!</v>
      </c>
      <c r="M16" s="591">
        <f t="shared" si="8"/>
        <v>1.4650000000000001</v>
      </c>
      <c r="N16" s="591">
        <f t="shared" si="9"/>
        <v>7.6661231060606063</v>
      </c>
      <c r="O16" s="16"/>
      <c r="P16" s="81">
        <f t="shared" si="2"/>
        <v>360000</v>
      </c>
      <c r="Q16" s="81">
        <f t="shared" si="3"/>
        <v>168000</v>
      </c>
      <c r="R16" s="81">
        <f t="shared" si="4"/>
        <v>3604000</v>
      </c>
      <c r="S16" s="81">
        <f t="shared" ref="S16:S27" si="10">+P16*P$10+Q16*Q$10+R16*R$10</f>
        <v>4132000</v>
      </c>
      <c r="T16" s="277">
        <f t="shared" si="5"/>
        <v>0</v>
      </c>
      <c r="U16" s="120"/>
      <c r="V16" s="192">
        <f t="shared" ref="V16:V76" si="11">+S16-E16+C16</f>
        <v>3604000</v>
      </c>
    </row>
    <row r="17" spans="1:23" x14ac:dyDescent="0.25">
      <c r="A17" s="20" t="s">
        <v>10</v>
      </c>
      <c r="B17" s="20" t="s">
        <v>4</v>
      </c>
      <c r="C17" s="96">
        <v>0</v>
      </c>
      <c r="D17" s="68">
        <v>0</v>
      </c>
      <c r="E17" s="68">
        <v>0</v>
      </c>
      <c r="F17" s="68">
        <v>0</v>
      </c>
      <c r="G17" s="68"/>
      <c r="H17" s="68">
        <v>0</v>
      </c>
      <c r="I17" s="68">
        <v>0</v>
      </c>
      <c r="J17" s="68">
        <v>0</v>
      </c>
      <c r="K17" s="16"/>
      <c r="L17" s="591">
        <f t="shared" si="7"/>
        <v>0</v>
      </c>
      <c r="M17" s="591">
        <f t="shared" si="8"/>
        <v>0</v>
      </c>
      <c r="N17" s="591">
        <f t="shared" si="9"/>
        <v>0</v>
      </c>
      <c r="O17" s="16"/>
      <c r="P17" s="81">
        <f t="shared" si="2"/>
        <v>0</v>
      </c>
      <c r="Q17" s="81">
        <f t="shared" si="3"/>
        <v>0</v>
      </c>
      <c r="R17" s="81">
        <f t="shared" si="4"/>
        <v>0</v>
      </c>
      <c r="S17" s="81">
        <f t="shared" si="10"/>
        <v>0</v>
      </c>
      <c r="T17" s="277">
        <f t="shared" si="5"/>
        <v>0</v>
      </c>
      <c r="U17" s="120"/>
      <c r="V17" s="192">
        <f t="shared" si="11"/>
        <v>0</v>
      </c>
    </row>
    <row r="18" spans="1:23" x14ac:dyDescent="0.25">
      <c r="A18" s="479" t="s">
        <v>380</v>
      </c>
      <c r="B18" s="20" t="s">
        <v>5</v>
      </c>
      <c r="C18" s="96">
        <v>0</v>
      </c>
      <c r="D18" s="68">
        <v>0</v>
      </c>
      <c r="E18" s="68">
        <v>0</v>
      </c>
      <c r="F18" s="68">
        <v>0</v>
      </c>
      <c r="G18" s="68"/>
      <c r="H18" s="68">
        <v>0</v>
      </c>
      <c r="I18" s="68">
        <v>0</v>
      </c>
      <c r="J18" s="68">
        <v>0</v>
      </c>
      <c r="K18" s="16"/>
      <c r="L18" s="591">
        <f t="shared" si="7"/>
        <v>0</v>
      </c>
      <c r="M18" s="591">
        <f t="shared" si="8"/>
        <v>0</v>
      </c>
      <c r="N18" s="591">
        <f t="shared" si="9"/>
        <v>0</v>
      </c>
      <c r="O18" s="16"/>
      <c r="P18" s="81">
        <f t="shared" si="2"/>
        <v>0</v>
      </c>
      <c r="Q18" s="81">
        <f t="shared" si="3"/>
        <v>0</v>
      </c>
      <c r="R18" s="81">
        <f t="shared" si="4"/>
        <v>0</v>
      </c>
      <c r="S18" s="81">
        <f t="shared" si="10"/>
        <v>0</v>
      </c>
      <c r="T18" s="277">
        <f t="shared" si="5"/>
        <v>0</v>
      </c>
      <c r="U18" s="120"/>
      <c r="V18" s="192">
        <f t="shared" si="11"/>
        <v>0</v>
      </c>
      <c r="W18" s="2"/>
    </row>
    <row r="19" spans="1:23" x14ac:dyDescent="0.25">
      <c r="A19" s="20" t="s">
        <v>11</v>
      </c>
      <c r="B19" s="20" t="s">
        <v>6</v>
      </c>
      <c r="C19" s="96">
        <f>26*200000</f>
        <v>5200000</v>
      </c>
      <c r="D19" s="68">
        <v>5200000</v>
      </c>
      <c r="E19" s="68">
        <v>5200000</v>
      </c>
      <c r="F19" s="68">
        <v>4200000</v>
      </c>
      <c r="G19" s="68"/>
      <c r="H19" s="68">
        <v>3546536</v>
      </c>
      <c r="I19" s="68">
        <v>3505496</v>
      </c>
      <c r="J19" s="68">
        <v>3912096</v>
      </c>
      <c r="K19" s="16"/>
      <c r="L19" s="591">
        <f t="shared" si="7"/>
        <v>0.68202615384615384</v>
      </c>
      <c r="M19" s="591">
        <f t="shared" si="8"/>
        <v>0.67413384615384619</v>
      </c>
      <c r="N19" s="591">
        <f t="shared" si="9"/>
        <v>0.75232615384615387</v>
      </c>
      <c r="O19" s="16"/>
      <c r="P19" s="81">
        <f t="shared" si="2"/>
        <v>0</v>
      </c>
      <c r="Q19" s="81">
        <f t="shared" si="3"/>
        <v>0</v>
      </c>
      <c r="R19" s="81">
        <f t="shared" si="4"/>
        <v>-1000000</v>
      </c>
      <c r="S19" s="81">
        <f t="shared" si="10"/>
        <v>-1000000</v>
      </c>
      <c r="T19" s="277">
        <f t="shared" si="5"/>
        <v>-0.19230769230769232</v>
      </c>
      <c r="U19" s="120"/>
      <c r="V19" s="192">
        <f t="shared" si="11"/>
        <v>-1000000</v>
      </c>
    </row>
    <row r="20" spans="1:23" x14ac:dyDescent="0.25">
      <c r="A20" s="20" t="s">
        <v>12</v>
      </c>
      <c r="B20" s="20" t="s">
        <v>7</v>
      </c>
      <c r="C20" s="96">
        <f>2*25000+40000</f>
        <v>90000</v>
      </c>
      <c r="D20" s="68">
        <v>90000</v>
      </c>
      <c r="E20" s="68">
        <v>0</v>
      </c>
      <c r="F20" s="68">
        <v>0</v>
      </c>
      <c r="G20" s="68"/>
      <c r="H20" s="68">
        <v>0</v>
      </c>
      <c r="I20" s="68">
        <v>0</v>
      </c>
      <c r="J20" s="68">
        <v>0</v>
      </c>
      <c r="K20" s="16"/>
      <c r="L20" s="591">
        <f t="shared" si="7"/>
        <v>0</v>
      </c>
      <c r="M20" s="591">
        <f t="shared" si="8"/>
        <v>0</v>
      </c>
      <c r="N20" s="591">
        <f t="shared" si="9"/>
        <v>0</v>
      </c>
      <c r="O20" s="16"/>
      <c r="P20" s="81">
        <f t="shared" si="2"/>
        <v>0</v>
      </c>
      <c r="Q20" s="81">
        <f t="shared" si="3"/>
        <v>-90000</v>
      </c>
      <c r="R20" s="81">
        <f t="shared" si="4"/>
        <v>0</v>
      </c>
      <c r="S20" s="81">
        <f t="shared" si="10"/>
        <v>-90000</v>
      </c>
      <c r="T20" s="277">
        <f t="shared" si="5"/>
        <v>-1</v>
      </c>
      <c r="U20" s="120"/>
      <c r="V20" s="192">
        <f t="shared" si="11"/>
        <v>0</v>
      </c>
    </row>
    <row r="21" spans="1:23" x14ac:dyDescent="0.25">
      <c r="A21" s="20" t="s">
        <v>13</v>
      </c>
      <c r="B21" s="20" t="s">
        <v>8</v>
      </c>
      <c r="C21" s="96">
        <v>600000</v>
      </c>
      <c r="D21" s="68">
        <v>600000</v>
      </c>
      <c r="E21" s="68">
        <v>600000</v>
      </c>
      <c r="F21" s="68">
        <v>600000</v>
      </c>
      <c r="G21" s="68"/>
      <c r="H21" s="68">
        <v>186120</v>
      </c>
      <c r="I21" s="68">
        <v>308190</v>
      </c>
      <c r="J21" s="68">
        <v>469140</v>
      </c>
      <c r="K21" s="16"/>
      <c r="L21" s="591">
        <f t="shared" si="7"/>
        <v>0.31019999999999998</v>
      </c>
      <c r="M21" s="591">
        <f t="shared" si="8"/>
        <v>0.51365000000000005</v>
      </c>
      <c r="N21" s="591">
        <f t="shared" si="9"/>
        <v>0.78190000000000004</v>
      </c>
      <c r="O21" s="16"/>
      <c r="P21" s="81">
        <f t="shared" si="2"/>
        <v>0</v>
      </c>
      <c r="Q21" s="81">
        <f t="shared" si="3"/>
        <v>0</v>
      </c>
      <c r="R21" s="81">
        <f t="shared" si="4"/>
        <v>0</v>
      </c>
      <c r="S21" s="81">
        <f t="shared" si="10"/>
        <v>0</v>
      </c>
      <c r="T21" s="277">
        <f t="shared" si="5"/>
        <v>0</v>
      </c>
      <c r="U21" s="120"/>
      <c r="V21" s="192">
        <f t="shared" si="11"/>
        <v>0</v>
      </c>
    </row>
    <row r="22" spans="1:23" x14ac:dyDescent="0.25">
      <c r="A22" s="20" t="s">
        <v>14</v>
      </c>
      <c r="B22" s="20" t="s">
        <v>9</v>
      </c>
      <c r="C22" s="96">
        <v>0</v>
      </c>
      <c r="D22" s="68"/>
      <c r="E22" s="68"/>
      <c r="F22" s="68">
        <v>60000</v>
      </c>
      <c r="G22" s="68"/>
      <c r="H22" s="68">
        <v>0</v>
      </c>
      <c r="I22" s="68">
        <v>0</v>
      </c>
      <c r="J22" s="68">
        <v>60000</v>
      </c>
      <c r="K22" s="16"/>
      <c r="L22" s="591">
        <f t="shared" si="7"/>
        <v>0</v>
      </c>
      <c r="M22" s="591">
        <f t="shared" si="8"/>
        <v>0</v>
      </c>
      <c r="N22" s="591" t="e">
        <f t="shared" si="9"/>
        <v>#DIV/0!</v>
      </c>
      <c r="O22" s="16"/>
      <c r="P22" s="81">
        <f t="shared" si="2"/>
        <v>0</v>
      </c>
      <c r="Q22" s="81">
        <f t="shared" si="3"/>
        <v>0</v>
      </c>
      <c r="R22" s="81">
        <f t="shared" si="4"/>
        <v>60000</v>
      </c>
      <c r="S22" s="81">
        <f t="shared" si="10"/>
        <v>60000</v>
      </c>
      <c r="T22" s="277">
        <f t="shared" si="5"/>
        <v>0</v>
      </c>
      <c r="U22" s="120"/>
      <c r="V22" s="192">
        <f t="shared" si="11"/>
        <v>60000</v>
      </c>
    </row>
    <row r="23" spans="1:23" x14ac:dyDescent="0.25">
      <c r="A23" s="526" t="s">
        <v>522</v>
      </c>
      <c r="B23" s="479" t="s">
        <v>523</v>
      </c>
      <c r="C23" s="96">
        <v>1100000</v>
      </c>
      <c r="D23" s="68">
        <v>1100000</v>
      </c>
      <c r="E23" s="68">
        <v>1595000</v>
      </c>
      <c r="F23" s="68">
        <v>2208909</v>
      </c>
      <c r="G23" s="68"/>
      <c r="H23" s="68">
        <v>597991</v>
      </c>
      <c r="I23" s="68">
        <v>1350131</v>
      </c>
      <c r="J23" s="68">
        <v>2188913</v>
      </c>
      <c r="K23" s="16"/>
      <c r="L23" s="591">
        <f t="shared" si="7"/>
        <v>0.54362818181818184</v>
      </c>
      <c r="M23" s="591">
        <f t="shared" si="8"/>
        <v>1.2273918181818182</v>
      </c>
      <c r="N23" s="591">
        <f t="shared" si="9"/>
        <v>1.3723592476489028</v>
      </c>
      <c r="O23" s="16"/>
      <c r="P23" s="81">
        <f t="shared" si="2"/>
        <v>0</v>
      </c>
      <c r="Q23" s="81">
        <f t="shared" si="3"/>
        <v>495000</v>
      </c>
      <c r="R23" s="81">
        <f t="shared" si="4"/>
        <v>613909</v>
      </c>
      <c r="S23" s="81">
        <f t="shared" si="10"/>
        <v>1108909</v>
      </c>
      <c r="T23" s="277">
        <f t="shared" si="5"/>
        <v>1.008099090909091</v>
      </c>
      <c r="U23" s="120"/>
      <c r="V23" s="192">
        <f t="shared" si="11"/>
        <v>613909</v>
      </c>
    </row>
    <row r="24" spans="1:23" x14ac:dyDescent="0.25">
      <c r="A24" s="20" t="s">
        <v>15</v>
      </c>
      <c r="B24" s="20"/>
      <c r="C24" s="371">
        <f>SUM(C25:C27)</f>
        <v>0</v>
      </c>
      <c r="D24" s="371">
        <f t="shared" ref="D24:J24" si="12">SUM(D25:D27)</f>
        <v>1867900</v>
      </c>
      <c r="E24" s="371">
        <f t="shared" si="12"/>
        <v>1462900</v>
      </c>
      <c r="F24" s="371">
        <f t="shared" si="12"/>
        <v>2575449</v>
      </c>
      <c r="G24" s="68"/>
      <c r="H24" s="371">
        <f t="shared" si="12"/>
        <v>358813</v>
      </c>
      <c r="I24" s="371">
        <f t="shared" si="12"/>
        <v>1414949</v>
      </c>
      <c r="J24" s="371">
        <f t="shared" si="12"/>
        <v>2368825</v>
      </c>
      <c r="K24" s="16"/>
      <c r="L24" s="591" t="e">
        <f t="shared" si="7"/>
        <v>#DIV/0!</v>
      </c>
      <c r="M24" s="591">
        <f t="shared" si="8"/>
        <v>0.75750789656833872</v>
      </c>
      <c r="N24" s="591">
        <f t="shared" si="9"/>
        <v>1.6192665253947638</v>
      </c>
      <c r="O24" s="16"/>
      <c r="P24" s="81">
        <f t="shared" si="2"/>
        <v>1867900</v>
      </c>
      <c r="Q24" s="81">
        <f t="shared" si="3"/>
        <v>-405000</v>
      </c>
      <c r="R24" s="81">
        <f t="shared" si="4"/>
        <v>1112549</v>
      </c>
      <c r="S24" s="81">
        <f t="shared" si="10"/>
        <v>2575449</v>
      </c>
      <c r="T24" s="277">
        <f t="shared" si="5"/>
        <v>0</v>
      </c>
      <c r="U24" s="120"/>
      <c r="V24" s="192">
        <f t="shared" ref="V24:V34" si="13">+S24-E24+C24</f>
        <v>1112549</v>
      </c>
    </row>
    <row r="25" spans="1:23" ht="26.4" x14ac:dyDescent="0.25">
      <c r="A25" s="20" t="s">
        <v>16</v>
      </c>
      <c r="B25" s="20" t="s">
        <v>103</v>
      </c>
      <c r="C25" s="96">
        <v>0</v>
      </c>
      <c r="D25" s="96">
        <v>0</v>
      </c>
      <c r="E25" s="68">
        <v>0</v>
      </c>
      <c r="F25" s="68">
        <v>0</v>
      </c>
      <c r="G25" s="68"/>
      <c r="H25" s="68">
        <v>0</v>
      </c>
      <c r="I25" s="68">
        <v>0</v>
      </c>
      <c r="J25" s="68">
        <v>0</v>
      </c>
      <c r="K25" s="16"/>
      <c r="L25" s="591">
        <f t="shared" si="7"/>
        <v>0</v>
      </c>
      <c r="M25" s="591">
        <f t="shared" si="8"/>
        <v>0</v>
      </c>
      <c r="N25" s="591">
        <f t="shared" si="9"/>
        <v>0</v>
      </c>
      <c r="O25" s="16"/>
      <c r="P25" s="81">
        <f t="shared" si="2"/>
        <v>0</v>
      </c>
      <c r="Q25" s="81">
        <f t="shared" si="3"/>
        <v>0</v>
      </c>
      <c r="R25" s="81">
        <f t="shared" si="4"/>
        <v>0</v>
      </c>
      <c r="S25" s="81">
        <f t="shared" si="10"/>
        <v>0</v>
      </c>
      <c r="T25" s="277">
        <f t="shared" si="5"/>
        <v>0</v>
      </c>
      <c r="U25" s="120"/>
      <c r="V25" s="192">
        <f t="shared" si="13"/>
        <v>0</v>
      </c>
    </row>
    <row r="26" spans="1:23" x14ac:dyDescent="0.25">
      <c r="A26" s="20" t="s">
        <v>18</v>
      </c>
      <c r="B26" s="20" t="s">
        <v>19</v>
      </c>
      <c r="C26" s="96">
        <v>0</v>
      </c>
      <c r="D26" s="96">
        <v>1573800</v>
      </c>
      <c r="E26" s="68">
        <v>308800</v>
      </c>
      <c r="F26" s="68">
        <v>308800</v>
      </c>
      <c r="G26" s="68"/>
      <c r="H26" s="68">
        <v>308800</v>
      </c>
      <c r="I26" s="68">
        <v>308800</v>
      </c>
      <c r="J26" s="68">
        <v>308800</v>
      </c>
      <c r="K26" s="16"/>
      <c r="L26" s="591" t="e">
        <f t="shared" si="7"/>
        <v>#DIV/0!</v>
      </c>
      <c r="M26" s="591">
        <f t="shared" si="8"/>
        <v>0.19621298767314779</v>
      </c>
      <c r="N26" s="591">
        <f t="shared" si="9"/>
        <v>1</v>
      </c>
      <c r="O26" s="16"/>
      <c r="P26" s="81">
        <f t="shared" si="2"/>
        <v>1573800</v>
      </c>
      <c r="Q26" s="81">
        <f t="shared" si="3"/>
        <v>-1265000</v>
      </c>
      <c r="R26" s="81">
        <f t="shared" si="4"/>
        <v>0</v>
      </c>
      <c r="S26" s="81">
        <f t="shared" si="10"/>
        <v>308800</v>
      </c>
      <c r="T26" s="277">
        <f t="shared" si="5"/>
        <v>0</v>
      </c>
      <c r="U26" s="120"/>
      <c r="V26" s="192">
        <f t="shared" si="13"/>
        <v>0</v>
      </c>
    </row>
    <row r="27" spans="1:23" x14ac:dyDescent="0.25">
      <c r="A27" s="20" t="s">
        <v>20</v>
      </c>
      <c r="B27" s="20" t="s">
        <v>21</v>
      </c>
      <c r="C27" s="96">
        <v>0</v>
      </c>
      <c r="D27" s="96">
        <v>294100</v>
      </c>
      <c r="E27" s="68">
        <v>1154100</v>
      </c>
      <c r="F27" s="68">
        <v>2266649</v>
      </c>
      <c r="G27" s="68"/>
      <c r="H27" s="68">
        <v>50013</v>
      </c>
      <c r="I27" s="68">
        <v>1106149</v>
      </c>
      <c r="J27" s="68">
        <v>2060025</v>
      </c>
      <c r="K27" s="16"/>
      <c r="L27" s="591" t="e">
        <f t="shared" si="7"/>
        <v>#DIV/0!</v>
      </c>
      <c r="M27" s="591">
        <f t="shared" si="8"/>
        <v>3.7611322679360764</v>
      </c>
      <c r="N27" s="591">
        <f t="shared" si="9"/>
        <v>1.7849623082921757</v>
      </c>
      <c r="O27" s="16"/>
      <c r="P27" s="81">
        <f t="shared" si="2"/>
        <v>294100</v>
      </c>
      <c r="Q27" s="81">
        <f t="shared" si="3"/>
        <v>860000</v>
      </c>
      <c r="R27" s="81">
        <f t="shared" si="4"/>
        <v>1112549</v>
      </c>
      <c r="S27" s="81">
        <f t="shared" si="10"/>
        <v>2266649</v>
      </c>
      <c r="T27" s="277">
        <f t="shared" si="5"/>
        <v>0</v>
      </c>
      <c r="U27" s="120"/>
      <c r="V27" s="192">
        <f t="shared" si="13"/>
        <v>1112549</v>
      </c>
    </row>
    <row r="28" spans="1:23" x14ac:dyDescent="0.25">
      <c r="A28" s="11"/>
      <c r="B28" s="12"/>
      <c r="C28" s="287"/>
      <c r="D28" s="68"/>
      <c r="E28" s="68"/>
      <c r="F28" s="68"/>
      <c r="G28" s="68"/>
      <c r="H28" s="68"/>
      <c r="I28" s="68"/>
      <c r="J28" s="68"/>
      <c r="K28" s="16"/>
      <c r="L28" s="590"/>
      <c r="M28" s="590"/>
      <c r="N28" s="590"/>
      <c r="O28" s="16"/>
      <c r="P28" s="81"/>
      <c r="Q28" s="81"/>
      <c r="R28" s="81"/>
      <c r="S28" s="81"/>
      <c r="T28" s="277"/>
      <c r="U28" s="120"/>
      <c r="V28" s="192"/>
    </row>
    <row r="29" spans="1:23" x14ac:dyDescent="0.25">
      <c r="A29" s="5" t="s">
        <v>22</v>
      </c>
      <c r="B29" s="5" t="s">
        <v>23</v>
      </c>
      <c r="C29" s="187">
        <f>SUM(C30:C31)</f>
        <v>20252000</v>
      </c>
      <c r="D29" s="187">
        <f t="shared" ref="D29:J29" si="14">SUM(D30:D31)</f>
        <v>20498675</v>
      </c>
      <c r="E29" s="187">
        <f t="shared" si="14"/>
        <v>20521473</v>
      </c>
      <c r="F29" s="187">
        <f t="shared" si="14"/>
        <v>21201473</v>
      </c>
      <c r="G29" s="187"/>
      <c r="H29" s="187">
        <f t="shared" si="14"/>
        <v>11664414</v>
      </c>
      <c r="I29" s="187">
        <f t="shared" si="14"/>
        <v>16279513</v>
      </c>
      <c r="J29" s="187">
        <f t="shared" si="14"/>
        <v>20924717</v>
      </c>
      <c r="K29" s="10"/>
      <c r="L29" s="588">
        <f t="shared" ref="L29:N30" si="15">IF(H29&gt;0,H29/C29,0)</f>
        <v>0.57596355915465136</v>
      </c>
      <c r="M29" s="588">
        <f t="shared" si="15"/>
        <v>0.7941739161189687</v>
      </c>
      <c r="N29" s="588">
        <f t="shared" si="15"/>
        <v>1.0196498565185843</v>
      </c>
      <c r="O29" s="10"/>
      <c r="P29" s="292">
        <f t="shared" si="2"/>
        <v>246675</v>
      </c>
      <c r="Q29" s="292">
        <f t="shared" si="3"/>
        <v>22798</v>
      </c>
      <c r="R29" s="292">
        <f t="shared" si="4"/>
        <v>680000</v>
      </c>
      <c r="S29" s="292">
        <f>+P29*P$10+Q29*Q$10+R29*R$10</f>
        <v>949473</v>
      </c>
      <c r="T29" s="278">
        <f t="shared" si="5"/>
        <v>4.6882925143195732E-2</v>
      </c>
      <c r="U29" s="120"/>
      <c r="V29" s="192">
        <f t="shared" si="13"/>
        <v>680000</v>
      </c>
    </row>
    <row r="30" spans="1:23" x14ac:dyDescent="0.25">
      <c r="A30" s="20"/>
      <c r="B30" s="20" t="s">
        <v>24</v>
      </c>
      <c r="C30" s="96">
        <v>20252000</v>
      </c>
      <c r="D30" s="96">
        <v>20498675</v>
      </c>
      <c r="E30" s="68">
        <v>20521473</v>
      </c>
      <c r="F30" s="68">
        <v>21201473</v>
      </c>
      <c r="G30" s="68"/>
      <c r="H30" s="68">
        <v>11664414</v>
      </c>
      <c r="I30" s="68">
        <v>16279513</v>
      </c>
      <c r="J30" s="68">
        <v>20924717</v>
      </c>
      <c r="K30" s="16"/>
      <c r="L30" s="591">
        <f t="shared" si="15"/>
        <v>0.57596355915465136</v>
      </c>
      <c r="M30" s="591">
        <f t="shared" si="15"/>
        <v>0.7941739161189687</v>
      </c>
      <c r="N30" s="591">
        <f t="shared" si="15"/>
        <v>1.0196498565185843</v>
      </c>
      <c r="O30" s="16"/>
      <c r="P30" s="81">
        <f t="shared" si="2"/>
        <v>246675</v>
      </c>
      <c r="Q30" s="81">
        <f t="shared" si="3"/>
        <v>22798</v>
      </c>
      <c r="R30" s="81">
        <f t="shared" si="4"/>
        <v>680000</v>
      </c>
      <c r="S30" s="81">
        <f>+P30*P$10+Q30*Q$10+R30*R$10</f>
        <v>949473</v>
      </c>
      <c r="T30" s="277">
        <f t="shared" si="5"/>
        <v>4.6882925143195732E-2</v>
      </c>
      <c r="U30" s="120"/>
      <c r="V30" s="192">
        <f t="shared" si="13"/>
        <v>680000</v>
      </c>
    </row>
    <row r="31" spans="1:23" x14ac:dyDescent="0.25">
      <c r="A31" s="20"/>
      <c r="B31" s="14"/>
      <c r="C31" s="96"/>
      <c r="D31" s="68"/>
      <c r="E31" s="68"/>
      <c r="F31" s="68"/>
      <c r="G31" s="68"/>
      <c r="H31" s="142" t="s">
        <v>505</v>
      </c>
      <c r="I31" s="68"/>
      <c r="J31" s="68"/>
      <c r="K31" s="16"/>
      <c r="L31" s="590"/>
      <c r="M31" s="590"/>
      <c r="N31" s="590"/>
      <c r="O31" s="16"/>
      <c r="P31" s="81"/>
      <c r="Q31" s="81"/>
      <c r="R31" s="81"/>
      <c r="S31" s="81"/>
      <c r="T31" s="277"/>
      <c r="U31" s="120"/>
      <c r="V31" s="192"/>
    </row>
    <row r="32" spans="1:23" x14ac:dyDescent="0.25">
      <c r="A32" s="5" t="s">
        <v>25</v>
      </c>
      <c r="B32" s="5" t="s">
        <v>26</v>
      </c>
      <c r="C32" s="187">
        <f>+C33+C41+C48+C66+C71</f>
        <v>11128000</v>
      </c>
      <c r="D32" s="187">
        <f t="shared" ref="D32:J32" si="16">+D33+D41+D48+D66+D71</f>
        <v>11011573</v>
      </c>
      <c r="E32" s="187">
        <f t="shared" si="16"/>
        <v>11235624</v>
      </c>
      <c r="F32" s="187">
        <f t="shared" si="16"/>
        <v>10587993</v>
      </c>
      <c r="G32" s="187"/>
      <c r="H32" s="187">
        <f t="shared" si="16"/>
        <v>4746493</v>
      </c>
      <c r="I32" s="187">
        <f t="shared" si="16"/>
        <v>7111916</v>
      </c>
      <c r="J32" s="187">
        <f t="shared" si="16"/>
        <v>9763591</v>
      </c>
      <c r="K32" s="10"/>
      <c r="L32" s="588">
        <f t="shared" ref="L32:N34" si="17">IF(H32&gt;0,H32/C32,0)</f>
        <v>0.42653603522645578</v>
      </c>
      <c r="M32" s="588">
        <f t="shared" si="17"/>
        <v>0.64585831651844838</v>
      </c>
      <c r="N32" s="588">
        <f t="shared" si="17"/>
        <v>0.86898520278001468</v>
      </c>
      <c r="O32" s="10"/>
      <c r="P32" s="292">
        <f t="shared" si="2"/>
        <v>-116427</v>
      </c>
      <c r="Q32" s="292">
        <f t="shared" si="3"/>
        <v>224051</v>
      </c>
      <c r="R32" s="292">
        <f t="shared" si="4"/>
        <v>-647631</v>
      </c>
      <c r="S32" s="292">
        <f t="shared" ref="S32:S89" si="18">+P32*P$10+Q32*Q$10+R32*R$10</f>
        <v>-540007</v>
      </c>
      <c r="T32" s="278">
        <f t="shared" si="5"/>
        <v>-4.8526869158878508E-2</v>
      </c>
      <c r="U32" s="120"/>
      <c r="V32" s="192">
        <f t="shared" si="13"/>
        <v>-647631</v>
      </c>
    </row>
    <row r="33" spans="1:22" x14ac:dyDescent="0.25">
      <c r="A33" s="39" t="s">
        <v>27</v>
      </c>
      <c r="B33" s="39" t="s">
        <v>28</v>
      </c>
      <c r="C33" s="371">
        <f>SUM(C34:C40)</f>
        <v>2605000</v>
      </c>
      <c r="D33" s="371">
        <f t="shared" ref="D33:J33" si="19">SUM(D34:D40)</f>
        <v>2605000</v>
      </c>
      <c r="E33" s="371">
        <f t="shared" si="19"/>
        <v>2035320</v>
      </c>
      <c r="F33" s="371">
        <f t="shared" si="19"/>
        <v>1573792</v>
      </c>
      <c r="G33" s="371"/>
      <c r="H33" s="371">
        <f t="shared" si="19"/>
        <v>743356</v>
      </c>
      <c r="I33" s="371">
        <f t="shared" si="19"/>
        <v>1035801</v>
      </c>
      <c r="J33" s="371">
        <f t="shared" si="19"/>
        <v>1458314</v>
      </c>
      <c r="K33" s="16"/>
      <c r="L33" s="591">
        <f t="shared" si="17"/>
        <v>0.2853573896353167</v>
      </c>
      <c r="M33" s="590">
        <f t="shared" si="17"/>
        <v>0.39762034548944336</v>
      </c>
      <c r="N33" s="590">
        <f t="shared" si="17"/>
        <v>0.71650354735373312</v>
      </c>
      <c r="O33" s="16"/>
      <c r="P33" s="81">
        <f t="shared" si="2"/>
        <v>0</v>
      </c>
      <c r="Q33" s="81">
        <f t="shared" si="3"/>
        <v>-569680</v>
      </c>
      <c r="R33" s="81">
        <f t="shared" si="4"/>
        <v>-461528</v>
      </c>
      <c r="S33" s="81">
        <f t="shared" si="18"/>
        <v>-1031208</v>
      </c>
      <c r="T33" s="277">
        <f t="shared" si="5"/>
        <v>-0.39585719769673705</v>
      </c>
      <c r="U33" s="120"/>
      <c r="V33" s="192">
        <f t="shared" si="13"/>
        <v>-461528</v>
      </c>
    </row>
    <row r="34" spans="1:22" x14ac:dyDescent="0.25">
      <c r="A34" s="20" t="s">
        <v>29</v>
      </c>
      <c r="B34" s="20" t="s">
        <v>31</v>
      </c>
      <c r="C34" s="96">
        <v>285000</v>
      </c>
      <c r="D34" s="96">
        <v>285000</v>
      </c>
      <c r="E34" s="96">
        <v>285000</v>
      </c>
      <c r="F34" s="68">
        <v>285000</v>
      </c>
      <c r="G34" s="68"/>
      <c r="H34" s="68">
        <v>164320</v>
      </c>
      <c r="I34" s="68">
        <v>164320</v>
      </c>
      <c r="J34" s="68">
        <v>200570</v>
      </c>
      <c r="K34" s="16"/>
      <c r="L34" s="591">
        <f t="shared" si="17"/>
        <v>0.57656140350877194</v>
      </c>
      <c r="M34" s="591">
        <f t="shared" si="17"/>
        <v>0.57656140350877194</v>
      </c>
      <c r="N34" s="591">
        <f t="shared" si="17"/>
        <v>0.70375438596491224</v>
      </c>
      <c r="O34" s="16"/>
      <c r="P34" s="81">
        <f t="shared" si="2"/>
        <v>0</v>
      </c>
      <c r="Q34" s="81">
        <f t="shared" si="3"/>
        <v>0</v>
      </c>
      <c r="R34" s="81">
        <f t="shared" si="4"/>
        <v>0</v>
      </c>
      <c r="S34" s="81">
        <f t="shared" si="18"/>
        <v>0</v>
      </c>
      <c r="T34" s="277">
        <f t="shared" si="5"/>
        <v>0</v>
      </c>
      <c r="U34" s="120"/>
      <c r="V34" s="192">
        <f t="shared" si="13"/>
        <v>0</v>
      </c>
    </row>
    <row r="35" spans="1:22" x14ac:dyDescent="0.25">
      <c r="A35" s="20"/>
      <c r="B35" s="20" t="s">
        <v>85</v>
      </c>
      <c r="C35" s="96"/>
      <c r="D35" s="96"/>
      <c r="E35" s="96"/>
      <c r="F35" s="68"/>
      <c r="G35" s="68"/>
      <c r="H35" s="68"/>
      <c r="I35" s="68"/>
      <c r="J35" s="68"/>
      <c r="K35" s="16"/>
      <c r="L35" s="591"/>
      <c r="M35" s="591"/>
      <c r="N35" s="591"/>
      <c r="O35" s="16"/>
      <c r="P35" s="81">
        <f t="shared" si="2"/>
        <v>0</v>
      </c>
      <c r="Q35" s="81">
        <f t="shared" si="3"/>
        <v>0</v>
      </c>
      <c r="R35" s="81">
        <f t="shared" si="4"/>
        <v>0</v>
      </c>
      <c r="S35" s="81">
        <f t="shared" si="18"/>
        <v>0</v>
      </c>
      <c r="T35" s="277">
        <f t="shared" si="5"/>
        <v>0</v>
      </c>
      <c r="U35" s="120"/>
      <c r="V35" s="192">
        <f t="shared" si="11"/>
        <v>0</v>
      </c>
    </row>
    <row r="36" spans="1:22" x14ac:dyDescent="0.25">
      <c r="A36" s="20" t="s">
        <v>30</v>
      </c>
      <c r="B36" s="20" t="s">
        <v>32</v>
      </c>
      <c r="C36" s="96">
        <f>1800000+26*20000</f>
        <v>2320000</v>
      </c>
      <c r="D36" s="96">
        <f>1800000+26*20000</f>
        <v>2320000</v>
      </c>
      <c r="E36" s="96">
        <v>1750320</v>
      </c>
      <c r="F36" s="68">
        <v>1288792</v>
      </c>
      <c r="G36" s="68"/>
      <c r="H36" s="68">
        <v>579036</v>
      </c>
      <c r="I36" s="68">
        <v>871481</v>
      </c>
      <c r="J36" s="68">
        <v>1257744</v>
      </c>
      <c r="K36" s="16"/>
      <c r="L36" s="591">
        <f>IF(H36&gt;0,H36/C36,0)</f>
        <v>0.24958448275862069</v>
      </c>
      <c r="M36" s="591">
        <f>IF(I36&gt;0,I36/D36,0)</f>
        <v>0.3756383620689655</v>
      </c>
      <c r="N36" s="591">
        <f>IF(J36&gt;0,J36/E36,0)</f>
        <v>0.71857945975593029</v>
      </c>
      <c r="O36" s="16"/>
      <c r="P36" s="81">
        <f t="shared" si="2"/>
        <v>0</v>
      </c>
      <c r="Q36" s="81">
        <f t="shared" si="3"/>
        <v>-569680</v>
      </c>
      <c r="R36" s="81">
        <f t="shared" si="4"/>
        <v>-461528</v>
      </c>
      <c r="S36" s="81">
        <f t="shared" si="18"/>
        <v>-1031208</v>
      </c>
      <c r="T36" s="277">
        <f t="shared" si="5"/>
        <v>-0.44448620689655172</v>
      </c>
      <c r="U36" s="120"/>
      <c r="V36" s="192">
        <f t="shared" si="11"/>
        <v>-461528</v>
      </c>
    </row>
    <row r="37" spans="1:22" x14ac:dyDescent="0.25">
      <c r="A37" s="20"/>
      <c r="B37" s="20" t="s">
        <v>101</v>
      </c>
      <c r="C37" s="96"/>
      <c r="D37" s="68"/>
      <c r="E37" s="68"/>
      <c r="F37" s="68"/>
      <c r="G37" s="68"/>
      <c r="H37" s="68"/>
      <c r="I37" s="68"/>
      <c r="J37" s="68"/>
      <c r="K37" s="16"/>
      <c r="L37" s="591"/>
      <c r="M37" s="591"/>
      <c r="N37" s="591"/>
      <c r="O37" s="16"/>
      <c r="P37" s="81">
        <f t="shared" si="2"/>
        <v>0</v>
      </c>
      <c r="Q37" s="81">
        <f t="shared" si="3"/>
        <v>0</v>
      </c>
      <c r="R37" s="81">
        <f t="shared" si="4"/>
        <v>0</v>
      </c>
      <c r="S37" s="81">
        <f t="shared" si="18"/>
        <v>0</v>
      </c>
      <c r="T37" s="277">
        <f t="shared" si="5"/>
        <v>0</v>
      </c>
      <c r="U37" s="120"/>
      <c r="V37" s="192">
        <f t="shared" si="11"/>
        <v>0</v>
      </c>
    </row>
    <row r="38" spans="1:22" x14ac:dyDescent="0.25">
      <c r="A38" s="20"/>
      <c r="B38" s="20" t="s">
        <v>91</v>
      </c>
      <c r="C38" s="96"/>
      <c r="D38" s="68"/>
      <c r="E38" s="68"/>
      <c r="F38" s="68"/>
      <c r="G38" s="68"/>
      <c r="H38" s="68"/>
      <c r="I38" s="68"/>
      <c r="J38" s="68"/>
      <c r="K38" s="16"/>
      <c r="L38" s="591"/>
      <c r="M38" s="591"/>
      <c r="N38" s="591"/>
      <c r="O38" s="16"/>
      <c r="P38" s="81">
        <f t="shared" si="2"/>
        <v>0</v>
      </c>
      <c r="Q38" s="81">
        <f t="shared" si="3"/>
        <v>0</v>
      </c>
      <c r="R38" s="81">
        <f t="shared" si="4"/>
        <v>0</v>
      </c>
      <c r="S38" s="81">
        <f t="shared" si="18"/>
        <v>0</v>
      </c>
      <c r="T38" s="277">
        <f t="shared" si="5"/>
        <v>0</v>
      </c>
      <c r="U38" s="120"/>
      <c r="V38" s="192">
        <f t="shared" si="11"/>
        <v>0</v>
      </c>
    </row>
    <row r="39" spans="1:22" x14ac:dyDescent="0.25">
      <c r="A39" s="20"/>
      <c r="B39" s="20" t="s">
        <v>90</v>
      </c>
      <c r="C39" s="96"/>
      <c r="D39" s="68"/>
      <c r="E39" s="68"/>
      <c r="F39" s="68"/>
      <c r="G39" s="68"/>
      <c r="H39" s="68"/>
      <c r="I39" s="68"/>
      <c r="J39" s="68"/>
      <c r="K39" s="16"/>
      <c r="L39" s="591"/>
      <c r="M39" s="591"/>
      <c r="N39" s="591"/>
      <c r="O39" s="16"/>
      <c r="P39" s="81">
        <f t="shared" si="2"/>
        <v>0</v>
      </c>
      <c r="Q39" s="81">
        <f t="shared" si="3"/>
        <v>0</v>
      </c>
      <c r="R39" s="81">
        <f t="shared" si="4"/>
        <v>0</v>
      </c>
      <c r="S39" s="81">
        <f t="shared" si="18"/>
        <v>0</v>
      </c>
      <c r="T39" s="277">
        <f t="shared" si="5"/>
        <v>0</v>
      </c>
      <c r="U39" s="120"/>
      <c r="V39" s="192">
        <f t="shared" si="11"/>
        <v>0</v>
      </c>
    </row>
    <row r="40" spans="1:22" x14ac:dyDescent="0.25">
      <c r="A40" s="20"/>
      <c r="B40" s="20" t="s">
        <v>89</v>
      </c>
      <c r="C40" s="96"/>
      <c r="D40" s="68"/>
      <c r="E40" s="68"/>
      <c r="F40" s="68"/>
      <c r="G40" s="68"/>
      <c r="H40" s="68"/>
      <c r="I40" s="68"/>
      <c r="J40" s="68"/>
      <c r="K40" s="16"/>
      <c r="L40" s="591"/>
      <c r="M40" s="591"/>
      <c r="N40" s="591"/>
      <c r="O40" s="16"/>
      <c r="P40" s="81">
        <f t="shared" si="2"/>
        <v>0</v>
      </c>
      <c r="Q40" s="81">
        <f t="shared" si="3"/>
        <v>0</v>
      </c>
      <c r="R40" s="81">
        <f t="shared" si="4"/>
        <v>0</v>
      </c>
      <c r="S40" s="81">
        <f t="shared" si="18"/>
        <v>0</v>
      </c>
      <c r="T40" s="277">
        <f t="shared" si="5"/>
        <v>0</v>
      </c>
      <c r="U40" s="120"/>
      <c r="V40" s="192">
        <f t="shared" si="11"/>
        <v>0</v>
      </c>
    </row>
    <row r="41" spans="1:22" x14ac:dyDescent="0.25">
      <c r="A41" s="39" t="s">
        <v>33</v>
      </c>
      <c r="B41" s="39" t="s">
        <v>34</v>
      </c>
      <c r="C41" s="371">
        <f>SUM(C42:C47)</f>
        <v>753000</v>
      </c>
      <c r="D41" s="371">
        <f t="shared" ref="D41:J41" si="20">SUM(D42:D47)</f>
        <v>753000</v>
      </c>
      <c r="E41" s="371">
        <f t="shared" si="20"/>
        <v>753000</v>
      </c>
      <c r="F41" s="371">
        <f t="shared" si="20"/>
        <v>773000</v>
      </c>
      <c r="G41" s="371"/>
      <c r="H41" s="371">
        <f t="shared" si="20"/>
        <v>337274</v>
      </c>
      <c r="I41" s="371">
        <f t="shared" si="20"/>
        <v>425996</v>
      </c>
      <c r="J41" s="371">
        <f t="shared" si="20"/>
        <v>639453</v>
      </c>
      <c r="K41" s="372"/>
      <c r="L41" s="591">
        <f t="shared" ref="L41:N42" si="21">IF(H41&gt;0,H41/C41,0)</f>
        <v>0.44790703851261621</v>
      </c>
      <c r="M41" s="592">
        <f t="shared" si="21"/>
        <v>0.5657317397078353</v>
      </c>
      <c r="N41" s="592">
        <f t="shared" si="21"/>
        <v>0.84920717131474099</v>
      </c>
      <c r="O41" s="372"/>
      <c r="P41" s="373">
        <f t="shared" si="2"/>
        <v>0</v>
      </c>
      <c r="Q41" s="373">
        <f t="shared" si="3"/>
        <v>0</v>
      </c>
      <c r="R41" s="373">
        <f t="shared" si="4"/>
        <v>20000</v>
      </c>
      <c r="S41" s="373">
        <f t="shared" si="18"/>
        <v>20000</v>
      </c>
      <c r="T41" s="277">
        <f t="shared" si="5"/>
        <v>2.6560424966799469E-2</v>
      </c>
      <c r="U41" s="120"/>
      <c r="V41" s="192">
        <f t="shared" si="11"/>
        <v>20000</v>
      </c>
    </row>
    <row r="42" spans="1:22" x14ac:dyDescent="0.25">
      <c r="A42" s="20" t="s">
        <v>35</v>
      </c>
      <c r="B42" s="20" t="s">
        <v>36</v>
      </c>
      <c r="C42" s="96">
        <v>585000</v>
      </c>
      <c r="D42" s="96">
        <v>585000</v>
      </c>
      <c r="E42" s="96">
        <v>585000</v>
      </c>
      <c r="F42" s="68">
        <v>583000</v>
      </c>
      <c r="G42" s="68"/>
      <c r="H42" s="68">
        <v>258928</v>
      </c>
      <c r="I42" s="68">
        <v>291178</v>
      </c>
      <c r="J42" s="68">
        <v>450599</v>
      </c>
      <c r="K42" s="16"/>
      <c r="L42" s="591">
        <f t="shared" si="21"/>
        <v>0.44261196581196582</v>
      </c>
      <c r="M42" s="591">
        <f t="shared" si="21"/>
        <v>0.49774017094017092</v>
      </c>
      <c r="N42" s="591">
        <f t="shared" si="21"/>
        <v>0.77025470085470082</v>
      </c>
      <c r="O42" s="16"/>
      <c r="P42" s="81">
        <f t="shared" si="2"/>
        <v>0</v>
      </c>
      <c r="Q42" s="81">
        <f t="shared" si="3"/>
        <v>0</v>
      </c>
      <c r="R42" s="81">
        <f t="shared" si="4"/>
        <v>-2000</v>
      </c>
      <c r="S42" s="81">
        <f t="shared" si="18"/>
        <v>-2000</v>
      </c>
      <c r="T42" s="277">
        <f t="shared" si="5"/>
        <v>-3.4188034188034188E-3</v>
      </c>
      <c r="U42" s="120"/>
      <c r="V42" s="192">
        <f t="shared" si="11"/>
        <v>-2000</v>
      </c>
    </row>
    <row r="43" spans="1:22" x14ac:dyDescent="0.25">
      <c r="A43" s="20"/>
      <c r="B43" s="20" t="s">
        <v>37</v>
      </c>
      <c r="C43" s="96"/>
      <c r="D43" s="96"/>
      <c r="E43" s="96"/>
      <c r="F43" s="68"/>
      <c r="G43" s="68"/>
      <c r="H43" s="68"/>
      <c r="I43" s="68"/>
      <c r="J43" s="68"/>
      <c r="K43" s="16"/>
      <c r="L43" s="591"/>
      <c r="M43" s="591"/>
      <c r="N43" s="591"/>
      <c r="O43" s="16"/>
      <c r="P43" s="81">
        <f t="shared" si="2"/>
        <v>0</v>
      </c>
      <c r="Q43" s="81">
        <f t="shared" si="3"/>
        <v>0</v>
      </c>
      <c r="R43" s="81">
        <f t="shared" si="4"/>
        <v>0</v>
      </c>
      <c r="S43" s="81">
        <f t="shared" si="18"/>
        <v>0</v>
      </c>
      <c r="T43" s="277">
        <f t="shared" si="5"/>
        <v>0</v>
      </c>
      <c r="U43" s="120"/>
      <c r="V43" s="192">
        <f t="shared" si="11"/>
        <v>0</v>
      </c>
    </row>
    <row r="44" spans="1:22" x14ac:dyDescent="0.25">
      <c r="A44" s="20"/>
      <c r="B44" s="20" t="s">
        <v>38</v>
      </c>
      <c r="C44" s="96"/>
      <c r="D44" s="96"/>
      <c r="E44" s="96"/>
      <c r="F44" s="68"/>
      <c r="G44" s="68"/>
      <c r="H44" s="68"/>
      <c r="I44" s="68"/>
      <c r="J44" s="68"/>
      <c r="K44" s="16"/>
      <c r="L44" s="591"/>
      <c r="M44" s="591"/>
      <c r="N44" s="591"/>
      <c r="O44" s="16"/>
      <c r="P44" s="81">
        <f t="shared" si="2"/>
        <v>0</v>
      </c>
      <c r="Q44" s="81">
        <f t="shared" si="3"/>
        <v>0</v>
      </c>
      <c r="R44" s="81">
        <f t="shared" si="4"/>
        <v>0</v>
      </c>
      <c r="S44" s="81">
        <f t="shared" si="18"/>
        <v>0</v>
      </c>
      <c r="T44" s="277">
        <f t="shared" si="5"/>
        <v>0</v>
      </c>
      <c r="U44" s="120"/>
      <c r="V44" s="192">
        <f t="shared" si="11"/>
        <v>0</v>
      </c>
    </row>
    <row r="45" spans="1:22" x14ac:dyDescent="0.25">
      <c r="A45" s="20"/>
      <c r="B45" s="20" t="s">
        <v>39</v>
      </c>
      <c r="C45" s="96"/>
      <c r="D45" s="96"/>
      <c r="E45" s="96"/>
      <c r="F45" s="68"/>
      <c r="G45" s="68"/>
      <c r="H45" s="68"/>
      <c r="I45" s="68"/>
      <c r="J45" s="68"/>
      <c r="K45" s="16"/>
      <c r="L45" s="591">
        <f t="shared" ref="L45:N46" si="22">IF(H45&gt;0,H45/C45,0)</f>
        <v>0</v>
      </c>
      <c r="M45" s="591">
        <f t="shared" si="22"/>
        <v>0</v>
      </c>
      <c r="N45" s="591">
        <f t="shared" si="22"/>
        <v>0</v>
      </c>
      <c r="O45" s="16"/>
      <c r="P45" s="81">
        <f t="shared" si="2"/>
        <v>0</v>
      </c>
      <c r="Q45" s="81">
        <f t="shared" si="3"/>
        <v>0</v>
      </c>
      <c r="R45" s="81">
        <f t="shared" si="4"/>
        <v>0</v>
      </c>
      <c r="S45" s="81">
        <f t="shared" si="18"/>
        <v>0</v>
      </c>
      <c r="T45" s="277">
        <f t="shared" si="5"/>
        <v>0</v>
      </c>
      <c r="U45" s="120"/>
      <c r="V45" s="192">
        <f t="shared" si="11"/>
        <v>0</v>
      </c>
    </row>
    <row r="46" spans="1:22" x14ac:dyDescent="0.25">
      <c r="A46" s="20" t="s">
        <v>40</v>
      </c>
      <c r="B46" s="20" t="s">
        <v>41</v>
      </c>
      <c r="C46" s="96">
        <v>168000</v>
      </c>
      <c r="D46" s="96">
        <v>168000</v>
      </c>
      <c r="E46" s="96">
        <v>168000</v>
      </c>
      <c r="F46" s="68">
        <v>190000</v>
      </c>
      <c r="G46" s="68"/>
      <c r="H46" s="68">
        <v>78346</v>
      </c>
      <c r="I46" s="68">
        <v>134818</v>
      </c>
      <c r="J46" s="68">
        <v>188854</v>
      </c>
      <c r="K46" s="16"/>
      <c r="L46" s="591">
        <f t="shared" si="22"/>
        <v>0.46634523809523809</v>
      </c>
      <c r="M46" s="591">
        <f t="shared" si="22"/>
        <v>0.80248809523809528</v>
      </c>
      <c r="N46" s="591">
        <f t="shared" si="22"/>
        <v>1.1241309523809524</v>
      </c>
      <c r="O46" s="16"/>
      <c r="P46" s="81">
        <f t="shared" si="2"/>
        <v>0</v>
      </c>
      <c r="Q46" s="81">
        <f t="shared" si="3"/>
        <v>0</v>
      </c>
      <c r="R46" s="81">
        <f t="shared" si="4"/>
        <v>22000</v>
      </c>
      <c r="S46" s="81">
        <f t="shared" si="18"/>
        <v>22000</v>
      </c>
      <c r="T46" s="277">
        <f t="shared" si="5"/>
        <v>0.13095238095238096</v>
      </c>
      <c r="U46" s="120"/>
      <c r="V46" s="192">
        <f t="shared" si="11"/>
        <v>22000</v>
      </c>
    </row>
    <row r="47" spans="1:22" x14ac:dyDescent="0.25">
      <c r="A47" s="20"/>
      <c r="B47" s="20" t="s">
        <v>42</v>
      </c>
      <c r="C47" s="96"/>
      <c r="D47" s="68"/>
      <c r="E47" s="68"/>
      <c r="F47" s="68"/>
      <c r="G47" s="68"/>
      <c r="H47" s="68"/>
      <c r="I47" s="68"/>
      <c r="J47" s="68"/>
      <c r="K47" s="16"/>
      <c r="L47" s="591"/>
      <c r="M47" s="591"/>
      <c r="N47" s="591"/>
      <c r="O47" s="16"/>
      <c r="P47" s="81">
        <f t="shared" si="2"/>
        <v>0</v>
      </c>
      <c r="Q47" s="81">
        <f t="shared" si="3"/>
        <v>0</v>
      </c>
      <c r="R47" s="81">
        <f t="shared" si="4"/>
        <v>0</v>
      </c>
      <c r="S47" s="81">
        <f t="shared" si="18"/>
        <v>0</v>
      </c>
      <c r="T47" s="277">
        <f t="shared" si="5"/>
        <v>0</v>
      </c>
      <c r="U47" s="120"/>
      <c r="V47" s="192">
        <f t="shared" si="11"/>
        <v>0</v>
      </c>
    </row>
    <row r="48" spans="1:22" x14ac:dyDescent="0.25">
      <c r="A48" s="39" t="s">
        <v>43</v>
      </c>
      <c r="B48" s="39" t="s">
        <v>44</v>
      </c>
      <c r="C48" s="371">
        <f>SUM(C49:C65)</f>
        <v>5260000</v>
      </c>
      <c r="D48" s="371">
        <f t="shared" ref="D48:J48" si="23">SUM(D49:D65)</f>
        <v>4710000</v>
      </c>
      <c r="E48" s="371">
        <f t="shared" si="23"/>
        <v>5191831</v>
      </c>
      <c r="F48" s="371">
        <f t="shared" si="23"/>
        <v>5054605</v>
      </c>
      <c r="G48" s="371"/>
      <c r="H48" s="371">
        <f t="shared" si="23"/>
        <v>2392417</v>
      </c>
      <c r="I48" s="371">
        <f t="shared" si="23"/>
        <v>3445904</v>
      </c>
      <c r="J48" s="371">
        <f t="shared" si="23"/>
        <v>4648962</v>
      </c>
      <c r="K48" s="16"/>
      <c r="L48" s="591">
        <f t="shared" ref="L48:N49" si="24">IF(H48&gt;0,H48/C48,0)</f>
        <v>0.45483212927756655</v>
      </c>
      <c r="M48" s="591">
        <f t="shared" si="24"/>
        <v>0.73161443736730358</v>
      </c>
      <c r="N48" s="591">
        <f t="shared" si="24"/>
        <v>0.895437852272156</v>
      </c>
      <c r="O48" s="16"/>
      <c r="P48" s="81">
        <f t="shared" si="2"/>
        <v>-550000</v>
      </c>
      <c r="Q48" s="81">
        <f t="shared" si="3"/>
        <v>481831</v>
      </c>
      <c r="R48" s="81">
        <f t="shared" si="4"/>
        <v>-137226</v>
      </c>
      <c r="S48" s="81">
        <f t="shared" si="18"/>
        <v>-205395</v>
      </c>
      <c r="T48" s="277">
        <f t="shared" si="5"/>
        <v>-3.9048479087452473E-2</v>
      </c>
      <c r="U48" s="120"/>
      <c r="V48" s="192">
        <f t="shared" si="11"/>
        <v>-137226</v>
      </c>
    </row>
    <row r="49" spans="1:22" x14ac:dyDescent="0.25">
      <c r="A49" s="20" t="s">
        <v>45</v>
      </c>
      <c r="B49" s="20" t="s">
        <v>46</v>
      </c>
      <c r="C49" s="96">
        <v>1800000</v>
      </c>
      <c r="D49" s="96">
        <v>1800000</v>
      </c>
      <c r="E49" s="68">
        <v>2100000</v>
      </c>
      <c r="F49" s="68">
        <v>1900000</v>
      </c>
      <c r="G49" s="68"/>
      <c r="H49" s="68">
        <v>915741</v>
      </c>
      <c r="I49" s="68">
        <v>1446443</v>
      </c>
      <c r="J49" s="68">
        <v>1896534</v>
      </c>
      <c r="K49" s="16"/>
      <c r="L49" s="591">
        <f t="shared" si="24"/>
        <v>0.508745</v>
      </c>
      <c r="M49" s="591">
        <f t="shared" si="24"/>
        <v>0.8035794444444444</v>
      </c>
      <c r="N49" s="591">
        <f t="shared" si="24"/>
        <v>0.90311142857142856</v>
      </c>
      <c r="O49" s="16"/>
      <c r="P49" s="81">
        <f t="shared" si="2"/>
        <v>0</v>
      </c>
      <c r="Q49" s="81">
        <f t="shared" si="3"/>
        <v>300000</v>
      </c>
      <c r="R49" s="81">
        <f t="shared" si="4"/>
        <v>-200000</v>
      </c>
      <c r="S49" s="81">
        <f t="shared" si="18"/>
        <v>100000</v>
      </c>
      <c r="T49" s="277">
        <f t="shared" si="5"/>
        <v>5.5555555555555552E-2</v>
      </c>
      <c r="U49" s="120"/>
      <c r="V49" s="192">
        <f t="shared" si="11"/>
        <v>-200000</v>
      </c>
    </row>
    <row r="50" spans="1:22" x14ac:dyDescent="0.25">
      <c r="A50" s="20" t="s">
        <v>99</v>
      </c>
      <c r="B50" s="20" t="s">
        <v>93</v>
      </c>
      <c r="C50" s="96"/>
      <c r="D50" s="68"/>
      <c r="E50" s="68"/>
      <c r="F50" s="68"/>
      <c r="G50" s="68"/>
      <c r="H50" s="68"/>
      <c r="I50" s="68"/>
      <c r="J50" s="68"/>
      <c r="K50" s="16"/>
      <c r="L50" s="591"/>
      <c r="M50" s="591"/>
      <c r="N50" s="591"/>
      <c r="O50" s="16"/>
      <c r="P50" s="81">
        <f t="shared" si="2"/>
        <v>0</v>
      </c>
      <c r="Q50" s="81">
        <f t="shared" si="3"/>
        <v>0</v>
      </c>
      <c r="R50" s="81">
        <f t="shared" si="4"/>
        <v>0</v>
      </c>
      <c r="S50" s="81">
        <f t="shared" si="18"/>
        <v>0</v>
      </c>
      <c r="T50" s="277">
        <f t="shared" si="5"/>
        <v>0</v>
      </c>
      <c r="U50" s="120"/>
      <c r="V50" s="192">
        <f t="shared" si="11"/>
        <v>0</v>
      </c>
    </row>
    <row r="51" spans="1:22" x14ac:dyDescent="0.25">
      <c r="A51" s="20"/>
      <c r="B51" s="20" t="s">
        <v>94</v>
      </c>
      <c r="C51" s="96"/>
      <c r="D51" s="68"/>
      <c r="E51" s="68"/>
      <c r="F51" s="68"/>
      <c r="G51" s="68"/>
      <c r="H51" s="68"/>
      <c r="I51" s="68"/>
      <c r="J51" s="68"/>
      <c r="K51" s="16"/>
      <c r="L51" s="591"/>
      <c r="M51" s="591"/>
      <c r="N51" s="591"/>
      <c r="O51" s="16"/>
      <c r="P51" s="81">
        <f t="shared" si="2"/>
        <v>0</v>
      </c>
      <c r="Q51" s="81">
        <f t="shared" si="3"/>
        <v>0</v>
      </c>
      <c r="R51" s="81">
        <f t="shared" si="4"/>
        <v>0</v>
      </c>
      <c r="S51" s="81">
        <f t="shared" si="18"/>
        <v>0</v>
      </c>
      <c r="T51" s="277">
        <f t="shared" si="5"/>
        <v>0</v>
      </c>
      <c r="U51" s="120"/>
      <c r="V51" s="192">
        <f t="shared" si="11"/>
        <v>0</v>
      </c>
    </row>
    <row r="52" spans="1:22" x14ac:dyDescent="0.25">
      <c r="A52" s="20"/>
      <c r="B52" s="20" t="s">
        <v>95</v>
      </c>
      <c r="C52" s="96"/>
      <c r="D52" s="68"/>
      <c r="E52" s="68"/>
      <c r="F52" s="68"/>
      <c r="G52" s="68"/>
      <c r="H52" s="68"/>
      <c r="I52" s="68"/>
      <c r="J52" s="68"/>
      <c r="K52" s="16"/>
      <c r="L52" s="591"/>
      <c r="M52" s="591"/>
      <c r="N52" s="591"/>
      <c r="O52" s="16"/>
      <c r="P52" s="81">
        <f t="shared" si="2"/>
        <v>0</v>
      </c>
      <c r="Q52" s="81">
        <f t="shared" si="3"/>
        <v>0</v>
      </c>
      <c r="R52" s="81">
        <f t="shared" si="4"/>
        <v>0</v>
      </c>
      <c r="S52" s="81">
        <f t="shared" si="18"/>
        <v>0</v>
      </c>
      <c r="T52" s="277">
        <f t="shared" si="5"/>
        <v>0</v>
      </c>
      <c r="U52" s="120"/>
      <c r="V52" s="192">
        <f t="shared" si="11"/>
        <v>0</v>
      </c>
    </row>
    <row r="53" spans="1:22" x14ac:dyDescent="0.25">
      <c r="A53" s="20" t="s">
        <v>47</v>
      </c>
      <c r="B53" s="20" t="s">
        <v>48</v>
      </c>
      <c r="C53" s="96">
        <v>0</v>
      </c>
      <c r="D53" s="96">
        <v>0</v>
      </c>
      <c r="E53" s="68">
        <v>0</v>
      </c>
      <c r="F53" s="68">
        <v>0</v>
      </c>
      <c r="G53" s="68"/>
      <c r="H53" s="68">
        <v>0</v>
      </c>
      <c r="I53" s="68">
        <v>0</v>
      </c>
      <c r="J53" s="68">
        <v>0</v>
      </c>
      <c r="K53" s="16"/>
      <c r="L53" s="591">
        <f>IF(H53&gt;0,H53/C53,0)</f>
        <v>0</v>
      </c>
      <c r="M53" s="591">
        <f>IF(I53&gt;0,I53/D53,0)</f>
        <v>0</v>
      </c>
      <c r="N53" s="591">
        <f>IF(J53&gt;0,J53/E53,0)</f>
        <v>0</v>
      </c>
      <c r="O53" s="16"/>
      <c r="P53" s="81">
        <f t="shared" si="2"/>
        <v>0</v>
      </c>
      <c r="Q53" s="81">
        <f t="shared" si="3"/>
        <v>0</v>
      </c>
      <c r="R53" s="81">
        <f t="shared" si="4"/>
        <v>0</v>
      </c>
      <c r="S53" s="81">
        <f t="shared" si="18"/>
        <v>0</v>
      </c>
      <c r="T53" s="277">
        <f t="shared" si="5"/>
        <v>0</v>
      </c>
      <c r="U53" s="120"/>
      <c r="V53" s="192">
        <f t="shared" si="11"/>
        <v>0</v>
      </c>
    </row>
    <row r="54" spans="1:22" x14ac:dyDescent="0.25">
      <c r="A54" s="20"/>
      <c r="B54" s="20" t="s">
        <v>86</v>
      </c>
      <c r="C54" s="96"/>
      <c r="D54" s="68"/>
      <c r="E54" s="68"/>
      <c r="F54" s="68"/>
      <c r="G54" s="68"/>
      <c r="H54" s="68"/>
      <c r="I54" s="68"/>
      <c r="J54" s="68"/>
      <c r="K54" s="16"/>
      <c r="L54" s="591"/>
      <c r="M54" s="591"/>
      <c r="N54" s="591"/>
      <c r="O54" s="16"/>
      <c r="P54" s="81">
        <f t="shared" si="2"/>
        <v>0</v>
      </c>
      <c r="Q54" s="81">
        <f t="shared" si="3"/>
        <v>0</v>
      </c>
      <c r="R54" s="81">
        <f t="shared" si="4"/>
        <v>0</v>
      </c>
      <c r="S54" s="81">
        <f t="shared" si="18"/>
        <v>0</v>
      </c>
      <c r="T54" s="277">
        <f t="shared" si="5"/>
        <v>0</v>
      </c>
      <c r="U54" s="120"/>
      <c r="V54" s="192">
        <f t="shared" si="11"/>
        <v>0</v>
      </c>
    </row>
    <row r="55" spans="1:22" x14ac:dyDescent="0.25">
      <c r="A55" s="20"/>
      <c r="B55" s="20" t="s">
        <v>49</v>
      </c>
      <c r="C55" s="96"/>
      <c r="D55" s="68"/>
      <c r="E55" s="68"/>
      <c r="F55" s="68"/>
      <c r="G55" s="68"/>
      <c r="H55" s="68"/>
      <c r="I55" s="68"/>
      <c r="J55" s="68"/>
      <c r="K55" s="16"/>
      <c r="L55" s="591"/>
      <c r="M55" s="591"/>
      <c r="N55" s="591"/>
      <c r="O55" s="16"/>
      <c r="P55" s="81">
        <f t="shared" si="2"/>
        <v>0</v>
      </c>
      <c r="Q55" s="81">
        <f t="shared" si="3"/>
        <v>0</v>
      </c>
      <c r="R55" s="81">
        <f t="shared" si="4"/>
        <v>0</v>
      </c>
      <c r="S55" s="81">
        <f t="shared" si="18"/>
        <v>0</v>
      </c>
      <c r="T55" s="277">
        <f t="shared" si="5"/>
        <v>0</v>
      </c>
      <c r="U55" s="120"/>
      <c r="V55" s="192">
        <f t="shared" si="11"/>
        <v>0</v>
      </c>
    </row>
    <row r="56" spans="1:22" x14ac:dyDescent="0.25">
      <c r="A56" s="20" t="s">
        <v>50</v>
      </c>
      <c r="B56" s="20" t="s">
        <v>51</v>
      </c>
      <c r="C56" s="96">
        <v>0</v>
      </c>
      <c r="D56" s="68"/>
      <c r="E56" s="68"/>
      <c r="F56" s="68"/>
      <c r="G56" s="68"/>
      <c r="H56" s="68">
        <v>0</v>
      </c>
      <c r="I56" s="68">
        <v>0</v>
      </c>
      <c r="J56" s="68">
        <v>0</v>
      </c>
      <c r="K56" s="16"/>
      <c r="L56" s="591">
        <f>IF(H56&gt;0,H56/C56,0)</f>
        <v>0</v>
      </c>
      <c r="M56" s="591">
        <f>IF(I56&gt;0,I56/D56,0)</f>
        <v>0</v>
      </c>
      <c r="N56" s="591">
        <f>IF(J56&gt;0,J56/E56,0)</f>
        <v>0</v>
      </c>
      <c r="O56" s="16"/>
      <c r="P56" s="81">
        <f t="shared" si="2"/>
        <v>0</v>
      </c>
      <c r="Q56" s="81">
        <f t="shared" si="3"/>
        <v>0</v>
      </c>
      <c r="R56" s="81">
        <f t="shared" si="4"/>
        <v>0</v>
      </c>
      <c r="S56" s="81">
        <f t="shared" si="18"/>
        <v>0</v>
      </c>
      <c r="T56" s="277">
        <f t="shared" si="5"/>
        <v>0</v>
      </c>
      <c r="U56" s="120"/>
      <c r="V56" s="192">
        <f t="shared" si="11"/>
        <v>0</v>
      </c>
    </row>
    <row r="57" spans="1:22" x14ac:dyDescent="0.25">
      <c r="A57" s="20"/>
      <c r="B57" s="20" t="s">
        <v>52</v>
      </c>
      <c r="C57" s="96"/>
      <c r="D57" s="68"/>
      <c r="E57" s="68"/>
      <c r="F57" s="68"/>
      <c r="G57" s="68"/>
      <c r="H57" s="68"/>
      <c r="I57" s="68"/>
      <c r="J57" s="68"/>
      <c r="K57" s="16"/>
      <c r="L57" s="591"/>
      <c r="M57" s="591"/>
      <c r="N57" s="591"/>
      <c r="O57" s="16"/>
      <c r="P57" s="81">
        <f t="shared" si="2"/>
        <v>0</v>
      </c>
      <c r="Q57" s="81">
        <f t="shared" si="3"/>
        <v>0</v>
      </c>
      <c r="R57" s="81">
        <f t="shared" si="4"/>
        <v>0</v>
      </c>
      <c r="S57" s="81">
        <f t="shared" si="18"/>
        <v>0</v>
      </c>
      <c r="T57" s="277">
        <f t="shared" si="5"/>
        <v>0</v>
      </c>
      <c r="U57" s="120"/>
      <c r="V57" s="192">
        <f t="shared" si="11"/>
        <v>0</v>
      </c>
    </row>
    <row r="58" spans="1:22" x14ac:dyDescent="0.25">
      <c r="A58" s="20" t="s">
        <v>53</v>
      </c>
      <c r="B58" s="20" t="s">
        <v>87</v>
      </c>
      <c r="C58" s="96">
        <v>60000</v>
      </c>
      <c r="D58" s="68">
        <v>60000</v>
      </c>
      <c r="E58" s="68">
        <v>60000</v>
      </c>
      <c r="F58" s="68">
        <v>90000</v>
      </c>
      <c r="G58" s="68"/>
      <c r="H58" s="68">
        <v>50000</v>
      </c>
      <c r="I58" s="68">
        <v>50000</v>
      </c>
      <c r="J58" s="68">
        <v>90000</v>
      </c>
      <c r="K58" s="16"/>
      <c r="L58" s="591">
        <f>IF(H58&gt;0,H58/C58,0)</f>
        <v>0.83333333333333337</v>
      </c>
      <c r="M58" s="591">
        <f>IF(I58&gt;0,I58/D58,0)</f>
        <v>0.83333333333333337</v>
      </c>
      <c r="N58" s="591">
        <f>IF(J58&gt;0,J58/E58,0)</f>
        <v>1.5</v>
      </c>
      <c r="O58" s="16"/>
      <c r="P58" s="81">
        <f t="shared" si="2"/>
        <v>0</v>
      </c>
      <c r="Q58" s="81">
        <f t="shared" si="3"/>
        <v>0</v>
      </c>
      <c r="R58" s="81">
        <f t="shared" si="4"/>
        <v>30000</v>
      </c>
      <c r="S58" s="81">
        <f t="shared" si="18"/>
        <v>30000</v>
      </c>
      <c r="T58" s="277">
        <f t="shared" si="5"/>
        <v>0.5</v>
      </c>
      <c r="U58" s="120"/>
      <c r="V58" s="192">
        <f t="shared" si="11"/>
        <v>30000</v>
      </c>
    </row>
    <row r="59" spans="1:22" x14ac:dyDescent="0.25">
      <c r="A59" s="20"/>
      <c r="B59" s="20" t="s">
        <v>54</v>
      </c>
      <c r="C59" s="96"/>
      <c r="D59" s="68"/>
      <c r="E59" s="68"/>
      <c r="F59" s="68"/>
      <c r="G59" s="68"/>
      <c r="H59" s="68"/>
      <c r="I59" s="68"/>
      <c r="J59" s="68"/>
      <c r="K59" s="16"/>
      <c r="L59" s="591"/>
      <c r="M59" s="591"/>
      <c r="N59" s="591"/>
      <c r="O59" s="16"/>
      <c r="P59" s="81">
        <f t="shared" si="2"/>
        <v>0</v>
      </c>
      <c r="Q59" s="81">
        <f t="shared" si="3"/>
        <v>0</v>
      </c>
      <c r="R59" s="81">
        <f t="shared" si="4"/>
        <v>0</v>
      </c>
      <c r="S59" s="81">
        <f t="shared" si="18"/>
        <v>0</v>
      </c>
      <c r="T59" s="277">
        <f t="shared" si="5"/>
        <v>0</v>
      </c>
      <c r="U59" s="120"/>
      <c r="V59" s="192">
        <f t="shared" si="11"/>
        <v>0</v>
      </c>
    </row>
    <row r="60" spans="1:22" x14ac:dyDescent="0.25">
      <c r="A60" s="20" t="s">
        <v>55</v>
      </c>
      <c r="B60" s="20" t="s">
        <v>56</v>
      </c>
      <c r="C60" s="96">
        <v>0</v>
      </c>
      <c r="D60" s="68">
        <v>0</v>
      </c>
      <c r="E60" s="68">
        <v>0</v>
      </c>
      <c r="F60" s="68">
        <v>0</v>
      </c>
      <c r="G60" s="68"/>
      <c r="H60" s="68">
        <v>0</v>
      </c>
      <c r="I60" s="68">
        <v>0</v>
      </c>
      <c r="J60" s="68">
        <v>0</v>
      </c>
      <c r="K60" s="16"/>
      <c r="L60" s="591">
        <f>IF(H60&gt;0,H60/C60,0)</f>
        <v>0</v>
      </c>
      <c r="M60" s="591">
        <f>IF(I60&gt;0,I60/D60,0)</f>
        <v>0</v>
      </c>
      <c r="N60" s="591">
        <f>IF(J60&gt;0,J60/E60,0)</f>
        <v>0</v>
      </c>
      <c r="O60" s="16"/>
      <c r="P60" s="81">
        <f t="shared" si="2"/>
        <v>0</v>
      </c>
      <c r="Q60" s="81">
        <f t="shared" si="3"/>
        <v>0</v>
      </c>
      <c r="R60" s="81">
        <f t="shared" si="4"/>
        <v>0</v>
      </c>
      <c r="S60" s="81">
        <f t="shared" si="18"/>
        <v>0</v>
      </c>
      <c r="T60" s="277">
        <f t="shared" si="5"/>
        <v>0</v>
      </c>
      <c r="U60" s="120"/>
      <c r="V60" s="192">
        <f t="shared" si="11"/>
        <v>0</v>
      </c>
    </row>
    <row r="61" spans="1:22" ht="26.4" x14ac:dyDescent="0.25">
      <c r="A61" s="20"/>
      <c r="B61" s="20" t="s">
        <v>57</v>
      </c>
      <c r="C61" s="96"/>
      <c r="D61" s="68"/>
      <c r="E61" s="68"/>
      <c r="F61" s="68"/>
      <c r="G61" s="68"/>
      <c r="H61" s="68"/>
      <c r="I61" s="68"/>
      <c r="J61" s="68"/>
      <c r="K61" s="16"/>
      <c r="L61" s="591"/>
      <c r="M61" s="591"/>
      <c r="N61" s="591"/>
      <c r="O61" s="16"/>
      <c r="P61" s="81">
        <f t="shared" si="2"/>
        <v>0</v>
      </c>
      <c r="Q61" s="81">
        <f t="shared" si="3"/>
        <v>0</v>
      </c>
      <c r="R61" s="81">
        <f t="shared" si="4"/>
        <v>0</v>
      </c>
      <c r="S61" s="81">
        <f t="shared" si="18"/>
        <v>0</v>
      </c>
      <c r="T61" s="277">
        <f t="shared" si="5"/>
        <v>0</v>
      </c>
      <c r="U61" s="120"/>
      <c r="V61" s="192">
        <f t="shared" si="11"/>
        <v>0</v>
      </c>
    </row>
    <row r="62" spans="1:22" x14ac:dyDescent="0.25">
      <c r="A62" s="20" t="s">
        <v>58</v>
      </c>
      <c r="B62" s="20" t="s">
        <v>59</v>
      </c>
      <c r="C62" s="96">
        <v>1600000</v>
      </c>
      <c r="D62" s="68">
        <v>1300000</v>
      </c>
      <c r="E62" s="68">
        <v>1300000</v>
      </c>
      <c r="F62" s="68">
        <v>1250000</v>
      </c>
      <c r="G62" s="68"/>
      <c r="H62" s="68">
        <v>622884</v>
      </c>
      <c r="I62" s="68">
        <v>807884</v>
      </c>
      <c r="J62" s="68">
        <v>1029484</v>
      </c>
      <c r="K62" s="16"/>
      <c r="L62" s="591">
        <f>IF(H62&gt;0,H62/C62,0)</f>
        <v>0.3893025</v>
      </c>
      <c r="M62" s="591">
        <f>IF(I62&gt;0,I62/D62,0)</f>
        <v>0.62144923076923075</v>
      </c>
      <c r="N62" s="591">
        <f>IF(J62&gt;0,J62/E62,0)</f>
        <v>0.7919107692307692</v>
      </c>
      <c r="O62" s="16"/>
      <c r="P62" s="81">
        <f t="shared" si="2"/>
        <v>-300000</v>
      </c>
      <c r="Q62" s="81">
        <f t="shared" si="3"/>
        <v>0</v>
      </c>
      <c r="R62" s="81">
        <f t="shared" si="4"/>
        <v>-50000</v>
      </c>
      <c r="S62" s="81">
        <f t="shared" si="18"/>
        <v>-350000</v>
      </c>
      <c r="T62" s="277">
        <f t="shared" si="5"/>
        <v>-0.21875</v>
      </c>
      <c r="U62" s="120"/>
      <c r="V62" s="192">
        <f t="shared" si="11"/>
        <v>-50000</v>
      </c>
    </row>
    <row r="63" spans="1:22" ht="27" customHeight="1" x14ac:dyDescent="0.25">
      <c r="A63" s="20"/>
      <c r="B63" s="20" t="s">
        <v>98</v>
      </c>
      <c r="C63" s="96"/>
      <c r="D63" s="68"/>
      <c r="E63" s="68"/>
      <c r="F63" s="68"/>
      <c r="G63" s="68"/>
      <c r="H63" s="68"/>
      <c r="I63" s="68"/>
      <c r="J63" s="68"/>
      <c r="K63" s="16"/>
      <c r="L63" s="591"/>
      <c r="M63" s="591"/>
      <c r="N63" s="591"/>
      <c r="O63" s="16"/>
      <c r="P63" s="81">
        <f t="shared" si="2"/>
        <v>0</v>
      </c>
      <c r="Q63" s="81">
        <f t="shared" si="3"/>
        <v>0</v>
      </c>
      <c r="R63" s="81">
        <f t="shared" si="4"/>
        <v>0</v>
      </c>
      <c r="S63" s="81">
        <f t="shared" si="18"/>
        <v>0</v>
      </c>
      <c r="T63" s="277">
        <f t="shared" si="5"/>
        <v>0</v>
      </c>
      <c r="U63" s="120"/>
      <c r="V63" s="192">
        <f t="shared" si="11"/>
        <v>0</v>
      </c>
    </row>
    <row r="64" spans="1:22" x14ac:dyDescent="0.25">
      <c r="A64" s="20" t="s">
        <v>60</v>
      </c>
      <c r="B64" s="20" t="s">
        <v>61</v>
      </c>
      <c r="C64" s="96">
        <v>1800000</v>
      </c>
      <c r="D64" s="68">
        <v>1550000</v>
      </c>
      <c r="E64" s="68">
        <v>1731831</v>
      </c>
      <c r="F64" s="68">
        <v>1814605</v>
      </c>
      <c r="G64" s="68"/>
      <c r="H64" s="68">
        <v>803792</v>
      </c>
      <c r="I64" s="68">
        <v>1141577</v>
      </c>
      <c r="J64" s="68">
        <v>1632944</v>
      </c>
      <c r="K64" s="16"/>
      <c r="L64" s="591">
        <f>IF(H64&gt;0,H64/C64,0)</f>
        <v>0.44655111111111112</v>
      </c>
      <c r="M64" s="591">
        <f>IF(I64&gt;0,I64/D64,0)</f>
        <v>0.7365012903225806</v>
      </c>
      <c r="N64" s="591">
        <f>IF(J64&gt;0,J64/E64,0)</f>
        <v>0.9429003176406936</v>
      </c>
      <c r="O64" s="16"/>
      <c r="P64" s="81">
        <f t="shared" si="2"/>
        <v>-250000</v>
      </c>
      <c r="Q64" s="81">
        <f t="shared" si="3"/>
        <v>181831</v>
      </c>
      <c r="R64" s="81">
        <f t="shared" si="4"/>
        <v>82774</v>
      </c>
      <c r="S64" s="81">
        <f t="shared" si="18"/>
        <v>14605</v>
      </c>
      <c r="T64" s="277">
        <f t="shared" si="5"/>
        <v>8.1138888888888892E-3</v>
      </c>
      <c r="U64" s="120"/>
      <c r="V64" s="192">
        <f t="shared" si="11"/>
        <v>82774</v>
      </c>
    </row>
    <row r="65" spans="1:22" ht="39.6" x14ac:dyDescent="0.25">
      <c r="A65" s="20"/>
      <c r="B65" s="20" t="s">
        <v>62</v>
      </c>
      <c r="C65" s="96"/>
      <c r="D65" s="68"/>
      <c r="E65" s="68"/>
      <c r="F65" s="68"/>
      <c r="G65" s="68"/>
      <c r="H65" s="68"/>
      <c r="I65" s="68"/>
      <c r="J65" s="68"/>
      <c r="K65" s="16"/>
      <c r="L65" s="591"/>
      <c r="M65" s="591"/>
      <c r="N65" s="591"/>
      <c r="O65" s="16"/>
      <c r="P65" s="81">
        <f t="shared" si="2"/>
        <v>0</v>
      </c>
      <c r="Q65" s="81">
        <f t="shared" si="3"/>
        <v>0</v>
      </c>
      <c r="R65" s="81">
        <f t="shared" si="4"/>
        <v>0</v>
      </c>
      <c r="S65" s="81">
        <f t="shared" si="18"/>
        <v>0</v>
      </c>
      <c r="T65" s="277">
        <f t="shared" si="5"/>
        <v>0</v>
      </c>
      <c r="U65" s="120"/>
      <c r="V65" s="192">
        <f t="shared" si="11"/>
        <v>0</v>
      </c>
    </row>
    <row r="66" spans="1:22" x14ac:dyDescent="0.25">
      <c r="A66" s="39" t="s">
        <v>63</v>
      </c>
      <c r="B66" s="39" t="s">
        <v>64</v>
      </c>
      <c r="C66" s="371">
        <f>SUM(C67:C70)</f>
        <v>1200000</v>
      </c>
      <c r="D66" s="371">
        <f t="shared" ref="D66:J66" si="25">SUM(D67:D70)</f>
        <v>1200000</v>
      </c>
      <c r="E66" s="371">
        <f t="shared" si="25"/>
        <v>1200000</v>
      </c>
      <c r="F66" s="371">
        <f t="shared" si="25"/>
        <v>900000</v>
      </c>
      <c r="G66" s="371"/>
      <c r="H66" s="371">
        <f t="shared" si="25"/>
        <v>234618</v>
      </c>
      <c r="I66" s="371">
        <f t="shared" si="25"/>
        <v>577061</v>
      </c>
      <c r="J66" s="371">
        <f t="shared" si="25"/>
        <v>896240</v>
      </c>
      <c r="K66" s="16"/>
      <c r="L66" s="591">
        <f t="shared" ref="L66:N67" si="26">IF(H66&gt;0,H66/C66,0)</f>
        <v>0.19551499999999999</v>
      </c>
      <c r="M66" s="591">
        <f t="shared" si="26"/>
        <v>0.48088416666666667</v>
      </c>
      <c r="N66" s="591">
        <f t="shared" si="26"/>
        <v>0.74686666666666668</v>
      </c>
      <c r="O66" s="16"/>
      <c r="P66" s="81">
        <f t="shared" si="2"/>
        <v>0</v>
      </c>
      <c r="Q66" s="81">
        <f t="shared" si="3"/>
        <v>0</v>
      </c>
      <c r="R66" s="81">
        <f t="shared" si="4"/>
        <v>-300000</v>
      </c>
      <c r="S66" s="81">
        <f t="shared" si="18"/>
        <v>-300000</v>
      </c>
      <c r="T66" s="277">
        <f t="shared" si="5"/>
        <v>-0.25</v>
      </c>
      <c r="U66" s="120"/>
      <c r="V66" s="192">
        <f t="shared" si="11"/>
        <v>-300000</v>
      </c>
    </row>
    <row r="67" spans="1:22" x14ac:dyDescent="0.25">
      <c r="A67" s="20" t="s">
        <v>65</v>
      </c>
      <c r="B67" s="20" t="s">
        <v>66</v>
      </c>
      <c r="C67" s="96">
        <v>1200000</v>
      </c>
      <c r="D67" s="68">
        <v>1200000</v>
      </c>
      <c r="E67" s="68">
        <v>1200000</v>
      </c>
      <c r="F67" s="68">
        <v>900000</v>
      </c>
      <c r="G67" s="68"/>
      <c r="H67" s="68">
        <v>234618</v>
      </c>
      <c r="I67" s="68">
        <v>577061</v>
      </c>
      <c r="J67" s="68">
        <v>896240</v>
      </c>
      <c r="K67" s="16"/>
      <c r="L67" s="591">
        <f t="shared" si="26"/>
        <v>0.19551499999999999</v>
      </c>
      <c r="M67" s="591">
        <f t="shared" si="26"/>
        <v>0.48088416666666667</v>
      </c>
      <c r="N67" s="591">
        <f t="shared" si="26"/>
        <v>0.74686666666666668</v>
      </c>
      <c r="O67" s="16"/>
      <c r="P67" s="81">
        <f t="shared" si="2"/>
        <v>0</v>
      </c>
      <c r="Q67" s="81">
        <f t="shared" si="3"/>
        <v>0</v>
      </c>
      <c r="R67" s="81">
        <f t="shared" si="4"/>
        <v>-300000</v>
      </c>
      <c r="S67" s="81">
        <f t="shared" si="18"/>
        <v>-300000</v>
      </c>
      <c r="T67" s="277">
        <f t="shared" si="5"/>
        <v>-0.25</v>
      </c>
      <c r="U67" s="120"/>
      <c r="V67" s="192">
        <f t="shared" si="11"/>
        <v>-300000</v>
      </c>
    </row>
    <row r="68" spans="1:22" ht="39.6" x14ac:dyDescent="0.25">
      <c r="A68" s="20"/>
      <c r="B68" s="20" t="s">
        <v>67</v>
      </c>
      <c r="C68" s="96"/>
      <c r="D68" s="68"/>
      <c r="E68" s="68"/>
      <c r="F68" s="68"/>
      <c r="G68" s="68"/>
      <c r="H68" s="68"/>
      <c r="I68" s="68"/>
      <c r="J68" s="68"/>
      <c r="K68" s="16"/>
      <c r="L68" s="591"/>
      <c r="M68" s="591"/>
      <c r="N68" s="591"/>
      <c r="O68" s="16"/>
      <c r="P68" s="81">
        <f t="shared" si="2"/>
        <v>0</v>
      </c>
      <c r="Q68" s="81">
        <f t="shared" si="3"/>
        <v>0</v>
      </c>
      <c r="R68" s="81">
        <f t="shared" si="4"/>
        <v>0</v>
      </c>
      <c r="S68" s="81">
        <f t="shared" si="18"/>
        <v>0</v>
      </c>
      <c r="T68" s="277">
        <f t="shared" si="5"/>
        <v>0</v>
      </c>
      <c r="U68" s="120"/>
      <c r="V68" s="192">
        <f t="shared" si="11"/>
        <v>0</v>
      </c>
    </row>
    <row r="69" spans="1:22" x14ac:dyDescent="0.25">
      <c r="A69" s="20" t="s">
        <v>68</v>
      </c>
      <c r="B69" s="20" t="s">
        <v>96</v>
      </c>
      <c r="C69" s="96">
        <v>0</v>
      </c>
      <c r="D69" s="68">
        <v>0</v>
      </c>
      <c r="E69" s="68">
        <v>0</v>
      </c>
      <c r="F69" s="68">
        <v>0</v>
      </c>
      <c r="G69" s="68"/>
      <c r="H69" s="68">
        <v>0</v>
      </c>
      <c r="I69" s="68">
        <v>0</v>
      </c>
      <c r="J69" s="68">
        <v>0</v>
      </c>
      <c r="K69" s="16"/>
      <c r="L69" s="591">
        <f>IF(H69&gt;0,H69/C69,0)</f>
        <v>0</v>
      </c>
      <c r="M69" s="591">
        <f>IF(I69&gt;0,I69/D69,0)</f>
        <v>0</v>
      </c>
      <c r="N69" s="591">
        <f>IF(J69&gt;0,J69/E69,0)</f>
        <v>0</v>
      </c>
      <c r="O69" s="16"/>
      <c r="P69" s="81">
        <f t="shared" si="2"/>
        <v>0</v>
      </c>
      <c r="Q69" s="81">
        <f t="shared" si="3"/>
        <v>0</v>
      </c>
      <c r="R69" s="81">
        <f t="shared" si="4"/>
        <v>0</v>
      </c>
      <c r="S69" s="81">
        <f t="shared" si="18"/>
        <v>0</v>
      </c>
      <c r="T69" s="277">
        <f t="shared" si="5"/>
        <v>0</v>
      </c>
      <c r="U69" s="120"/>
      <c r="V69" s="192">
        <f t="shared" si="11"/>
        <v>0</v>
      </c>
    </row>
    <row r="70" spans="1:22" ht="26.7" customHeight="1" x14ac:dyDescent="0.25">
      <c r="A70" s="20"/>
      <c r="B70" s="20" t="s">
        <v>69</v>
      </c>
      <c r="C70" s="96"/>
      <c r="D70" s="68"/>
      <c r="E70" s="68"/>
      <c r="F70" s="68"/>
      <c r="G70" s="68"/>
      <c r="H70" s="68"/>
      <c r="I70" s="68"/>
      <c r="J70" s="68"/>
      <c r="K70" s="16"/>
      <c r="L70" s="591"/>
      <c r="M70" s="591"/>
      <c r="N70" s="591"/>
      <c r="O70" s="16"/>
      <c r="P70" s="81">
        <f t="shared" si="2"/>
        <v>0</v>
      </c>
      <c r="Q70" s="81">
        <f t="shared" si="3"/>
        <v>0</v>
      </c>
      <c r="R70" s="81">
        <f t="shared" si="4"/>
        <v>0</v>
      </c>
      <c r="S70" s="81">
        <f t="shared" si="18"/>
        <v>0</v>
      </c>
      <c r="T70" s="277">
        <f t="shared" si="5"/>
        <v>0</v>
      </c>
      <c r="U70" s="120"/>
      <c r="V70" s="192">
        <f t="shared" si="11"/>
        <v>0</v>
      </c>
    </row>
    <row r="71" spans="1:22" x14ac:dyDescent="0.25">
      <c r="A71" s="20" t="s">
        <v>70</v>
      </c>
      <c r="B71" s="20" t="s">
        <v>71</v>
      </c>
      <c r="C71" s="371">
        <f>SUM(C72:C81)</f>
        <v>1310000</v>
      </c>
      <c r="D71" s="371">
        <f t="shared" ref="D71:J71" si="27">SUM(D72:D81)</f>
        <v>1743573</v>
      </c>
      <c r="E71" s="371">
        <f t="shared" si="27"/>
        <v>2055473</v>
      </c>
      <c r="F71" s="371">
        <f t="shared" si="27"/>
        <v>2286596</v>
      </c>
      <c r="G71" s="371"/>
      <c r="H71" s="371">
        <f t="shared" si="27"/>
        <v>1038828</v>
      </c>
      <c r="I71" s="371">
        <f t="shared" si="27"/>
        <v>1627154</v>
      </c>
      <c r="J71" s="371">
        <f t="shared" si="27"/>
        <v>2120622</v>
      </c>
      <c r="K71" s="16"/>
      <c r="L71" s="591">
        <f t="shared" ref="L71:N72" si="28">IF(H71&gt;0,H71/C71,0)</f>
        <v>0.79299847328244277</v>
      </c>
      <c r="M71" s="591">
        <f t="shared" si="28"/>
        <v>0.93322963821990823</v>
      </c>
      <c r="N71" s="591">
        <f t="shared" si="28"/>
        <v>1.0316953810631422</v>
      </c>
      <c r="O71" s="16"/>
      <c r="P71" s="81">
        <f t="shared" si="2"/>
        <v>433573</v>
      </c>
      <c r="Q71" s="81">
        <f t="shared" si="3"/>
        <v>311900</v>
      </c>
      <c r="R71" s="81">
        <f t="shared" si="4"/>
        <v>231123</v>
      </c>
      <c r="S71" s="81">
        <f t="shared" si="18"/>
        <v>976596</v>
      </c>
      <c r="T71" s="277">
        <f t="shared" si="5"/>
        <v>0.74549312977099236</v>
      </c>
      <c r="U71" s="120"/>
      <c r="V71" s="192">
        <f t="shared" si="11"/>
        <v>231123</v>
      </c>
    </row>
    <row r="72" spans="1:22" x14ac:dyDescent="0.25">
      <c r="A72" s="20" t="s">
        <v>72</v>
      </c>
      <c r="B72" s="20" t="s">
        <v>73</v>
      </c>
      <c r="C72" s="96">
        <v>1300000</v>
      </c>
      <c r="D72" s="171">
        <v>1300000</v>
      </c>
      <c r="E72" s="68">
        <v>1311900</v>
      </c>
      <c r="F72" s="68">
        <v>1398919</v>
      </c>
      <c r="G72" s="68"/>
      <c r="H72" s="68">
        <v>606490</v>
      </c>
      <c r="I72" s="68">
        <v>896511</v>
      </c>
      <c r="J72" s="68">
        <v>1244501</v>
      </c>
      <c r="K72" s="16"/>
      <c r="L72" s="591">
        <f t="shared" si="28"/>
        <v>0.46653076923076925</v>
      </c>
      <c r="M72" s="591">
        <f t="shared" si="28"/>
        <v>0.6896238461538462</v>
      </c>
      <c r="N72" s="591">
        <f t="shared" si="28"/>
        <v>0.94862489519018223</v>
      </c>
      <c r="O72" s="16"/>
      <c r="P72" s="81">
        <f t="shared" si="2"/>
        <v>0</v>
      </c>
      <c r="Q72" s="81">
        <f t="shared" si="3"/>
        <v>11900</v>
      </c>
      <c r="R72" s="81">
        <f t="shared" si="4"/>
        <v>87019</v>
      </c>
      <c r="S72" s="81">
        <f t="shared" si="18"/>
        <v>98919</v>
      </c>
      <c r="T72" s="277">
        <f t="shared" si="5"/>
        <v>7.609153846153846E-2</v>
      </c>
      <c r="U72" s="120"/>
      <c r="V72" s="192">
        <f t="shared" si="11"/>
        <v>87019</v>
      </c>
    </row>
    <row r="73" spans="1:22" x14ac:dyDescent="0.25">
      <c r="A73" s="20"/>
      <c r="B73" s="20" t="s">
        <v>74</v>
      </c>
      <c r="C73" s="96"/>
      <c r="D73" s="68"/>
      <c r="E73" s="68"/>
      <c r="F73" s="68"/>
      <c r="G73" s="68"/>
      <c r="H73" s="68"/>
      <c r="I73" s="68"/>
      <c r="J73" s="68"/>
      <c r="K73" s="16"/>
      <c r="L73" s="591"/>
      <c r="M73" s="591"/>
      <c r="N73" s="591"/>
      <c r="O73" s="16"/>
      <c r="P73" s="81">
        <f t="shared" si="2"/>
        <v>0</v>
      </c>
      <c r="Q73" s="81">
        <f t="shared" si="3"/>
        <v>0</v>
      </c>
      <c r="R73" s="81">
        <f t="shared" si="4"/>
        <v>0</v>
      </c>
      <c r="S73" s="81">
        <f t="shared" si="18"/>
        <v>0</v>
      </c>
      <c r="T73" s="277">
        <f t="shared" si="5"/>
        <v>0</v>
      </c>
      <c r="U73" s="120"/>
      <c r="V73" s="192">
        <f t="shared" si="11"/>
        <v>0</v>
      </c>
    </row>
    <row r="74" spans="1:22" x14ac:dyDescent="0.25">
      <c r="A74" s="20" t="s">
        <v>75</v>
      </c>
      <c r="B74" s="20" t="s">
        <v>76</v>
      </c>
      <c r="C74" s="96">
        <v>0</v>
      </c>
      <c r="D74" s="68">
        <v>0</v>
      </c>
      <c r="E74" s="68">
        <v>0</v>
      </c>
      <c r="F74" s="68">
        <v>0</v>
      </c>
      <c r="G74" s="68"/>
      <c r="H74" s="68">
        <v>0</v>
      </c>
      <c r="I74" s="68"/>
      <c r="J74" s="68">
        <v>0</v>
      </c>
      <c r="K74" s="16"/>
      <c r="L74" s="591">
        <f>IF(H74&gt;0,H74/C74,0)</f>
        <v>0</v>
      </c>
      <c r="M74" s="591">
        <f>IF(I74&gt;0,I74/D74,0)</f>
        <v>0</v>
      </c>
      <c r="N74" s="591">
        <f>IF(J74&gt;0,J74/E74,0)</f>
        <v>0</v>
      </c>
      <c r="O74" s="16"/>
      <c r="P74" s="81">
        <f t="shared" si="2"/>
        <v>0</v>
      </c>
      <c r="Q74" s="81">
        <f t="shared" si="3"/>
        <v>0</v>
      </c>
      <c r="R74" s="81">
        <f t="shared" si="4"/>
        <v>0</v>
      </c>
      <c r="S74" s="81">
        <f t="shared" si="18"/>
        <v>0</v>
      </c>
      <c r="T74" s="277">
        <f t="shared" si="5"/>
        <v>0</v>
      </c>
      <c r="U74" s="120"/>
      <c r="V74" s="192">
        <f t="shared" si="11"/>
        <v>0</v>
      </c>
    </row>
    <row r="75" spans="1:22" ht="26.4" x14ac:dyDescent="0.25">
      <c r="A75" s="20"/>
      <c r="B75" s="20" t="s">
        <v>97</v>
      </c>
      <c r="C75" s="96"/>
      <c r="D75" s="68"/>
      <c r="E75" s="68"/>
      <c r="F75" s="68"/>
      <c r="G75" s="68"/>
      <c r="H75" s="68"/>
      <c r="I75" s="68"/>
      <c r="J75" s="68"/>
      <c r="K75" s="16"/>
      <c r="L75" s="591"/>
      <c r="M75" s="591"/>
      <c r="N75" s="591"/>
      <c r="O75" s="16"/>
      <c r="P75" s="81">
        <f t="shared" si="2"/>
        <v>0</v>
      </c>
      <c r="Q75" s="81">
        <f t="shared" si="3"/>
        <v>0</v>
      </c>
      <c r="R75" s="81">
        <f t="shared" si="4"/>
        <v>0</v>
      </c>
      <c r="S75" s="81">
        <f t="shared" si="18"/>
        <v>0</v>
      </c>
      <c r="T75" s="277">
        <f t="shared" si="5"/>
        <v>0</v>
      </c>
      <c r="U75" s="120"/>
      <c r="V75" s="192">
        <f t="shared" si="11"/>
        <v>0</v>
      </c>
    </row>
    <row r="76" spans="1:22" x14ac:dyDescent="0.25">
      <c r="A76" s="20" t="s">
        <v>77</v>
      </c>
      <c r="B76" s="20" t="s">
        <v>78</v>
      </c>
      <c r="C76" s="96"/>
      <c r="D76" s="68"/>
      <c r="E76" s="68"/>
      <c r="F76" s="68"/>
      <c r="G76" s="68"/>
      <c r="H76" s="68">
        <v>0</v>
      </c>
      <c r="I76" s="68"/>
      <c r="J76" s="68">
        <v>0</v>
      </c>
      <c r="K76" s="16"/>
      <c r="L76" s="591"/>
      <c r="M76" s="591"/>
      <c r="N76" s="591"/>
      <c r="O76" s="16"/>
      <c r="P76" s="81">
        <f t="shared" si="2"/>
        <v>0</v>
      </c>
      <c r="Q76" s="81">
        <f t="shared" si="3"/>
        <v>0</v>
      </c>
      <c r="R76" s="81">
        <f t="shared" si="4"/>
        <v>0</v>
      </c>
      <c r="S76" s="81">
        <f t="shared" si="18"/>
        <v>0</v>
      </c>
      <c r="T76" s="277">
        <f t="shared" si="5"/>
        <v>0</v>
      </c>
      <c r="U76" s="120"/>
      <c r="V76" s="192">
        <f t="shared" si="11"/>
        <v>0</v>
      </c>
    </row>
    <row r="77" spans="1:22" ht="26.4" x14ac:dyDescent="0.25">
      <c r="A77" s="20"/>
      <c r="B77" s="20" t="s">
        <v>102</v>
      </c>
      <c r="C77" s="96"/>
      <c r="D77" s="68"/>
      <c r="E77" s="68"/>
      <c r="F77" s="68"/>
      <c r="G77" s="68"/>
      <c r="H77" s="68"/>
      <c r="I77" s="68"/>
      <c r="J77" s="68"/>
      <c r="K77" s="16"/>
      <c r="L77" s="591"/>
      <c r="M77" s="591"/>
      <c r="N77" s="591"/>
      <c r="O77" s="16"/>
      <c r="P77" s="81">
        <f t="shared" ref="P77:P89" si="29">+(D77-C77)*P$10</f>
        <v>0</v>
      </c>
      <c r="Q77" s="81">
        <f t="shared" ref="Q77:Q89" si="30">+(E77-D77)*Q$10</f>
        <v>0</v>
      </c>
      <c r="R77" s="81">
        <f t="shared" ref="R77:R89" si="31">+(F77-E77)*R$10</f>
        <v>0</v>
      </c>
      <c r="S77" s="81">
        <f t="shared" si="18"/>
        <v>0</v>
      </c>
      <c r="T77" s="277">
        <f t="shared" ref="T77:T99" si="32">IF(C77=0,0,+S77/C77)</f>
        <v>0</v>
      </c>
      <c r="U77" s="120"/>
      <c r="V77" s="192">
        <f t="shared" ref="V77:V88" si="33">+S77-E77+C77</f>
        <v>0</v>
      </c>
    </row>
    <row r="78" spans="1:22" x14ac:dyDescent="0.25">
      <c r="A78" s="20" t="s">
        <v>80</v>
      </c>
      <c r="B78" s="20" t="s">
        <v>81</v>
      </c>
      <c r="C78" s="96"/>
      <c r="D78" s="68"/>
      <c r="E78" s="68"/>
      <c r="F78" s="68"/>
      <c r="G78" s="68"/>
      <c r="H78" s="68">
        <v>0</v>
      </c>
      <c r="I78" s="68"/>
      <c r="J78" s="68">
        <v>0</v>
      </c>
      <c r="K78" s="16"/>
      <c r="L78" s="591"/>
      <c r="M78" s="591"/>
      <c r="N78" s="591"/>
      <c r="O78" s="16"/>
      <c r="P78" s="81">
        <f t="shared" si="29"/>
        <v>0</v>
      </c>
      <c r="Q78" s="81">
        <f t="shared" si="30"/>
        <v>0</v>
      </c>
      <c r="R78" s="81">
        <f t="shared" si="31"/>
        <v>0</v>
      </c>
      <c r="S78" s="81">
        <f t="shared" si="18"/>
        <v>0</v>
      </c>
      <c r="T78" s="277">
        <f t="shared" si="32"/>
        <v>0</v>
      </c>
      <c r="U78" s="120"/>
      <c r="V78" s="192">
        <f t="shared" si="33"/>
        <v>0</v>
      </c>
    </row>
    <row r="79" spans="1:22" x14ac:dyDescent="0.25">
      <c r="A79" s="20"/>
      <c r="B79" s="20" t="s">
        <v>82</v>
      </c>
      <c r="C79" s="96"/>
      <c r="D79" s="68"/>
      <c r="E79" s="68"/>
      <c r="F79" s="68"/>
      <c r="G79" s="68"/>
      <c r="H79" s="68"/>
      <c r="I79" s="68"/>
      <c r="J79" s="68"/>
      <c r="K79" s="16"/>
      <c r="L79" s="591"/>
      <c r="M79" s="591"/>
      <c r="N79" s="591"/>
      <c r="O79" s="16"/>
      <c r="P79" s="81">
        <f t="shared" si="29"/>
        <v>0</v>
      </c>
      <c r="Q79" s="81">
        <f t="shared" si="30"/>
        <v>0</v>
      </c>
      <c r="R79" s="81">
        <f t="shared" si="31"/>
        <v>0</v>
      </c>
      <c r="S79" s="81">
        <f t="shared" si="18"/>
        <v>0</v>
      </c>
      <c r="T79" s="277">
        <f t="shared" si="32"/>
        <v>0</v>
      </c>
      <c r="U79" s="120"/>
      <c r="V79" s="192">
        <f t="shared" si="33"/>
        <v>0</v>
      </c>
    </row>
    <row r="80" spans="1:22" x14ac:dyDescent="0.25">
      <c r="A80" s="20" t="s">
        <v>83</v>
      </c>
      <c r="B80" s="20" t="s">
        <v>84</v>
      </c>
      <c r="C80" s="96">
        <v>10000</v>
      </c>
      <c r="D80" s="68">
        <v>443573</v>
      </c>
      <c r="E80" s="68">
        <v>743573</v>
      </c>
      <c r="F80" s="68">
        <v>887677</v>
      </c>
      <c r="G80" s="68"/>
      <c r="H80" s="68">
        <v>432338</v>
      </c>
      <c r="I80" s="68">
        <v>730643</v>
      </c>
      <c r="J80" s="68">
        <v>876121</v>
      </c>
      <c r="K80" s="16"/>
      <c r="L80" s="591">
        <f>IF(H80&gt;0,H80/C80,0)</f>
        <v>43.233800000000002</v>
      </c>
      <c r="M80" s="591">
        <f>IF(I80&gt;0,I80/D80,0)</f>
        <v>1.6471764512267428</v>
      </c>
      <c r="N80" s="591">
        <f>IF(J80&gt;0,J80/E80,0)</f>
        <v>1.1782582207799368</v>
      </c>
      <c r="O80" s="16"/>
      <c r="P80" s="81">
        <f t="shared" si="29"/>
        <v>433573</v>
      </c>
      <c r="Q80" s="81">
        <f t="shared" si="30"/>
        <v>300000</v>
      </c>
      <c r="R80" s="81">
        <f t="shared" si="31"/>
        <v>144104</v>
      </c>
      <c r="S80" s="81">
        <f t="shared" si="18"/>
        <v>877677</v>
      </c>
      <c r="T80" s="277">
        <f t="shared" si="32"/>
        <v>87.767700000000005</v>
      </c>
      <c r="U80" s="120"/>
      <c r="V80" s="192">
        <f t="shared" si="33"/>
        <v>144104</v>
      </c>
    </row>
    <row r="81" spans="1:24" ht="54.6" customHeight="1" x14ac:dyDescent="0.25">
      <c r="A81" s="20"/>
      <c r="B81" s="20" t="s">
        <v>88</v>
      </c>
      <c r="C81" s="96"/>
      <c r="D81" s="68"/>
      <c r="E81" s="68"/>
      <c r="F81" s="68"/>
      <c r="G81" s="68"/>
      <c r="H81" s="68"/>
      <c r="I81" s="68"/>
      <c r="J81" s="68"/>
      <c r="K81" s="16"/>
      <c r="L81" s="591"/>
      <c r="M81" s="591"/>
      <c r="N81" s="591"/>
      <c r="O81" s="16"/>
      <c r="P81" s="81">
        <f t="shared" si="29"/>
        <v>0</v>
      </c>
      <c r="Q81" s="81">
        <f t="shared" si="30"/>
        <v>0</v>
      </c>
      <c r="R81" s="81">
        <f t="shared" si="31"/>
        <v>0</v>
      </c>
      <c r="S81" s="81">
        <f t="shared" si="18"/>
        <v>0</v>
      </c>
      <c r="T81" s="277">
        <f t="shared" si="32"/>
        <v>0</v>
      </c>
      <c r="U81" s="120"/>
      <c r="V81" s="192">
        <f t="shared" si="33"/>
        <v>0</v>
      </c>
    </row>
    <row r="82" spans="1:24" x14ac:dyDescent="0.25">
      <c r="A82" s="20"/>
      <c r="B82" s="20"/>
      <c r="C82" s="117"/>
      <c r="D82" s="68"/>
      <c r="E82" s="68"/>
      <c r="F82" s="68"/>
      <c r="G82" s="68"/>
      <c r="H82" s="68"/>
      <c r="I82" s="68"/>
      <c r="J82" s="68"/>
      <c r="K82" s="16"/>
      <c r="L82" s="591">
        <f t="shared" ref="L82:N84" si="34">IF(H82&gt;0,H82/C82,0)</f>
        <v>0</v>
      </c>
      <c r="M82" s="591">
        <f t="shared" si="34"/>
        <v>0</v>
      </c>
      <c r="N82" s="591">
        <f t="shared" si="34"/>
        <v>0</v>
      </c>
      <c r="O82" s="16"/>
      <c r="P82" s="81">
        <f t="shared" si="29"/>
        <v>0</v>
      </c>
      <c r="Q82" s="81">
        <f t="shared" si="30"/>
        <v>0</v>
      </c>
      <c r="R82" s="81">
        <f t="shared" si="31"/>
        <v>0</v>
      </c>
      <c r="S82" s="81">
        <f t="shared" si="18"/>
        <v>0</v>
      </c>
      <c r="T82" s="277">
        <f t="shared" si="32"/>
        <v>0</v>
      </c>
      <c r="U82" s="120"/>
      <c r="V82" s="192">
        <f t="shared" si="33"/>
        <v>0</v>
      </c>
    </row>
    <row r="83" spans="1:24" s="42" customFormat="1" x14ac:dyDescent="0.25">
      <c r="A83" s="3" t="s">
        <v>154</v>
      </c>
      <c r="B83" s="3" t="s">
        <v>155</v>
      </c>
      <c r="C83" s="190">
        <f>SUM(C84)</f>
        <v>1730000</v>
      </c>
      <c r="D83" s="90">
        <f>SUM(D84)</f>
        <v>1730000</v>
      </c>
      <c r="E83" s="90">
        <f>SUM(E84)</f>
        <v>1730000</v>
      </c>
      <c r="F83" s="90">
        <f>SUM(F84)</f>
        <v>1730000</v>
      </c>
      <c r="G83" s="90"/>
      <c r="H83" s="90">
        <f>SUM(H84)</f>
        <v>1486434</v>
      </c>
      <c r="I83" s="90">
        <f>+I84</f>
        <v>1509335</v>
      </c>
      <c r="J83" s="90">
        <f>+J84</f>
        <v>1606251</v>
      </c>
      <c r="K83" s="32"/>
      <c r="L83" s="600">
        <f t="shared" si="34"/>
        <v>0.85921040462427745</v>
      </c>
      <c r="M83" s="600">
        <f t="shared" si="34"/>
        <v>0.87244797687861275</v>
      </c>
      <c r="N83" s="600">
        <f t="shared" si="34"/>
        <v>0.92846878612716766</v>
      </c>
      <c r="O83" s="32"/>
      <c r="P83" s="294">
        <f t="shared" si="29"/>
        <v>0</v>
      </c>
      <c r="Q83" s="294">
        <f t="shared" si="30"/>
        <v>0</v>
      </c>
      <c r="R83" s="294">
        <f t="shared" si="31"/>
        <v>0</v>
      </c>
      <c r="S83" s="294">
        <f t="shared" si="18"/>
        <v>0</v>
      </c>
      <c r="T83" s="278">
        <f t="shared" ref="T83:T88" si="35">IF(C83=0,0,+S83/C83)</f>
        <v>0</v>
      </c>
      <c r="U83" s="120"/>
      <c r="V83" s="192">
        <f t="shared" si="33"/>
        <v>0</v>
      </c>
    </row>
    <row r="84" spans="1:24" x14ac:dyDescent="0.25">
      <c r="A84" s="479"/>
      <c r="B84" s="479" t="s">
        <v>461</v>
      </c>
      <c r="C84" s="117">
        <f>1500000+230000</f>
        <v>1730000</v>
      </c>
      <c r="D84" s="68">
        <v>1730000</v>
      </c>
      <c r="E84" s="68">
        <v>1730000</v>
      </c>
      <c r="F84" s="68">
        <v>1730000</v>
      </c>
      <c r="G84" s="68"/>
      <c r="H84" s="68">
        <v>1486434</v>
      </c>
      <c r="I84" s="171">
        <v>1509335</v>
      </c>
      <c r="J84" s="68">
        <v>1606251</v>
      </c>
      <c r="K84" s="16"/>
      <c r="L84" s="591">
        <f t="shared" si="34"/>
        <v>0.85921040462427745</v>
      </c>
      <c r="M84" s="591">
        <f t="shared" si="34"/>
        <v>0.87244797687861275</v>
      </c>
      <c r="N84" s="591">
        <f t="shared" si="34"/>
        <v>0.92846878612716766</v>
      </c>
      <c r="O84" s="16"/>
      <c r="P84" s="81">
        <f t="shared" si="29"/>
        <v>0</v>
      </c>
      <c r="Q84" s="81">
        <f t="shared" si="30"/>
        <v>0</v>
      </c>
      <c r="R84" s="81">
        <f t="shared" si="31"/>
        <v>0</v>
      </c>
      <c r="S84" s="81">
        <f t="shared" si="18"/>
        <v>0</v>
      </c>
      <c r="T84" s="277">
        <f t="shared" si="35"/>
        <v>0</v>
      </c>
      <c r="U84" s="120"/>
      <c r="V84" s="192">
        <f t="shared" si="33"/>
        <v>0</v>
      </c>
    </row>
    <row r="85" spans="1:24" x14ac:dyDescent="0.25">
      <c r="A85" s="20"/>
      <c r="B85" s="20"/>
      <c r="C85" s="117"/>
      <c r="D85" s="68"/>
      <c r="E85" s="68"/>
      <c r="F85" s="68"/>
      <c r="G85" s="68"/>
      <c r="H85" s="68"/>
      <c r="I85" s="68"/>
      <c r="J85" s="68"/>
      <c r="K85" s="16"/>
      <c r="L85" s="591" t="e">
        <f>+H85/C85</f>
        <v>#DIV/0!</v>
      </c>
      <c r="M85" s="591" t="e">
        <f>+I85/D85</f>
        <v>#DIV/0!</v>
      </c>
      <c r="N85" s="591" t="e">
        <f>+J85/E85</f>
        <v>#DIV/0!</v>
      </c>
      <c r="O85" s="16"/>
      <c r="P85" s="81">
        <f t="shared" si="29"/>
        <v>0</v>
      </c>
      <c r="Q85" s="81">
        <f t="shared" si="30"/>
        <v>0</v>
      </c>
      <c r="R85" s="81">
        <f t="shared" si="31"/>
        <v>0</v>
      </c>
      <c r="S85" s="81">
        <f t="shared" si="18"/>
        <v>0</v>
      </c>
      <c r="T85" s="277">
        <f t="shared" si="35"/>
        <v>0</v>
      </c>
      <c r="U85" s="120"/>
      <c r="V85" s="192">
        <f t="shared" si="33"/>
        <v>0</v>
      </c>
    </row>
    <row r="86" spans="1:24" s="42" customFormat="1" x14ac:dyDescent="0.25">
      <c r="A86" s="3" t="s">
        <v>169</v>
      </c>
      <c r="B86" s="3" t="s">
        <v>170</v>
      </c>
      <c r="C86" s="190">
        <f>SUM(C87)</f>
        <v>0</v>
      </c>
      <c r="D86" s="90">
        <f>SUM(D87)</f>
        <v>0</v>
      </c>
      <c r="E86" s="90">
        <f>SUM(E87)</f>
        <v>0</v>
      </c>
      <c r="F86" s="90">
        <f>SUM(F87)</f>
        <v>0</v>
      </c>
      <c r="G86" s="90"/>
      <c r="H86" s="90">
        <f>SUM(H87)</f>
        <v>0</v>
      </c>
      <c r="I86" s="90">
        <f>+I87</f>
        <v>0</v>
      </c>
      <c r="J86" s="90">
        <f>+J87</f>
        <v>0</v>
      </c>
      <c r="K86" s="32"/>
      <c r="L86" s="600">
        <f t="shared" ref="L86:N87" si="36">IF(H86&gt;0,H86/C86,0)</f>
        <v>0</v>
      </c>
      <c r="M86" s="600">
        <f t="shared" si="36"/>
        <v>0</v>
      </c>
      <c r="N86" s="600">
        <f t="shared" si="36"/>
        <v>0</v>
      </c>
      <c r="O86" s="32"/>
      <c r="P86" s="294">
        <f t="shared" si="29"/>
        <v>0</v>
      </c>
      <c r="Q86" s="294">
        <f t="shared" si="30"/>
        <v>0</v>
      </c>
      <c r="R86" s="294">
        <f t="shared" si="31"/>
        <v>0</v>
      </c>
      <c r="S86" s="294">
        <f t="shared" si="18"/>
        <v>0</v>
      </c>
      <c r="T86" s="278">
        <f t="shared" si="35"/>
        <v>0</v>
      </c>
      <c r="U86" s="120"/>
      <c r="V86" s="192">
        <f t="shared" si="33"/>
        <v>0</v>
      </c>
    </row>
    <row r="87" spans="1:24" x14ac:dyDescent="0.25">
      <c r="A87" s="479"/>
      <c r="B87" s="479"/>
      <c r="C87" s="117"/>
      <c r="D87" s="68"/>
      <c r="E87" s="68"/>
      <c r="F87" s="68"/>
      <c r="G87" s="68"/>
      <c r="H87" s="68"/>
      <c r="I87" s="171"/>
      <c r="J87" s="68"/>
      <c r="K87" s="16"/>
      <c r="L87" s="591">
        <f t="shared" si="36"/>
        <v>0</v>
      </c>
      <c r="M87" s="591">
        <f t="shared" si="36"/>
        <v>0</v>
      </c>
      <c r="N87" s="591">
        <f t="shared" si="36"/>
        <v>0</v>
      </c>
      <c r="O87" s="16"/>
      <c r="P87" s="81">
        <f t="shared" si="29"/>
        <v>0</v>
      </c>
      <c r="Q87" s="81">
        <f t="shared" si="30"/>
        <v>0</v>
      </c>
      <c r="R87" s="81">
        <f t="shared" si="31"/>
        <v>0</v>
      </c>
      <c r="S87" s="81">
        <f t="shared" si="18"/>
        <v>0</v>
      </c>
      <c r="T87" s="277">
        <f t="shared" si="35"/>
        <v>0</v>
      </c>
      <c r="U87" s="120"/>
      <c r="V87" s="192">
        <f t="shared" si="33"/>
        <v>0</v>
      </c>
    </row>
    <row r="88" spans="1:24" hidden="1" x14ac:dyDescent="0.25">
      <c r="A88" s="20"/>
      <c r="B88" s="20"/>
      <c r="C88" s="117"/>
      <c r="D88" s="68"/>
      <c r="E88" s="68"/>
      <c r="F88" s="68"/>
      <c r="G88" s="68"/>
      <c r="H88" s="68"/>
      <c r="I88" s="68"/>
      <c r="J88" s="68"/>
      <c r="K88" s="16"/>
      <c r="L88" s="591" t="e">
        <f>+H88/C88</f>
        <v>#DIV/0!</v>
      </c>
      <c r="M88" s="591" t="e">
        <f>+I88/D88</f>
        <v>#DIV/0!</v>
      </c>
      <c r="N88" s="591" t="e">
        <f>+J88/E88</f>
        <v>#DIV/0!</v>
      </c>
      <c r="O88" s="16"/>
      <c r="P88" s="81">
        <f t="shared" si="29"/>
        <v>0</v>
      </c>
      <c r="Q88" s="81">
        <f t="shared" si="30"/>
        <v>0</v>
      </c>
      <c r="R88" s="81">
        <f t="shared" si="31"/>
        <v>0</v>
      </c>
      <c r="S88" s="81">
        <f t="shared" si="18"/>
        <v>0</v>
      </c>
      <c r="T88" s="277">
        <f t="shared" si="35"/>
        <v>0</v>
      </c>
      <c r="U88" s="120"/>
      <c r="V88" s="192">
        <f t="shared" si="33"/>
        <v>0</v>
      </c>
    </row>
    <row r="89" spans="1:24" ht="18" customHeight="1" x14ac:dyDescent="0.25">
      <c r="A89" s="5"/>
      <c r="B89" s="468" t="s">
        <v>373</v>
      </c>
      <c r="C89" s="475">
        <f>C13+C29+C32+C83+C86</f>
        <v>135435600</v>
      </c>
      <c r="D89" s="475">
        <f>D13+D29+D32+D83+D86</f>
        <v>146640948</v>
      </c>
      <c r="E89" s="475">
        <f>E13+E29+E32+E83+E86</f>
        <v>146887797</v>
      </c>
      <c r="F89" s="475">
        <f>F13+F29+F32+F83+F86</f>
        <v>140918575</v>
      </c>
      <c r="G89" s="475"/>
      <c r="H89" s="475">
        <f>H13+H29+H32+H83+H86</f>
        <v>68909669</v>
      </c>
      <c r="I89" s="475">
        <f>I13+I29+I32+I83+I86</f>
        <v>101383740</v>
      </c>
      <c r="J89" s="475">
        <f>J13+J29+J32+J83+J86</f>
        <v>138893636</v>
      </c>
      <c r="K89" s="6"/>
      <c r="L89" s="588">
        <f>IF(H89&gt;0,H89/C89,0)</f>
        <v>0.50880026374158638</v>
      </c>
      <c r="M89" s="588">
        <f>IF(I89&gt;0,I89/D89,0)</f>
        <v>0.69137400830223761</v>
      </c>
      <c r="N89" s="588">
        <f>IF(J89&gt;0,J89/E89,0)</f>
        <v>0.94557641163343198</v>
      </c>
      <c r="O89" s="6"/>
      <c r="P89" s="475">
        <f t="shared" si="29"/>
        <v>11205348</v>
      </c>
      <c r="Q89" s="475">
        <f t="shared" si="30"/>
        <v>246849</v>
      </c>
      <c r="R89" s="475">
        <f t="shared" si="31"/>
        <v>-5969222</v>
      </c>
      <c r="S89" s="475">
        <f t="shared" si="18"/>
        <v>5482975</v>
      </c>
      <c r="T89" s="278">
        <f t="shared" si="32"/>
        <v>4.0484001252255687E-2</v>
      </c>
      <c r="U89" s="120"/>
      <c r="V89" s="192">
        <f t="shared" ref="V89:V102" si="37">+S89-E89+C89</f>
        <v>-5969222</v>
      </c>
    </row>
    <row r="90" spans="1:24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03"/>
      <c r="M90" s="603"/>
      <c r="N90" s="603"/>
      <c r="O90" s="98"/>
      <c r="P90" s="98"/>
      <c r="Q90" s="98"/>
      <c r="R90" s="98"/>
      <c r="S90" s="98"/>
      <c r="T90" s="98"/>
      <c r="U90" s="22"/>
      <c r="V90" s="192">
        <f t="shared" si="37"/>
        <v>0</v>
      </c>
      <c r="W90" s="122"/>
      <c r="X90" s="122"/>
    </row>
    <row r="91" spans="1:24" ht="10.35" customHeight="1" x14ac:dyDescent="0.25">
      <c r="A91" s="463"/>
      <c r="B91" s="463"/>
      <c r="C91" s="464"/>
      <c r="D91" s="465"/>
      <c r="E91" s="465"/>
      <c r="F91" s="465"/>
      <c r="G91" s="465"/>
      <c r="H91" s="465"/>
      <c r="I91" s="465"/>
      <c r="J91" s="465"/>
      <c r="K91" s="465"/>
      <c r="L91" s="604"/>
      <c r="M91" s="604"/>
      <c r="N91" s="604"/>
      <c r="O91" s="465"/>
      <c r="P91" s="465"/>
      <c r="Q91" s="465"/>
      <c r="R91" s="465"/>
      <c r="S91" s="465"/>
      <c r="T91" s="465"/>
      <c r="U91" s="466"/>
      <c r="V91" s="467"/>
      <c r="W91" s="122"/>
      <c r="X91" s="122"/>
    </row>
    <row r="92" spans="1:24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03"/>
      <c r="M92" s="603"/>
      <c r="N92" s="603"/>
      <c r="O92" s="98"/>
      <c r="P92" s="98"/>
      <c r="Q92" s="98"/>
      <c r="R92" s="98"/>
      <c r="S92" s="98"/>
      <c r="T92" s="98"/>
      <c r="U92" s="22"/>
      <c r="V92" s="192"/>
      <c r="W92" s="122"/>
      <c r="X92" s="122"/>
    </row>
    <row r="93" spans="1:24" s="42" customFormat="1" x14ac:dyDescent="0.25">
      <c r="A93" s="51" t="s">
        <v>237</v>
      </c>
      <c r="B93" s="48" t="s">
        <v>238</v>
      </c>
      <c r="C93" s="288">
        <f>C94</f>
        <v>0</v>
      </c>
      <c r="D93" s="286">
        <f>D94</f>
        <v>1689348</v>
      </c>
      <c r="E93" s="286">
        <f>E94</f>
        <v>1936197</v>
      </c>
      <c r="F93" s="286">
        <f>F94</f>
        <v>4176281</v>
      </c>
      <c r="G93" s="286"/>
      <c r="H93" s="286">
        <f>+H94</f>
        <v>1760799</v>
      </c>
      <c r="I93" s="286">
        <f>+I94</f>
        <v>2190160</v>
      </c>
      <c r="J93" s="286">
        <f>+J94</f>
        <v>4176281</v>
      </c>
      <c r="K93" s="52"/>
      <c r="L93" s="600" t="e">
        <f t="shared" ref="L93:L102" si="38">IF(H93&gt;0,H93/C93,0)</f>
        <v>#DIV/0!</v>
      </c>
      <c r="M93" s="600">
        <f t="shared" ref="M93:M102" si="39">IF(I93&gt;0,I93/D93,0)</f>
        <v>1.2964528326904818</v>
      </c>
      <c r="N93" s="600">
        <f t="shared" ref="N93:N102" si="40">IF(J93&gt;0,J93/E93,0)</f>
        <v>2.1569504549382112</v>
      </c>
      <c r="O93" s="52"/>
      <c r="P93" s="293">
        <f t="shared" ref="P93:P102" si="41">+(D93-C93)*P$10</f>
        <v>1689348</v>
      </c>
      <c r="Q93" s="293">
        <f t="shared" ref="Q93:Q102" si="42">+(E93-D93)*Q$10</f>
        <v>246849</v>
      </c>
      <c r="R93" s="293">
        <f t="shared" ref="R93:R102" si="43">+(F93-E93)*R$10</f>
        <v>2240084</v>
      </c>
      <c r="S93" s="293">
        <f t="shared" ref="S93:S102" si="44">+P93*P$10+Q93*Q$10+R93*R$10</f>
        <v>4176281</v>
      </c>
      <c r="T93" s="278">
        <f t="shared" si="32"/>
        <v>0</v>
      </c>
      <c r="U93" s="120"/>
      <c r="V93" s="192">
        <f t="shared" si="37"/>
        <v>2240084</v>
      </c>
    </row>
    <row r="94" spans="1:24" s="50" customFormat="1" x14ac:dyDescent="0.25">
      <c r="A94" s="45" t="s">
        <v>257</v>
      </c>
      <c r="B94" s="45" t="s">
        <v>386</v>
      </c>
      <c r="C94" s="289">
        <v>0</v>
      </c>
      <c r="D94" s="290">
        <v>1689348</v>
      </c>
      <c r="E94" s="290">
        <v>1936197</v>
      </c>
      <c r="F94" s="290">
        <v>4176281</v>
      </c>
      <c r="G94" s="290"/>
      <c r="H94" s="290">
        <v>1760799</v>
      </c>
      <c r="I94" s="290">
        <v>2190160</v>
      </c>
      <c r="J94" s="290">
        <v>4176281</v>
      </c>
      <c r="K94" s="49"/>
      <c r="L94" s="591" t="e">
        <f t="shared" si="38"/>
        <v>#DIV/0!</v>
      </c>
      <c r="M94" s="591">
        <f t="shared" si="39"/>
        <v>1.2964528326904818</v>
      </c>
      <c r="N94" s="591">
        <f t="shared" si="40"/>
        <v>2.1569504549382112</v>
      </c>
      <c r="O94" s="49"/>
      <c r="P94" s="81">
        <f t="shared" si="41"/>
        <v>1689348</v>
      </c>
      <c r="Q94" s="81">
        <f t="shared" si="42"/>
        <v>246849</v>
      </c>
      <c r="R94" s="81">
        <f t="shared" si="43"/>
        <v>2240084</v>
      </c>
      <c r="S94" s="81">
        <f t="shared" si="44"/>
        <v>4176281</v>
      </c>
      <c r="T94" s="277">
        <f t="shared" si="32"/>
        <v>0</v>
      </c>
      <c r="U94" s="120"/>
      <c r="V94" s="192">
        <f t="shared" si="37"/>
        <v>2240084</v>
      </c>
    </row>
    <row r="95" spans="1:24" s="42" customFormat="1" x14ac:dyDescent="0.25">
      <c r="A95" s="3" t="s">
        <v>280</v>
      </c>
      <c r="B95" s="3" t="s">
        <v>281</v>
      </c>
      <c r="C95" s="190">
        <f>C96+C97+C98</f>
        <v>10000</v>
      </c>
      <c r="D95" s="67">
        <f>+D96+D98</f>
        <v>10000</v>
      </c>
      <c r="E95" s="67">
        <f>+E96+E98</f>
        <v>10000</v>
      </c>
      <c r="F95" s="67">
        <f>+F96+F98</f>
        <v>10000</v>
      </c>
      <c r="G95" s="67"/>
      <c r="H95" s="67">
        <f>+H96+H98</f>
        <v>2119</v>
      </c>
      <c r="I95" s="67">
        <f>+I96+I98</f>
        <v>3754</v>
      </c>
      <c r="J95" s="67">
        <f>+J96+J98</f>
        <v>3782</v>
      </c>
      <c r="K95" s="6"/>
      <c r="L95" s="600">
        <f t="shared" si="38"/>
        <v>0.21190000000000001</v>
      </c>
      <c r="M95" s="600">
        <f t="shared" si="39"/>
        <v>0.37540000000000001</v>
      </c>
      <c r="N95" s="600">
        <f t="shared" si="40"/>
        <v>0.37819999999999998</v>
      </c>
      <c r="O95" s="6"/>
      <c r="P95" s="267">
        <f t="shared" si="41"/>
        <v>0</v>
      </c>
      <c r="Q95" s="267">
        <f t="shared" si="42"/>
        <v>0</v>
      </c>
      <c r="R95" s="267">
        <f t="shared" si="43"/>
        <v>0</v>
      </c>
      <c r="S95" s="267">
        <f t="shared" si="44"/>
        <v>0</v>
      </c>
      <c r="T95" s="278">
        <f t="shared" si="32"/>
        <v>0</v>
      </c>
      <c r="U95" s="120"/>
      <c r="V95" s="192">
        <f t="shared" si="37"/>
        <v>0</v>
      </c>
    </row>
    <row r="96" spans="1:24" x14ac:dyDescent="0.25">
      <c r="A96" s="45" t="s">
        <v>283</v>
      </c>
      <c r="B96" s="45" t="s">
        <v>387</v>
      </c>
      <c r="C96" s="289">
        <v>0</v>
      </c>
      <c r="D96" s="289">
        <v>0</v>
      </c>
      <c r="E96" s="144">
        <v>0</v>
      </c>
      <c r="F96" s="144">
        <v>0</v>
      </c>
      <c r="G96" s="144"/>
      <c r="H96" s="144">
        <v>0</v>
      </c>
      <c r="I96" s="144">
        <f>+H96</f>
        <v>0</v>
      </c>
      <c r="J96" s="144">
        <v>0</v>
      </c>
      <c r="K96" s="41"/>
      <c r="L96" s="591">
        <f t="shared" si="38"/>
        <v>0</v>
      </c>
      <c r="M96" s="591">
        <f t="shared" si="39"/>
        <v>0</v>
      </c>
      <c r="N96" s="591">
        <f t="shared" si="40"/>
        <v>0</v>
      </c>
      <c r="O96" s="41"/>
      <c r="P96" s="81">
        <f t="shared" si="41"/>
        <v>0</v>
      </c>
      <c r="Q96" s="81">
        <f t="shared" si="42"/>
        <v>0</v>
      </c>
      <c r="R96" s="81">
        <f t="shared" si="43"/>
        <v>0</v>
      </c>
      <c r="S96" s="81">
        <f t="shared" si="44"/>
        <v>0</v>
      </c>
      <c r="T96" s="277">
        <f t="shared" si="32"/>
        <v>0</v>
      </c>
      <c r="U96" s="120"/>
      <c r="V96" s="192">
        <f t="shared" si="37"/>
        <v>0</v>
      </c>
    </row>
    <row r="97" spans="1:22" x14ac:dyDescent="0.25">
      <c r="A97" s="45" t="s">
        <v>294</v>
      </c>
      <c r="B97" s="20" t="s">
        <v>295</v>
      </c>
      <c r="C97" s="289"/>
      <c r="D97" s="289"/>
      <c r="E97" s="144"/>
      <c r="F97" s="144"/>
      <c r="G97" s="144"/>
      <c r="H97" s="144"/>
      <c r="I97" s="144"/>
      <c r="J97" s="144"/>
      <c r="K97" s="41"/>
      <c r="L97" s="591">
        <f t="shared" si="38"/>
        <v>0</v>
      </c>
      <c r="M97" s="591">
        <f t="shared" si="39"/>
        <v>0</v>
      </c>
      <c r="N97" s="591">
        <f t="shared" si="40"/>
        <v>0</v>
      </c>
      <c r="O97" s="41"/>
      <c r="P97" s="81"/>
      <c r="Q97" s="81"/>
      <c r="R97" s="81"/>
      <c r="S97" s="81">
        <f t="shared" si="44"/>
        <v>0</v>
      </c>
      <c r="T97" s="277"/>
      <c r="U97" s="120"/>
      <c r="V97" s="192"/>
    </row>
    <row r="98" spans="1:22" ht="26.4" x14ac:dyDescent="0.25">
      <c r="A98" s="479" t="s">
        <v>458</v>
      </c>
      <c r="B98" s="479" t="s">
        <v>460</v>
      </c>
      <c r="C98" s="117">
        <v>10000</v>
      </c>
      <c r="D98" s="117">
        <v>10000</v>
      </c>
      <c r="E98" s="117">
        <v>10000</v>
      </c>
      <c r="F98" s="68">
        <f>5000+5000</f>
        <v>10000</v>
      </c>
      <c r="G98" s="68"/>
      <c r="H98" s="68">
        <f>121+1998</f>
        <v>2119</v>
      </c>
      <c r="I98" s="68">
        <f>168+3586</f>
        <v>3754</v>
      </c>
      <c r="J98" s="68">
        <f>194+3588</f>
        <v>3782</v>
      </c>
      <c r="K98" s="16"/>
      <c r="L98" s="591">
        <f t="shared" si="38"/>
        <v>0.21190000000000001</v>
      </c>
      <c r="M98" s="591">
        <f t="shared" si="39"/>
        <v>0.37540000000000001</v>
      </c>
      <c r="N98" s="591">
        <f t="shared" si="40"/>
        <v>0.37819999999999998</v>
      </c>
      <c r="O98" s="16"/>
      <c r="P98" s="81">
        <f t="shared" si="41"/>
        <v>0</v>
      </c>
      <c r="Q98" s="81">
        <f t="shared" si="42"/>
        <v>0</v>
      </c>
      <c r="R98" s="81">
        <f t="shared" si="43"/>
        <v>0</v>
      </c>
      <c r="S98" s="81">
        <f t="shared" si="44"/>
        <v>0</v>
      </c>
      <c r="T98" s="277">
        <f t="shared" si="32"/>
        <v>0</v>
      </c>
      <c r="U98" s="120"/>
      <c r="V98" s="192">
        <f t="shared" si="37"/>
        <v>0</v>
      </c>
    </row>
    <row r="99" spans="1:22" s="42" customFormat="1" x14ac:dyDescent="0.25">
      <c r="A99" s="3" t="s">
        <v>329</v>
      </c>
      <c r="B99" s="3" t="s">
        <v>330</v>
      </c>
      <c r="C99" s="190">
        <f>+C100+C101</f>
        <v>135425600</v>
      </c>
      <c r="D99" s="90">
        <f>SUM(D100:D101)</f>
        <v>144941600</v>
      </c>
      <c r="E99" s="90">
        <f>SUM(E100:E101)</f>
        <v>144941600</v>
      </c>
      <c r="F99" s="90">
        <f>SUM(F100:F101)</f>
        <v>136732294</v>
      </c>
      <c r="G99" s="90"/>
      <c r="H99" s="90">
        <f>SUM(H100:H101)</f>
        <v>71040097</v>
      </c>
      <c r="I99" s="90">
        <f>SUM(I100:I101)</f>
        <v>102050486</v>
      </c>
      <c r="J99" s="90">
        <f>SUM(J100:J101)</f>
        <v>136732294</v>
      </c>
      <c r="K99" s="32"/>
      <c r="L99" s="600">
        <f t="shared" si="38"/>
        <v>0.52456918780496453</v>
      </c>
      <c r="M99" s="600">
        <f t="shared" si="39"/>
        <v>0.70408002947393988</v>
      </c>
      <c r="N99" s="600">
        <f t="shared" si="40"/>
        <v>0.94336128482092096</v>
      </c>
      <c r="O99" s="32"/>
      <c r="P99" s="294">
        <f t="shared" si="41"/>
        <v>9516000</v>
      </c>
      <c r="Q99" s="294">
        <f t="shared" si="42"/>
        <v>0</v>
      </c>
      <c r="R99" s="294">
        <f t="shared" si="43"/>
        <v>-8209306</v>
      </c>
      <c r="S99" s="294">
        <f t="shared" si="44"/>
        <v>1306694</v>
      </c>
      <c r="T99" s="278">
        <f t="shared" si="32"/>
        <v>9.6487960917285946E-3</v>
      </c>
      <c r="U99" s="120"/>
      <c r="V99" s="192">
        <f t="shared" si="37"/>
        <v>-8209306</v>
      </c>
    </row>
    <row r="100" spans="1:22" x14ac:dyDescent="0.25">
      <c r="A100" s="44" t="s">
        <v>355</v>
      </c>
      <c r="B100" s="20" t="s">
        <v>383</v>
      </c>
      <c r="C100" s="117">
        <f>+C104</f>
        <v>132994717</v>
      </c>
      <c r="D100" s="117">
        <v>142510717</v>
      </c>
      <c r="E100" s="117">
        <v>142510717</v>
      </c>
      <c r="F100" s="68">
        <v>134301411</v>
      </c>
      <c r="G100" s="68"/>
      <c r="H100" s="68">
        <v>68609214</v>
      </c>
      <c r="I100" s="171">
        <v>99619603</v>
      </c>
      <c r="J100" s="68">
        <v>134301411</v>
      </c>
      <c r="K100" s="16"/>
      <c r="L100" s="591">
        <f t="shared" si="38"/>
        <v>0.51587924353416237</v>
      </c>
      <c r="M100" s="591">
        <f t="shared" si="39"/>
        <v>0.69903236119428125</v>
      </c>
      <c r="N100" s="591">
        <f t="shared" si="40"/>
        <v>0.9423951673753771</v>
      </c>
      <c r="O100" s="16"/>
      <c r="P100" s="81">
        <f t="shared" si="41"/>
        <v>9516000</v>
      </c>
      <c r="Q100" s="81">
        <f t="shared" si="42"/>
        <v>0</v>
      </c>
      <c r="R100" s="81">
        <f t="shared" si="43"/>
        <v>-8209306</v>
      </c>
      <c r="S100" s="81">
        <f t="shared" si="44"/>
        <v>1306694</v>
      </c>
      <c r="T100" s="277">
        <f>IF(C100=0,0,+S100/C100)</f>
        <v>9.8251571902664373E-3</v>
      </c>
      <c r="U100" s="120"/>
      <c r="V100" s="192">
        <f t="shared" si="37"/>
        <v>-8209306</v>
      </c>
    </row>
    <row r="101" spans="1:22" ht="14.4" x14ac:dyDescent="0.3">
      <c r="A101" s="20" t="s">
        <v>343</v>
      </c>
      <c r="B101" s="20" t="s">
        <v>344</v>
      </c>
      <c r="C101" s="709">
        <v>2430883</v>
      </c>
      <c r="D101" s="712">
        <v>2430883</v>
      </c>
      <c r="E101" s="712">
        <v>2430883</v>
      </c>
      <c r="F101" s="68">
        <v>2430883</v>
      </c>
      <c r="G101" s="68"/>
      <c r="H101" s="709">
        <v>2430883</v>
      </c>
      <c r="I101" s="712">
        <v>2430883</v>
      </c>
      <c r="J101" s="68">
        <v>2430883</v>
      </c>
      <c r="K101" s="16"/>
      <c r="L101" s="591">
        <f t="shared" si="38"/>
        <v>1</v>
      </c>
      <c r="M101" s="591">
        <f t="shared" si="39"/>
        <v>1</v>
      </c>
      <c r="N101" s="591">
        <f t="shared" si="40"/>
        <v>1</v>
      </c>
      <c r="O101" s="16"/>
      <c r="P101" s="81">
        <f t="shared" si="41"/>
        <v>0</v>
      </c>
      <c r="Q101" s="81">
        <f t="shared" si="42"/>
        <v>0</v>
      </c>
      <c r="R101" s="81">
        <f t="shared" si="43"/>
        <v>0</v>
      </c>
      <c r="S101" s="81">
        <f t="shared" si="44"/>
        <v>0</v>
      </c>
      <c r="T101" s="277">
        <f>IF(C101=0,0,+S101/C101)</f>
        <v>0</v>
      </c>
      <c r="U101" s="120"/>
      <c r="V101" s="192">
        <f t="shared" si="37"/>
        <v>0</v>
      </c>
    </row>
    <row r="102" spans="1:22" ht="18" customHeight="1" x14ac:dyDescent="0.25">
      <c r="A102" s="5"/>
      <c r="B102" s="468" t="s">
        <v>372</v>
      </c>
      <c r="C102" s="481">
        <f>+C93+C95+C99</f>
        <v>135435600</v>
      </c>
      <c r="D102" s="481">
        <f>+D93+D95+D99</f>
        <v>146640948</v>
      </c>
      <c r="E102" s="481">
        <f>+E94+E95+E99</f>
        <v>146887797</v>
      </c>
      <c r="F102" s="481">
        <f>+F94+F95+F99</f>
        <v>140918575</v>
      </c>
      <c r="G102" s="481"/>
      <c r="H102" s="481">
        <f>+H94+H95+H99</f>
        <v>72803015</v>
      </c>
      <c r="I102" s="481">
        <f>+I94+I95+I99</f>
        <v>104244400</v>
      </c>
      <c r="J102" s="481">
        <f>+J94+J95+J99</f>
        <v>140912357</v>
      </c>
      <c r="K102" s="10"/>
      <c r="L102" s="600">
        <f t="shared" si="38"/>
        <v>0.53754710725983423</v>
      </c>
      <c r="M102" s="600">
        <f t="shared" si="39"/>
        <v>0.71088192910482273</v>
      </c>
      <c r="N102" s="600">
        <f t="shared" si="40"/>
        <v>0.95931969760564928</v>
      </c>
      <c r="O102" s="10"/>
      <c r="P102" s="480">
        <f t="shared" si="41"/>
        <v>11205348</v>
      </c>
      <c r="Q102" s="480">
        <f t="shared" si="42"/>
        <v>246849</v>
      </c>
      <c r="R102" s="480">
        <f t="shared" si="43"/>
        <v>-5969222</v>
      </c>
      <c r="S102" s="480">
        <f t="shared" si="44"/>
        <v>5482975</v>
      </c>
      <c r="T102" s="278">
        <f>IF(C102=0,0,+S102/C102)</f>
        <v>4.0484001252255687E-2</v>
      </c>
      <c r="U102" s="120"/>
      <c r="V102" s="192">
        <f t="shared" si="37"/>
        <v>-5969222</v>
      </c>
    </row>
    <row r="103" spans="1:22" x14ac:dyDescent="0.25">
      <c r="C103" s="98"/>
      <c r="D103" s="98"/>
      <c r="E103" s="98"/>
      <c r="F103" s="98"/>
      <c r="G103" s="98"/>
      <c r="H103" s="98"/>
      <c r="I103" s="98"/>
      <c r="J103" s="98"/>
      <c r="L103" s="601"/>
      <c r="M103" s="601"/>
      <c r="N103" s="601"/>
      <c r="P103" s="272"/>
      <c r="Q103" s="272"/>
      <c r="R103" s="272"/>
      <c r="S103" s="272"/>
      <c r="T103" s="122"/>
      <c r="U103" s="291"/>
    </row>
    <row r="104" spans="1:22" x14ac:dyDescent="0.25">
      <c r="C104" s="98">
        <f>+C89-C93-C95-C101</f>
        <v>132994717</v>
      </c>
      <c r="D104" s="98"/>
      <c r="E104" s="98"/>
      <c r="F104" s="98"/>
      <c r="G104" s="98"/>
      <c r="H104" s="98"/>
      <c r="I104" s="98"/>
      <c r="J104" s="98"/>
      <c r="L104" s="605"/>
      <c r="M104" s="605"/>
      <c r="N104" s="605"/>
      <c r="P104" s="272"/>
      <c r="Q104" s="272"/>
      <c r="R104" s="272"/>
      <c r="S104" s="272"/>
      <c r="T104" s="122"/>
      <c r="U104" s="291"/>
    </row>
    <row r="105" spans="1:22" x14ac:dyDescent="0.25">
      <c r="L105" s="603"/>
      <c r="M105" s="603"/>
      <c r="N105" s="603"/>
      <c r="P105" s="272"/>
      <c r="Q105" s="272"/>
      <c r="R105" s="272"/>
      <c r="S105" s="272"/>
      <c r="U105" s="9"/>
    </row>
    <row r="106" spans="1:22" x14ac:dyDescent="0.25">
      <c r="L106" s="603"/>
      <c r="M106" s="603"/>
      <c r="N106" s="603"/>
      <c r="P106" s="272"/>
      <c r="Q106" s="272"/>
      <c r="R106" s="272"/>
      <c r="S106" s="272"/>
      <c r="U106" s="9"/>
    </row>
    <row r="107" spans="1:22" x14ac:dyDescent="0.25">
      <c r="A107" s="557"/>
      <c r="B107" s="59"/>
      <c r="C107" s="564"/>
      <c r="D107" s="98"/>
      <c r="L107" s="603"/>
      <c r="M107" s="603"/>
      <c r="N107" s="603"/>
      <c r="P107" s="272"/>
      <c r="Q107" s="272"/>
      <c r="R107" s="272"/>
      <c r="S107" s="272"/>
      <c r="U107" s="9"/>
    </row>
    <row r="108" spans="1:22" x14ac:dyDescent="0.25">
      <c r="L108" s="603"/>
      <c r="M108" s="603"/>
      <c r="N108" s="603"/>
      <c r="P108" s="272"/>
      <c r="Q108" s="272"/>
      <c r="R108" s="272"/>
      <c r="S108" s="272"/>
      <c r="U108" s="9"/>
    </row>
    <row r="109" spans="1:22" x14ac:dyDescent="0.25">
      <c r="L109" s="603"/>
      <c r="M109" s="603"/>
      <c r="N109" s="603"/>
      <c r="P109" s="272"/>
      <c r="Q109" s="272"/>
      <c r="R109" s="272"/>
      <c r="S109" s="272"/>
    </row>
    <row r="110" spans="1:22" x14ac:dyDescent="0.25">
      <c r="L110" s="603"/>
      <c r="M110" s="603"/>
      <c r="N110" s="603"/>
      <c r="P110" s="272"/>
      <c r="Q110" s="272"/>
      <c r="R110" s="272"/>
      <c r="S110" s="272"/>
    </row>
    <row r="111" spans="1:22" x14ac:dyDescent="0.25">
      <c r="L111" s="603"/>
      <c r="M111" s="603"/>
      <c r="N111" s="603"/>
      <c r="P111" s="272"/>
      <c r="Q111" s="272"/>
      <c r="R111" s="272"/>
      <c r="S111" s="272"/>
      <c r="U111" s="2"/>
    </row>
    <row r="112" spans="1:22" x14ac:dyDescent="0.25">
      <c r="P112" s="272"/>
      <c r="Q112" s="272"/>
      <c r="R112" s="272"/>
      <c r="S112" s="272"/>
    </row>
  </sheetData>
  <mergeCells count="6">
    <mergeCell ref="C9:F9"/>
    <mergeCell ref="H9:N9"/>
    <mergeCell ref="P9:T9"/>
    <mergeCell ref="H10:J10"/>
    <mergeCell ref="L10:N10"/>
    <mergeCell ref="C10:F10"/>
  </mergeCells>
  <phoneticPr fontId="2" type="noConversion"/>
  <printOptions horizontalCentered="1"/>
  <pageMargins left="0" right="0" top="0.59055118110236227" bottom="0" header="0.51181102362204722" footer="0.51181102362204722"/>
  <pageSetup paperSize="9" scale="52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zoomScale="85" zoomScaleNormal="85" zoomScaleSheetLayoutView="75" workbookViewId="0">
      <selection activeCell="C10" sqref="C10:F10"/>
    </sheetView>
  </sheetViews>
  <sheetFormatPr defaultRowHeight="13.2" x14ac:dyDescent="0.25"/>
  <cols>
    <col min="1" max="1" width="6.6640625" style="13" bestFit="1" customWidth="1"/>
    <col min="2" max="2" width="53.44140625" style="13" customWidth="1"/>
    <col min="3" max="5" width="15.5546875" style="13" customWidth="1"/>
    <col min="6" max="6" width="16" style="13" customWidth="1"/>
    <col min="7" max="7" width="0.6640625" style="13" customWidth="1"/>
    <col min="8" max="9" width="15.5546875" style="13" customWidth="1"/>
    <col min="10" max="10" width="15.33203125" style="13" customWidth="1"/>
    <col min="11" max="11" width="0.6640625" style="13" customWidth="1"/>
    <col min="12" max="13" width="10.5546875" style="13" customWidth="1"/>
    <col min="14" max="14" width="11.5546875" style="13" customWidth="1"/>
    <col min="15" max="15" width="0.6640625" style="13" customWidth="1"/>
    <col min="16" max="16" width="14.5546875" style="13" customWidth="1"/>
    <col min="17" max="18" width="15.21875" style="13" bestFit="1" customWidth="1"/>
    <col min="19" max="19" width="15.5546875" style="13" customWidth="1"/>
    <col min="21" max="21" width="0.6640625" customWidth="1"/>
    <col min="22" max="22" width="3.44140625" customWidth="1"/>
  </cols>
  <sheetData>
    <row r="1" spans="1:26" ht="24.6" x14ac:dyDescent="0.4">
      <c r="A1" s="295" t="s">
        <v>419</v>
      </c>
      <c r="B1" s="225"/>
      <c r="C1" s="225"/>
      <c r="D1" s="225"/>
      <c r="E1" s="225"/>
      <c r="F1" s="225"/>
      <c r="G1" s="224"/>
      <c r="H1" s="223"/>
      <c r="I1" s="223"/>
      <c r="J1" s="221" t="str">
        <f>+'1. Sülysáp összesen'!J1</f>
        <v>2019. ÉVI ZÁRSZÁMADÁS</v>
      </c>
      <c r="K1" s="227"/>
      <c r="L1" s="227"/>
      <c r="M1" s="223"/>
      <c r="N1" s="223"/>
      <c r="O1" s="227"/>
      <c r="P1" s="223"/>
      <c r="Q1" s="223"/>
      <c r="R1" s="223"/>
      <c r="S1" s="223"/>
      <c r="T1" s="223"/>
      <c r="U1" s="223"/>
      <c r="V1" s="223"/>
      <c r="W1" s="46"/>
      <c r="X1" s="46"/>
      <c r="Y1" s="46"/>
    </row>
    <row r="2" spans="1:26" x14ac:dyDescent="0.25">
      <c r="A2" s="122"/>
      <c r="B2" s="122"/>
      <c r="C2" s="551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64"/>
      <c r="B4" s="263"/>
      <c r="C4" s="88"/>
      <c r="D4" s="88"/>
      <c r="E4" s="88"/>
      <c r="F4" s="88"/>
      <c r="G4" s="88"/>
      <c r="H4" s="88"/>
      <c r="I4" s="88"/>
      <c r="J4" s="88"/>
      <c r="K4" s="88"/>
      <c r="L4" s="263"/>
      <c r="M4" s="263"/>
      <c r="N4" s="263"/>
      <c r="O4" s="88"/>
      <c r="P4" s="88"/>
      <c r="Q4" s="88"/>
      <c r="R4" s="88"/>
      <c r="S4" s="88"/>
      <c r="T4" s="88"/>
      <c r="U4" s="263"/>
      <c r="V4" s="249"/>
      <c r="W4" s="122"/>
      <c r="X4" s="122"/>
    </row>
    <row r="5" spans="1:26" ht="20.100000000000001" customHeight="1" x14ac:dyDescent="0.3">
      <c r="A5" s="245"/>
      <c r="B5" s="245" t="s">
        <v>373</v>
      </c>
      <c r="C5" s="246">
        <f>+C89</f>
        <v>30262000</v>
      </c>
      <c r="D5" s="246">
        <f>+D89</f>
        <v>30262000</v>
      </c>
      <c r="E5" s="246">
        <f>+E89</f>
        <v>33536000</v>
      </c>
      <c r="F5" s="246">
        <f>+F89</f>
        <v>31526000</v>
      </c>
      <c r="G5" s="246"/>
      <c r="H5" s="246">
        <f>+H89</f>
        <v>12553765</v>
      </c>
      <c r="I5" s="246">
        <f>+I89</f>
        <v>23234951</v>
      </c>
      <c r="J5" s="246">
        <f>+J89</f>
        <v>30622106</v>
      </c>
      <c r="K5" s="89"/>
      <c r="L5" s="639">
        <f t="shared" ref="L5:N6" si="0">IF(H5&gt;0,H5/C5,0)</f>
        <v>0.41483593285308307</v>
      </c>
      <c r="M5" s="639">
        <f t="shared" si="0"/>
        <v>0.76779297468772723</v>
      </c>
      <c r="N5" s="639">
        <f t="shared" si="0"/>
        <v>0.91311146230916029</v>
      </c>
      <c r="O5" s="89"/>
      <c r="P5" s="246">
        <f>+P89</f>
        <v>0</v>
      </c>
      <c r="Q5" s="246">
        <f>+Q89</f>
        <v>3274000</v>
      </c>
      <c r="R5" s="246">
        <f>+R89</f>
        <v>-2010000</v>
      </c>
      <c r="S5" s="246">
        <f>+S89</f>
        <v>1264000</v>
      </c>
      <c r="T5" s="132">
        <f>IF(C5=0,0,+S5/C5)</f>
        <v>4.1768554622959489E-2</v>
      </c>
      <c r="U5" s="118"/>
      <c r="V5" s="195">
        <f>+S5-E5+C5</f>
        <v>-2010000</v>
      </c>
      <c r="W5" s="122"/>
      <c r="X5" s="122"/>
    </row>
    <row r="6" spans="1:26" ht="20.100000000000001" customHeight="1" x14ac:dyDescent="0.3">
      <c r="A6" s="247"/>
      <c r="B6" s="247" t="s">
        <v>372</v>
      </c>
      <c r="C6" s="248">
        <f>+C102</f>
        <v>30262000</v>
      </c>
      <c r="D6" s="248">
        <f t="shared" ref="D6:J6" si="1">+D102</f>
        <v>30262000</v>
      </c>
      <c r="E6" s="248">
        <f t="shared" si="1"/>
        <v>33536000</v>
      </c>
      <c r="F6" s="248">
        <f t="shared" si="1"/>
        <v>31526000</v>
      </c>
      <c r="G6" s="248"/>
      <c r="H6" s="248">
        <f t="shared" si="1"/>
        <v>12921072</v>
      </c>
      <c r="I6" s="248">
        <f t="shared" si="1"/>
        <v>26026699</v>
      </c>
      <c r="J6" s="248">
        <f t="shared" si="1"/>
        <v>30776173</v>
      </c>
      <c r="K6" s="67"/>
      <c r="L6" s="639">
        <f t="shared" si="0"/>
        <v>0.42697349811644969</v>
      </c>
      <c r="M6" s="639">
        <f t="shared" si="0"/>
        <v>0.8600455687000198</v>
      </c>
      <c r="N6" s="639">
        <f t="shared" si="0"/>
        <v>0.91770554031488549</v>
      </c>
      <c r="O6" s="67"/>
      <c r="P6" s="248">
        <f>+P102</f>
        <v>0</v>
      </c>
      <c r="Q6" s="248">
        <f>+Q102</f>
        <v>3274000</v>
      </c>
      <c r="R6" s="248">
        <f>+R102</f>
        <v>-2010000</v>
      </c>
      <c r="S6" s="248">
        <f>+S102</f>
        <v>1264000</v>
      </c>
      <c r="T6" s="31">
        <f>IF(C6=0,0,+S6/C6)</f>
        <v>4.1768554622959489E-2</v>
      </c>
      <c r="U6" s="118"/>
      <c r="V6" s="195">
        <f>+S6-E6+C6</f>
        <v>-2010000</v>
      </c>
      <c r="W6" s="122"/>
      <c r="X6" s="122"/>
    </row>
    <row r="7" spans="1:26" ht="20.100000000000001" customHeight="1" x14ac:dyDescent="0.3">
      <c r="A7" s="247"/>
      <c r="B7" s="247" t="s">
        <v>404</v>
      </c>
      <c r="C7" s="248">
        <f>+C6-C5</f>
        <v>0</v>
      </c>
      <c r="D7" s="248">
        <f>+D6-D5</f>
        <v>0</v>
      </c>
      <c r="E7" s="248">
        <f>+E6-E5</f>
        <v>0</v>
      </c>
      <c r="F7" s="248">
        <f>+F6-F5</f>
        <v>0</v>
      </c>
      <c r="G7" s="248"/>
      <c r="H7" s="248">
        <f>+H6-H5</f>
        <v>367307</v>
      </c>
      <c r="I7" s="248">
        <f>+I6-I5</f>
        <v>2791748</v>
      </c>
      <c r="J7" s="248">
        <f>+J6-J5</f>
        <v>154067</v>
      </c>
      <c r="K7" s="67"/>
      <c r="L7" s="639"/>
      <c r="M7" s="639"/>
      <c r="N7" s="639"/>
      <c r="O7" s="67"/>
      <c r="P7" s="248">
        <f>+P6-P5</f>
        <v>0</v>
      </c>
      <c r="Q7" s="248">
        <f>+Q6-Q5</f>
        <v>0</v>
      </c>
      <c r="R7" s="248">
        <f>+R6-R5</f>
        <v>0</v>
      </c>
      <c r="S7" s="248">
        <f>+S6-S5</f>
        <v>0</v>
      </c>
      <c r="T7" s="31">
        <f>IF(C7=0,0,+S7/C7)</f>
        <v>0</v>
      </c>
      <c r="U7" s="118"/>
      <c r="V7" s="195">
        <f>+S7-E7+C7</f>
        <v>0</v>
      </c>
      <c r="W7" s="122"/>
      <c r="X7" s="122"/>
    </row>
    <row r="8" spans="1:26" x14ac:dyDescent="0.25">
      <c r="A8" s="231"/>
      <c r="B8" s="232"/>
      <c r="C8" s="609"/>
      <c r="D8" s="610"/>
      <c r="E8" s="610"/>
      <c r="F8" s="610"/>
      <c r="G8" s="611"/>
      <c r="H8" s="611"/>
      <c r="I8" s="611"/>
      <c r="J8" s="611"/>
      <c r="K8" s="611"/>
      <c r="L8" s="136"/>
      <c r="M8" s="136"/>
      <c r="N8" s="136"/>
      <c r="O8" s="94"/>
      <c r="P8" s="81"/>
      <c r="Q8" s="81"/>
      <c r="R8" s="81"/>
      <c r="S8" s="81"/>
      <c r="T8" s="151"/>
      <c r="U8" s="120"/>
      <c r="V8" s="192"/>
      <c r="W8" s="122"/>
      <c r="X8" s="122"/>
    </row>
    <row r="9" spans="1:26" ht="15.6" x14ac:dyDescent="0.3">
      <c r="A9" s="62"/>
      <c r="B9" s="233"/>
      <c r="C9" s="1442" t="s">
        <v>403</v>
      </c>
      <c r="D9" s="1450"/>
      <c r="E9" s="1450"/>
      <c r="F9" s="1451"/>
      <c r="G9" s="153"/>
      <c r="H9" s="1442" t="s">
        <v>402</v>
      </c>
      <c r="I9" s="1450"/>
      <c r="J9" s="1450"/>
      <c r="K9" s="1450"/>
      <c r="L9" s="1450"/>
      <c r="M9" s="1450"/>
      <c r="N9" s="1451"/>
      <c r="O9" s="153"/>
      <c r="P9" s="1442" t="s">
        <v>399</v>
      </c>
      <c r="Q9" s="1450"/>
      <c r="R9" s="1450"/>
      <c r="S9" s="1450"/>
      <c r="T9" s="1451"/>
      <c r="U9" s="196"/>
      <c r="V9" s="192"/>
      <c r="W9" s="122"/>
      <c r="X9" s="122"/>
    </row>
    <row r="10" spans="1:26" x14ac:dyDescent="0.25">
      <c r="A10" s="264"/>
      <c r="B10" s="263"/>
      <c r="C10" s="1437" t="s">
        <v>412</v>
      </c>
      <c r="D10" s="1438"/>
      <c r="E10" s="1438"/>
      <c r="F10" s="1439"/>
      <c r="G10" s="133"/>
      <c r="H10" s="1437" t="s">
        <v>412</v>
      </c>
      <c r="I10" s="1438"/>
      <c r="J10" s="1439"/>
      <c r="K10" s="133"/>
      <c r="L10" s="1437" t="s">
        <v>411</v>
      </c>
      <c r="M10" s="1438"/>
      <c r="N10" s="1439"/>
      <c r="O10" s="133"/>
      <c r="P10" s="127">
        <f>+'2. Önk. Bevételek'!P8</f>
        <v>1</v>
      </c>
      <c r="Q10" s="127">
        <f>+'2. Önk. Bevételek'!Q8</f>
        <v>1</v>
      </c>
      <c r="R10" s="127">
        <f>+'2. Önk. Bevételek'!R8</f>
        <v>1</v>
      </c>
      <c r="S10" s="126"/>
      <c r="T10" s="126"/>
      <c r="U10" s="152"/>
      <c r="V10" s="250"/>
      <c r="W10" s="130"/>
      <c r="X10" s="130"/>
      <c r="Y10" s="130"/>
      <c r="Z10" s="130"/>
    </row>
    <row r="11" spans="1:26" ht="61.2" x14ac:dyDescent="0.25">
      <c r="A11" s="27" t="s">
        <v>368</v>
      </c>
      <c r="B11" s="27" t="s">
        <v>366</v>
      </c>
      <c r="C11" s="517" t="s">
        <v>484</v>
      </c>
      <c r="D11" s="355" t="s">
        <v>485</v>
      </c>
      <c r="E11" s="355" t="s">
        <v>486</v>
      </c>
      <c r="F11" s="518" t="s">
        <v>502</v>
      </c>
      <c r="G11" s="355"/>
      <c r="H11" s="491" t="s">
        <v>487</v>
      </c>
      <c r="I11" s="356" t="s">
        <v>488</v>
      </c>
      <c r="J11" s="356" t="s">
        <v>501</v>
      </c>
      <c r="K11" s="355"/>
      <c r="L11" s="357" t="s">
        <v>489</v>
      </c>
      <c r="M11" s="357" t="s">
        <v>490</v>
      </c>
      <c r="N11" s="492" t="s">
        <v>503</v>
      </c>
      <c r="O11" s="355"/>
      <c r="P11" s="491" t="s">
        <v>491</v>
      </c>
      <c r="Q11" s="356" t="s">
        <v>492</v>
      </c>
      <c r="R11" s="356" t="s">
        <v>510</v>
      </c>
      <c r="S11" s="356" t="s">
        <v>400</v>
      </c>
      <c r="T11" s="492" t="s">
        <v>401</v>
      </c>
      <c r="U11" s="186"/>
      <c r="V11" s="131" t="s">
        <v>405</v>
      </c>
      <c r="W11" s="122"/>
      <c r="X11" s="122"/>
    </row>
    <row r="12" spans="1:26" ht="12.75" customHeight="1" x14ac:dyDescent="0.25">
      <c r="A12" s="14"/>
      <c r="B12" s="20"/>
      <c r="C12" s="218"/>
      <c r="D12" s="218"/>
      <c r="E12" s="218"/>
      <c r="F12" s="218"/>
      <c r="G12" s="218"/>
      <c r="H12" s="218"/>
      <c r="I12" s="218"/>
      <c r="J12" s="218"/>
      <c r="K12" s="218"/>
      <c r="L12" s="135"/>
      <c r="M12" s="135"/>
      <c r="N12" s="135"/>
      <c r="O12" s="218"/>
      <c r="P12" s="218"/>
      <c r="Q12" s="218"/>
      <c r="R12" s="218"/>
      <c r="S12" s="218"/>
    </row>
    <row r="13" spans="1:26" ht="12.75" customHeight="1" x14ac:dyDescent="0.25">
      <c r="A13" s="7" t="s">
        <v>0</v>
      </c>
      <c r="B13" s="5" t="s">
        <v>3</v>
      </c>
      <c r="C13" s="213">
        <f>+C14+C24</f>
        <v>13970000</v>
      </c>
      <c r="D13" s="213">
        <f>+D14+D24</f>
        <v>13970000</v>
      </c>
      <c r="E13" s="213">
        <f>+E14+E24</f>
        <v>13970000</v>
      </c>
      <c r="F13" s="213">
        <f>+F14+F24</f>
        <v>13970000</v>
      </c>
      <c r="G13" s="213"/>
      <c r="H13" s="213">
        <f>+H14+H24</f>
        <v>6042177</v>
      </c>
      <c r="I13" s="213">
        <f>+I14+I24</f>
        <v>9018873</v>
      </c>
      <c r="J13" s="213">
        <f>+J14+J24</f>
        <v>13510045</v>
      </c>
      <c r="K13" s="213"/>
      <c r="L13" s="85">
        <f t="shared" ref="L13:L28" si="2">IF(H13&gt;0,H13/C13,0)</f>
        <v>0.43251088045812458</v>
      </c>
      <c r="M13" s="85">
        <f t="shared" ref="M13:M28" si="3">IF(I13&gt;0,I13/D13,0)</f>
        <v>0.64558861846814608</v>
      </c>
      <c r="N13" s="85">
        <f t="shared" ref="N13:N28" si="4">IF(J13&gt;0,J13/E13,0)</f>
        <v>0.96707551896921973</v>
      </c>
      <c r="O13" s="213"/>
      <c r="P13" s="213">
        <f t="shared" ref="P13:R14" si="5">+(D13-C13)*P$10</f>
        <v>0</v>
      </c>
      <c r="Q13" s="213">
        <f t="shared" si="5"/>
        <v>0</v>
      </c>
      <c r="R13" s="213">
        <f t="shared" si="5"/>
        <v>0</v>
      </c>
      <c r="S13" s="213">
        <f>+P13*P$10+Q13*Q$10+R13*R$10</f>
        <v>0</v>
      </c>
      <c r="T13" s="277">
        <f>IF(C13=0,0,+S13/C13)</f>
        <v>0</v>
      </c>
      <c r="U13" s="120"/>
      <c r="V13" s="192">
        <f>+S13-E13+C13</f>
        <v>0</v>
      </c>
    </row>
    <row r="14" spans="1:26" ht="12.75" customHeight="1" x14ac:dyDescent="0.25">
      <c r="A14" s="38" t="s">
        <v>1</v>
      </c>
      <c r="B14" s="39"/>
      <c r="C14" s="274">
        <f>SUM(C15:C23)</f>
        <v>13970000</v>
      </c>
      <c r="D14" s="274">
        <f>SUM(D15:D23)</f>
        <v>13970000</v>
      </c>
      <c r="E14" s="274">
        <f>SUM(E15:E23)</f>
        <v>13970000</v>
      </c>
      <c r="F14" s="274">
        <f>SUM(F15:F23)</f>
        <v>13970000</v>
      </c>
      <c r="G14" s="274"/>
      <c r="H14" s="274">
        <f>SUM(H15:H23)</f>
        <v>6042177</v>
      </c>
      <c r="I14" s="274">
        <f>SUM(I15:I23)</f>
        <v>9018873</v>
      </c>
      <c r="J14" s="274">
        <f>SUM(J15:J23)</f>
        <v>13510045</v>
      </c>
      <c r="K14" s="218"/>
      <c r="L14" s="135">
        <f t="shared" si="2"/>
        <v>0.43251088045812458</v>
      </c>
      <c r="M14" s="135">
        <f t="shared" si="3"/>
        <v>0.64558861846814608</v>
      </c>
      <c r="N14" s="135">
        <f t="shared" si="4"/>
        <v>0.96707551896921973</v>
      </c>
      <c r="O14" s="218"/>
      <c r="P14" s="298">
        <f t="shared" si="5"/>
        <v>0</v>
      </c>
      <c r="Q14" s="298">
        <f t="shared" si="5"/>
        <v>0</v>
      </c>
      <c r="R14" s="298">
        <f t="shared" si="5"/>
        <v>0</v>
      </c>
      <c r="S14" s="298">
        <f t="shared" ref="S14:S77" si="6">+P14*P$10+Q14*Q$10+R14*R$10</f>
        <v>0</v>
      </c>
      <c r="T14" s="277">
        <f>IF(C14=0,0,+S14/C14)</f>
        <v>0</v>
      </c>
      <c r="U14" s="120"/>
      <c r="V14" s="192">
        <f>+S14-E14+C14</f>
        <v>0</v>
      </c>
    </row>
    <row r="15" spans="1:26" ht="12.75" customHeight="1" x14ac:dyDescent="0.25">
      <c r="A15" s="14" t="s">
        <v>2</v>
      </c>
      <c r="B15" s="479" t="s">
        <v>358</v>
      </c>
      <c r="C15" s="218">
        <f>13585000-250000</f>
        <v>13335000</v>
      </c>
      <c r="D15" s="218">
        <f>13585000-250000</f>
        <v>13335000</v>
      </c>
      <c r="E15" s="218">
        <f>13585000-250000</f>
        <v>13335000</v>
      </c>
      <c r="F15" s="218">
        <v>12491400</v>
      </c>
      <c r="G15" s="218"/>
      <c r="H15" s="218">
        <v>5994246</v>
      </c>
      <c r="I15" s="218">
        <v>8738458</v>
      </c>
      <c r="J15" s="218">
        <v>12128613</v>
      </c>
      <c r="K15" s="218"/>
      <c r="L15" s="136">
        <f t="shared" si="2"/>
        <v>0.44951226096737906</v>
      </c>
      <c r="M15" s="136">
        <f t="shared" si="3"/>
        <v>0.65530243719535053</v>
      </c>
      <c r="N15" s="136">
        <f t="shared" si="4"/>
        <v>0.90953228346456694</v>
      </c>
      <c r="O15" s="218"/>
      <c r="P15" s="298">
        <f t="shared" ref="P15:P23" si="7">+(D15-C15)*P$10</f>
        <v>0</v>
      </c>
      <c r="Q15" s="298">
        <f t="shared" ref="Q15:Q23" si="8">+(E15-D15)*Q$10</f>
        <v>0</v>
      </c>
      <c r="R15" s="298">
        <f t="shared" ref="R15:R23" si="9">+(F15-E15)*R$10</f>
        <v>-843600</v>
      </c>
      <c r="S15" s="298">
        <f t="shared" si="6"/>
        <v>-843600</v>
      </c>
      <c r="T15" s="277">
        <f t="shared" ref="T15:T23" si="10">IF(C15=0,0,+S15/C15)</f>
        <v>-6.3262092238470194E-2</v>
      </c>
      <c r="U15" s="120"/>
      <c r="V15" s="192">
        <f t="shared" ref="V15:V23" si="11">+S15-E15+C15</f>
        <v>-843600</v>
      </c>
    </row>
    <row r="16" spans="1:26" ht="12.75" customHeight="1" x14ac:dyDescent="0.25">
      <c r="A16" s="526" t="s">
        <v>507</v>
      </c>
      <c r="B16" s="479" t="s">
        <v>517</v>
      </c>
      <c r="C16" s="218">
        <v>0</v>
      </c>
      <c r="D16" s="218">
        <v>0</v>
      </c>
      <c r="E16" s="218">
        <v>0</v>
      </c>
      <c r="F16" s="218">
        <v>843600</v>
      </c>
      <c r="G16" s="218"/>
      <c r="H16" s="218"/>
      <c r="I16" s="218"/>
      <c r="J16" s="218">
        <v>840941</v>
      </c>
      <c r="K16" s="218"/>
      <c r="L16" s="135">
        <f t="shared" si="2"/>
        <v>0</v>
      </c>
      <c r="M16" s="135">
        <f t="shared" si="3"/>
        <v>0</v>
      </c>
      <c r="N16" s="135" t="e">
        <f t="shared" si="4"/>
        <v>#DIV/0!</v>
      </c>
      <c r="O16" s="218"/>
      <c r="P16" s="298">
        <f t="shared" si="7"/>
        <v>0</v>
      </c>
      <c r="Q16" s="298">
        <f t="shared" si="8"/>
        <v>0</v>
      </c>
      <c r="R16" s="298">
        <f t="shared" si="9"/>
        <v>843600</v>
      </c>
      <c r="S16" s="298">
        <f t="shared" si="6"/>
        <v>843600</v>
      </c>
      <c r="T16" s="277">
        <f t="shared" si="10"/>
        <v>0</v>
      </c>
      <c r="U16" s="120"/>
      <c r="V16" s="192">
        <f t="shared" si="11"/>
        <v>843600</v>
      </c>
    </row>
    <row r="17" spans="1:22" ht="12.75" customHeight="1" x14ac:dyDescent="0.25">
      <c r="A17" s="14" t="s">
        <v>10</v>
      </c>
      <c r="B17" s="20" t="s">
        <v>4</v>
      </c>
      <c r="C17" s="218"/>
      <c r="D17" s="218"/>
      <c r="E17" s="218"/>
      <c r="F17" s="218">
        <v>0</v>
      </c>
      <c r="G17" s="218"/>
      <c r="H17" s="218"/>
      <c r="I17" s="218"/>
      <c r="J17" s="218">
        <v>0</v>
      </c>
      <c r="K17" s="218"/>
      <c r="L17" s="135">
        <f t="shared" si="2"/>
        <v>0</v>
      </c>
      <c r="M17" s="135">
        <f t="shared" si="3"/>
        <v>0</v>
      </c>
      <c r="N17" s="135">
        <f t="shared" si="4"/>
        <v>0</v>
      </c>
      <c r="O17" s="218"/>
      <c r="P17" s="298">
        <f t="shared" si="7"/>
        <v>0</v>
      </c>
      <c r="Q17" s="298">
        <f t="shared" si="8"/>
        <v>0</v>
      </c>
      <c r="R17" s="298">
        <f t="shared" si="9"/>
        <v>0</v>
      </c>
      <c r="S17" s="298">
        <f t="shared" si="6"/>
        <v>0</v>
      </c>
      <c r="T17" s="277">
        <f t="shared" si="10"/>
        <v>0</v>
      </c>
      <c r="U17" s="120"/>
      <c r="V17" s="192">
        <f t="shared" si="11"/>
        <v>0</v>
      </c>
    </row>
    <row r="18" spans="1:22" ht="12.75" customHeight="1" x14ac:dyDescent="0.25">
      <c r="A18" s="526" t="s">
        <v>380</v>
      </c>
      <c r="B18" s="20" t="s">
        <v>5</v>
      </c>
      <c r="C18" s="218">
        <v>0</v>
      </c>
      <c r="D18" s="218">
        <v>0</v>
      </c>
      <c r="E18" s="218">
        <v>0</v>
      </c>
      <c r="F18" s="218">
        <v>0</v>
      </c>
      <c r="G18" s="218"/>
      <c r="H18" s="218">
        <v>0</v>
      </c>
      <c r="I18" s="218"/>
      <c r="J18" s="218">
        <v>0</v>
      </c>
      <c r="K18" s="218"/>
      <c r="L18" s="135">
        <f t="shared" si="2"/>
        <v>0</v>
      </c>
      <c r="M18" s="135">
        <f t="shared" si="3"/>
        <v>0</v>
      </c>
      <c r="N18" s="135">
        <f t="shared" si="4"/>
        <v>0</v>
      </c>
      <c r="O18" s="218"/>
      <c r="P18" s="298">
        <f t="shared" si="7"/>
        <v>0</v>
      </c>
      <c r="Q18" s="298">
        <f t="shared" si="8"/>
        <v>0</v>
      </c>
      <c r="R18" s="298">
        <f t="shared" si="9"/>
        <v>0</v>
      </c>
      <c r="S18" s="298">
        <f t="shared" si="6"/>
        <v>0</v>
      </c>
      <c r="T18" s="277">
        <f t="shared" si="10"/>
        <v>0</v>
      </c>
      <c r="U18" s="120"/>
      <c r="V18" s="192">
        <f t="shared" si="11"/>
        <v>0</v>
      </c>
    </row>
    <row r="19" spans="1:22" ht="12.75" customHeight="1" x14ac:dyDescent="0.25">
      <c r="A19" s="14" t="s">
        <v>11</v>
      </c>
      <c r="B19" s="20" t="s">
        <v>6</v>
      </c>
      <c r="C19" s="527">
        <f>5000*12*5</f>
        <v>300000</v>
      </c>
      <c r="D19" s="527">
        <f>5000*12*5</f>
        <v>300000</v>
      </c>
      <c r="E19" s="527">
        <f>5000*12*5</f>
        <v>300000</v>
      </c>
      <c r="F19" s="218">
        <v>25000</v>
      </c>
      <c r="G19" s="218"/>
      <c r="H19" s="218"/>
      <c r="I19" s="218">
        <v>157492</v>
      </c>
      <c r="J19" s="218">
        <v>0</v>
      </c>
      <c r="K19" s="218"/>
      <c r="L19" s="136">
        <f t="shared" si="2"/>
        <v>0</v>
      </c>
      <c r="M19" s="136">
        <f t="shared" si="3"/>
        <v>0.52497333333333329</v>
      </c>
      <c r="N19" s="136">
        <f t="shared" si="4"/>
        <v>0</v>
      </c>
      <c r="O19" s="218"/>
      <c r="P19" s="298">
        <f t="shared" si="7"/>
        <v>0</v>
      </c>
      <c r="Q19" s="298">
        <f t="shared" si="8"/>
        <v>0</v>
      </c>
      <c r="R19" s="298">
        <f t="shared" si="9"/>
        <v>-275000</v>
      </c>
      <c r="S19" s="298">
        <f t="shared" si="6"/>
        <v>-275000</v>
      </c>
      <c r="T19" s="277">
        <f t="shared" si="10"/>
        <v>-0.91666666666666663</v>
      </c>
      <c r="U19" s="120"/>
      <c r="V19" s="192">
        <f t="shared" si="11"/>
        <v>-275000</v>
      </c>
    </row>
    <row r="20" spans="1:22" ht="12.75" customHeight="1" x14ac:dyDescent="0.25">
      <c r="A20" s="14" t="s">
        <v>12</v>
      </c>
      <c r="B20" s="20" t="s">
        <v>7</v>
      </c>
      <c r="C20" s="218">
        <v>25000</v>
      </c>
      <c r="D20" s="218">
        <v>25000</v>
      </c>
      <c r="E20" s="218">
        <v>25000</v>
      </c>
      <c r="F20" s="218">
        <v>0</v>
      </c>
      <c r="G20" s="218"/>
      <c r="H20" s="218"/>
      <c r="I20" s="218"/>
      <c r="J20" s="218">
        <v>0</v>
      </c>
      <c r="K20" s="218"/>
      <c r="L20" s="135">
        <f t="shared" si="2"/>
        <v>0</v>
      </c>
      <c r="M20" s="135">
        <f t="shared" si="3"/>
        <v>0</v>
      </c>
      <c r="N20" s="135">
        <f t="shared" si="4"/>
        <v>0</v>
      </c>
      <c r="O20" s="218"/>
      <c r="P20" s="298">
        <f t="shared" si="7"/>
        <v>0</v>
      </c>
      <c r="Q20" s="298">
        <f t="shared" si="8"/>
        <v>0</v>
      </c>
      <c r="R20" s="298">
        <f t="shared" si="9"/>
        <v>-25000</v>
      </c>
      <c r="S20" s="298">
        <f t="shared" si="6"/>
        <v>-25000</v>
      </c>
      <c r="T20" s="277">
        <f t="shared" si="10"/>
        <v>-1</v>
      </c>
      <c r="U20" s="120"/>
      <c r="V20" s="192">
        <f t="shared" si="11"/>
        <v>-25000</v>
      </c>
    </row>
    <row r="21" spans="1:22" ht="12.75" customHeight="1" x14ac:dyDescent="0.25">
      <c r="A21" s="14" t="s">
        <v>13</v>
      </c>
      <c r="B21" s="20" t="s">
        <v>8</v>
      </c>
      <c r="C21" s="218">
        <v>60000</v>
      </c>
      <c r="D21" s="218">
        <v>60000</v>
      </c>
      <c r="E21" s="218">
        <v>60000</v>
      </c>
      <c r="F21" s="218">
        <v>60000</v>
      </c>
      <c r="G21" s="218"/>
      <c r="H21" s="218">
        <v>13895</v>
      </c>
      <c r="I21" s="218">
        <v>13895</v>
      </c>
      <c r="J21" s="218">
        <v>46480</v>
      </c>
      <c r="K21" s="218"/>
      <c r="L21" s="136">
        <f t="shared" si="2"/>
        <v>0.23158333333333334</v>
      </c>
      <c r="M21" s="136">
        <f t="shared" si="3"/>
        <v>0.23158333333333334</v>
      </c>
      <c r="N21" s="136">
        <f t="shared" si="4"/>
        <v>0.77466666666666661</v>
      </c>
      <c r="O21" s="218"/>
      <c r="P21" s="298">
        <f t="shared" si="7"/>
        <v>0</v>
      </c>
      <c r="Q21" s="298">
        <f t="shared" si="8"/>
        <v>0</v>
      </c>
      <c r="R21" s="298">
        <f t="shared" si="9"/>
        <v>0</v>
      </c>
      <c r="S21" s="298">
        <f t="shared" si="6"/>
        <v>0</v>
      </c>
      <c r="T21" s="277">
        <f t="shared" si="10"/>
        <v>0</v>
      </c>
      <c r="U21" s="120"/>
      <c r="V21" s="192">
        <f t="shared" si="11"/>
        <v>0</v>
      </c>
    </row>
    <row r="22" spans="1:22" ht="12.75" customHeight="1" x14ac:dyDescent="0.25">
      <c r="A22" s="14" t="s">
        <v>14</v>
      </c>
      <c r="B22" s="20" t="s">
        <v>9</v>
      </c>
      <c r="C22" s="218"/>
      <c r="D22" s="218"/>
      <c r="E22" s="218"/>
      <c r="F22" s="218">
        <v>0</v>
      </c>
      <c r="G22" s="218"/>
      <c r="H22" s="218"/>
      <c r="I22" s="218"/>
      <c r="J22" s="218"/>
      <c r="K22" s="218"/>
      <c r="L22" s="135">
        <f t="shared" si="2"/>
        <v>0</v>
      </c>
      <c r="M22" s="135">
        <f t="shared" si="3"/>
        <v>0</v>
      </c>
      <c r="N22" s="135">
        <f t="shared" si="4"/>
        <v>0</v>
      </c>
      <c r="O22" s="218"/>
      <c r="P22" s="298">
        <f t="shared" si="7"/>
        <v>0</v>
      </c>
      <c r="Q22" s="298">
        <f t="shared" si="8"/>
        <v>0</v>
      </c>
      <c r="R22" s="298">
        <f t="shared" si="9"/>
        <v>0</v>
      </c>
      <c r="S22" s="298">
        <f t="shared" si="6"/>
        <v>0</v>
      </c>
      <c r="T22" s="277">
        <f t="shared" si="10"/>
        <v>0</v>
      </c>
      <c r="U22" s="120"/>
      <c r="V22" s="192">
        <f t="shared" si="11"/>
        <v>0</v>
      </c>
    </row>
    <row r="23" spans="1:22" ht="12.75" customHeight="1" x14ac:dyDescent="0.25">
      <c r="A23" s="526" t="s">
        <v>522</v>
      </c>
      <c r="B23" s="479" t="s">
        <v>523</v>
      </c>
      <c r="C23" s="218">
        <v>250000</v>
      </c>
      <c r="D23" s="218">
        <v>250000</v>
      </c>
      <c r="E23" s="218">
        <v>250000</v>
      </c>
      <c r="F23" s="218">
        <f>157492+392508</f>
        <v>550000</v>
      </c>
      <c r="G23" s="218"/>
      <c r="H23" s="218">
        <v>34036</v>
      </c>
      <c r="I23" s="218">
        <v>109028</v>
      </c>
      <c r="J23" s="218">
        <f>157492+336519</f>
        <v>494011</v>
      </c>
      <c r="K23" s="218"/>
      <c r="L23" s="136">
        <f t="shared" si="2"/>
        <v>0.13614399999999999</v>
      </c>
      <c r="M23" s="136">
        <f t="shared" si="3"/>
        <v>0.436112</v>
      </c>
      <c r="N23" s="136">
        <f t="shared" si="4"/>
        <v>1.9760439999999999</v>
      </c>
      <c r="O23" s="218"/>
      <c r="P23" s="298">
        <f t="shared" si="7"/>
        <v>0</v>
      </c>
      <c r="Q23" s="298">
        <f t="shared" si="8"/>
        <v>0</v>
      </c>
      <c r="R23" s="298">
        <f t="shared" si="9"/>
        <v>300000</v>
      </c>
      <c r="S23" s="298">
        <f t="shared" si="6"/>
        <v>300000</v>
      </c>
      <c r="T23" s="277">
        <f t="shared" si="10"/>
        <v>1.2</v>
      </c>
      <c r="U23" s="120"/>
      <c r="V23" s="192">
        <f t="shared" si="11"/>
        <v>300000</v>
      </c>
    </row>
    <row r="24" spans="1:22" ht="12.75" customHeight="1" x14ac:dyDescent="0.25">
      <c r="A24" s="38" t="s">
        <v>15</v>
      </c>
      <c r="B24" s="39"/>
      <c r="C24" s="274">
        <f>SUM(C25:C27)</f>
        <v>0</v>
      </c>
      <c r="D24" s="274">
        <f t="shared" ref="D24:J24" si="12">SUM(D25:D27)</f>
        <v>0</v>
      </c>
      <c r="E24" s="274">
        <f t="shared" si="12"/>
        <v>0</v>
      </c>
      <c r="F24" s="274">
        <f t="shared" si="12"/>
        <v>0</v>
      </c>
      <c r="G24" s="274"/>
      <c r="H24" s="274">
        <f t="shared" si="12"/>
        <v>0</v>
      </c>
      <c r="I24" s="274">
        <f t="shared" si="12"/>
        <v>0</v>
      </c>
      <c r="J24" s="274">
        <f t="shared" si="12"/>
        <v>0</v>
      </c>
      <c r="K24" s="218"/>
      <c r="L24" s="135">
        <f t="shared" si="2"/>
        <v>0</v>
      </c>
      <c r="M24" s="135">
        <f t="shared" si="3"/>
        <v>0</v>
      </c>
      <c r="N24" s="135">
        <f t="shared" si="4"/>
        <v>0</v>
      </c>
      <c r="O24" s="218"/>
      <c r="P24" s="298">
        <f t="shared" ref="P24:P67" si="13">+(D24-C24)*P$10</f>
        <v>0</v>
      </c>
      <c r="Q24" s="298">
        <f t="shared" ref="Q24:Q67" si="14">+(E24-D24)*Q$10</f>
        <v>0</v>
      </c>
      <c r="R24" s="298">
        <f t="shared" ref="R24:R67" si="15">+(F24-E24)*R$10</f>
        <v>0</v>
      </c>
      <c r="S24" s="298">
        <f t="shared" si="6"/>
        <v>0</v>
      </c>
      <c r="T24" s="277">
        <f t="shared" ref="T24:T47" si="16">IF(C24=0,0,+S24/C24)</f>
        <v>0</v>
      </c>
      <c r="U24" s="120"/>
      <c r="V24" s="192">
        <f t="shared" ref="V24:V47" si="17">+S24-E24+C24</f>
        <v>0</v>
      </c>
    </row>
    <row r="25" spans="1:22" ht="12.75" customHeight="1" x14ac:dyDescent="0.25">
      <c r="A25" s="14" t="s">
        <v>16</v>
      </c>
      <c r="B25" s="479" t="s">
        <v>462</v>
      </c>
      <c r="C25" s="218"/>
      <c r="D25" s="218"/>
      <c r="E25" s="218"/>
      <c r="F25" s="218"/>
      <c r="G25" s="218"/>
      <c r="H25" s="218"/>
      <c r="I25" s="218"/>
      <c r="J25" s="218"/>
      <c r="K25" s="218"/>
      <c r="L25" s="135">
        <f t="shared" si="2"/>
        <v>0</v>
      </c>
      <c r="M25" s="135">
        <f t="shared" si="3"/>
        <v>0</v>
      </c>
      <c r="N25" s="135">
        <f t="shared" si="4"/>
        <v>0</v>
      </c>
      <c r="O25" s="218"/>
      <c r="P25" s="298">
        <f t="shared" si="13"/>
        <v>0</v>
      </c>
      <c r="Q25" s="298">
        <f t="shared" si="14"/>
        <v>0</v>
      </c>
      <c r="R25" s="298">
        <f t="shared" si="15"/>
        <v>0</v>
      </c>
      <c r="S25" s="298">
        <f t="shared" si="6"/>
        <v>0</v>
      </c>
      <c r="T25" s="277">
        <f t="shared" si="16"/>
        <v>0</v>
      </c>
      <c r="U25" s="120"/>
      <c r="V25" s="192">
        <f t="shared" si="17"/>
        <v>0</v>
      </c>
    </row>
    <row r="26" spans="1:22" ht="12.75" customHeight="1" x14ac:dyDescent="0.25">
      <c r="A26" s="14" t="s">
        <v>18</v>
      </c>
      <c r="B26" s="20" t="s">
        <v>19</v>
      </c>
      <c r="C26" s="218"/>
      <c r="D26" s="218"/>
      <c r="E26" s="218"/>
      <c r="F26" s="218"/>
      <c r="G26" s="218"/>
      <c r="H26" s="218"/>
      <c r="I26" s="218"/>
      <c r="J26" s="218"/>
      <c r="K26" s="218"/>
      <c r="L26" s="135">
        <f t="shared" si="2"/>
        <v>0</v>
      </c>
      <c r="M26" s="135">
        <f t="shared" si="3"/>
        <v>0</v>
      </c>
      <c r="N26" s="135">
        <f t="shared" si="4"/>
        <v>0</v>
      </c>
      <c r="O26" s="218"/>
      <c r="P26" s="298">
        <f t="shared" si="13"/>
        <v>0</v>
      </c>
      <c r="Q26" s="298">
        <f t="shared" si="14"/>
        <v>0</v>
      </c>
      <c r="R26" s="298">
        <f t="shared" si="15"/>
        <v>0</v>
      </c>
      <c r="S26" s="298">
        <f t="shared" si="6"/>
        <v>0</v>
      </c>
      <c r="T26" s="277">
        <f t="shared" si="16"/>
        <v>0</v>
      </c>
      <c r="U26" s="120"/>
      <c r="V26" s="192">
        <f t="shared" si="17"/>
        <v>0</v>
      </c>
    </row>
    <row r="27" spans="1:22" ht="12.75" customHeight="1" x14ac:dyDescent="0.25">
      <c r="A27" s="14" t="s">
        <v>20</v>
      </c>
      <c r="B27" s="20" t="s">
        <v>21</v>
      </c>
      <c r="C27" s="218"/>
      <c r="D27" s="218"/>
      <c r="E27" s="218"/>
      <c r="F27" s="218"/>
      <c r="G27" s="218"/>
      <c r="H27" s="218"/>
      <c r="I27" s="218"/>
      <c r="J27" s="218"/>
      <c r="K27" s="218"/>
      <c r="L27" s="135">
        <f t="shared" si="2"/>
        <v>0</v>
      </c>
      <c r="M27" s="135">
        <f t="shared" si="3"/>
        <v>0</v>
      </c>
      <c r="N27" s="135">
        <f t="shared" si="4"/>
        <v>0</v>
      </c>
      <c r="O27" s="218"/>
      <c r="P27" s="298">
        <f t="shared" si="13"/>
        <v>0</v>
      </c>
      <c r="Q27" s="298">
        <f t="shared" si="14"/>
        <v>0</v>
      </c>
      <c r="R27" s="298">
        <f t="shared" si="15"/>
        <v>0</v>
      </c>
      <c r="S27" s="298">
        <f t="shared" si="6"/>
        <v>0</v>
      </c>
      <c r="T27" s="277">
        <f t="shared" si="16"/>
        <v>0</v>
      </c>
      <c r="U27" s="120"/>
      <c r="V27" s="192">
        <f t="shared" si="17"/>
        <v>0</v>
      </c>
    </row>
    <row r="28" spans="1:22" ht="12.75" customHeight="1" x14ac:dyDescent="0.25">
      <c r="A28" s="14"/>
      <c r="B28" s="14"/>
      <c r="C28" s="218"/>
      <c r="D28" s="218"/>
      <c r="E28" s="218"/>
      <c r="F28" s="218"/>
      <c r="G28" s="218"/>
      <c r="H28" s="218"/>
      <c r="I28" s="218"/>
      <c r="J28" s="218"/>
      <c r="K28" s="218"/>
      <c r="L28" s="151">
        <f t="shared" si="2"/>
        <v>0</v>
      </c>
      <c r="M28" s="151">
        <f t="shared" si="3"/>
        <v>0</v>
      </c>
      <c r="N28" s="151">
        <f t="shared" si="4"/>
        <v>0</v>
      </c>
      <c r="O28" s="218"/>
      <c r="P28" s="298">
        <f t="shared" si="13"/>
        <v>0</v>
      </c>
      <c r="Q28" s="298">
        <f t="shared" si="14"/>
        <v>0</v>
      </c>
      <c r="R28" s="298">
        <f t="shared" si="15"/>
        <v>0</v>
      </c>
      <c r="S28" s="298">
        <f t="shared" si="6"/>
        <v>0</v>
      </c>
      <c r="T28" s="277">
        <f t="shared" si="16"/>
        <v>0</v>
      </c>
      <c r="U28" s="120"/>
      <c r="V28" s="192">
        <f t="shared" si="17"/>
        <v>0</v>
      </c>
    </row>
    <row r="29" spans="1:22" ht="12.75" customHeight="1" x14ac:dyDescent="0.25">
      <c r="A29" s="7" t="s">
        <v>22</v>
      </c>
      <c r="B29" s="5" t="s">
        <v>23</v>
      </c>
      <c r="C29" s="213">
        <f>SUM(C30:C31)</f>
        <v>3000000</v>
      </c>
      <c r="D29" s="213">
        <f t="shared" ref="D29:J29" si="18">SUM(D30:D31)</f>
        <v>3000000</v>
      </c>
      <c r="E29" s="213">
        <f t="shared" si="18"/>
        <v>3000000</v>
      </c>
      <c r="F29" s="213">
        <f t="shared" si="18"/>
        <v>2574000</v>
      </c>
      <c r="G29" s="213"/>
      <c r="H29" s="213">
        <f t="shared" si="18"/>
        <v>1315967</v>
      </c>
      <c r="I29" s="213">
        <f t="shared" si="18"/>
        <v>1869747</v>
      </c>
      <c r="J29" s="213">
        <f t="shared" si="18"/>
        <v>2573467</v>
      </c>
      <c r="K29" s="213"/>
      <c r="L29" s="85">
        <f t="shared" ref="L29:N30" si="19">IF(H29&gt;0,H29/C29,0)</f>
        <v>0.43865566666666667</v>
      </c>
      <c r="M29" s="85">
        <f t="shared" si="19"/>
        <v>0.62324900000000005</v>
      </c>
      <c r="N29" s="85">
        <f t="shared" si="19"/>
        <v>0.85782233333333335</v>
      </c>
      <c r="O29" s="213"/>
      <c r="P29" s="213">
        <f t="shared" ref="P29:R30" si="20">+(D29-C29)*P$10</f>
        <v>0</v>
      </c>
      <c r="Q29" s="213">
        <f t="shared" si="20"/>
        <v>0</v>
      </c>
      <c r="R29" s="213">
        <f t="shared" si="20"/>
        <v>-426000</v>
      </c>
      <c r="S29" s="213">
        <f t="shared" si="6"/>
        <v>-426000</v>
      </c>
      <c r="T29" s="277">
        <f t="shared" si="16"/>
        <v>-0.14199999999999999</v>
      </c>
      <c r="U29" s="120"/>
      <c r="V29" s="192">
        <f t="shared" si="17"/>
        <v>-426000</v>
      </c>
    </row>
    <row r="30" spans="1:22" ht="12.75" customHeight="1" x14ac:dyDescent="0.25">
      <c r="A30" s="14"/>
      <c r="B30" s="20" t="s">
        <v>24</v>
      </c>
      <c r="C30" s="218">
        <f>3000000</f>
        <v>3000000</v>
      </c>
      <c r="D30" s="218">
        <v>3000000</v>
      </c>
      <c r="E30" s="218">
        <v>3000000</v>
      </c>
      <c r="F30" s="218">
        <v>2574000</v>
      </c>
      <c r="G30" s="218"/>
      <c r="H30" s="218">
        <v>1315967</v>
      </c>
      <c r="I30" s="218">
        <v>1869747</v>
      </c>
      <c r="J30" s="218">
        <v>2573467</v>
      </c>
      <c r="K30" s="218"/>
      <c r="L30" s="136">
        <f t="shared" si="19"/>
        <v>0.43865566666666667</v>
      </c>
      <c r="M30" s="136">
        <f t="shared" si="19"/>
        <v>0.62324900000000005</v>
      </c>
      <c r="N30" s="136">
        <f t="shared" si="19"/>
        <v>0.85782233333333335</v>
      </c>
      <c r="O30" s="218"/>
      <c r="P30" s="298">
        <f t="shared" si="20"/>
        <v>0</v>
      </c>
      <c r="Q30" s="298">
        <f t="shared" si="20"/>
        <v>0</v>
      </c>
      <c r="R30" s="298">
        <f t="shared" si="20"/>
        <v>-426000</v>
      </c>
      <c r="S30" s="298">
        <f t="shared" si="6"/>
        <v>-426000</v>
      </c>
      <c r="T30" s="277">
        <f t="shared" si="16"/>
        <v>-0.14199999999999999</v>
      </c>
      <c r="U30" s="120"/>
      <c r="V30" s="192">
        <f t="shared" si="17"/>
        <v>-426000</v>
      </c>
    </row>
    <row r="31" spans="1:22" ht="12.75" customHeight="1" x14ac:dyDescent="0.25">
      <c r="A31" s="14"/>
      <c r="B31" s="14"/>
      <c r="C31" s="218"/>
      <c r="D31" s="218"/>
      <c r="E31" s="218"/>
      <c r="F31" s="218"/>
      <c r="G31" s="218"/>
      <c r="H31" s="218"/>
      <c r="I31" s="218"/>
      <c r="J31" s="218"/>
      <c r="K31" s="218"/>
      <c r="L31" s="151"/>
      <c r="M31" s="151"/>
      <c r="N31" s="151"/>
      <c r="O31" s="218"/>
      <c r="P31" s="298">
        <f t="shared" si="13"/>
        <v>0</v>
      </c>
      <c r="Q31" s="298">
        <f t="shared" si="14"/>
        <v>0</v>
      </c>
      <c r="R31" s="298">
        <f t="shared" si="15"/>
        <v>0</v>
      </c>
      <c r="S31" s="298">
        <f t="shared" si="6"/>
        <v>0</v>
      </c>
      <c r="T31" s="277">
        <f t="shared" si="16"/>
        <v>0</v>
      </c>
      <c r="U31" s="120"/>
      <c r="V31" s="192">
        <f t="shared" si="17"/>
        <v>0</v>
      </c>
    </row>
    <row r="32" spans="1:22" ht="12.75" customHeight="1" x14ac:dyDescent="0.25">
      <c r="A32" s="7" t="s">
        <v>25</v>
      </c>
      <c r="B32" s="5" t="s">
        <v>26</v>
      </c>
      <c r="C32" s="213">
        <f>+C33+C48+C41+C66+C71</f>
        <v>13092000</v>
      </c>
      <c r="D32" s="213">
        <f>+D33+D48+D41+D66+D71</f>
        <v>13019600</v>
      </c>
      <c r="E32" s="213">
        <f>+E33+E41+E48+E66+E71</f>
        <v>16293600</v>
      </c>
      <c r="F32" s="213">
        <f>+F33+F41+F48+F66+F71</f>
        <v>14701260</v>
      </c>
      <c r="G32" s="213"/>
      <c r="H32" s="213">
        <f>+H33+H48+H66+H71</f>
        <v>4969781</v>
      </c>
      <c r="I32" s="213">
        <f>+I33+I41+I48+I66+I71</f>
        <v>12120491</v>
      </c>
      <c r="J32" s="213">
        <f>+J33+J41+J48+J66+J71</f>
        <v>14257854</v>
      </c>
      <c r="K32" s="213"/>
      <c r="L32" s="85">
        <f t="shared" ref="L32:L45" si="21">IF(H32&gt;0,H32/C32,0)</f>
        <v>0.37960441490986863</v>
      </c>
      <c r="M32" s="85">
        <f t="shared" ref="M32:M45" si="22">IF(I32&gt;0,I32/D32,0)</f>
        <v>0.93094188761559493</v>
      </c>
      <c r="N32" s="85">
        <f t="shared" ref="N32:N45" si="23">IF(J32&gt;0,J32/E32,0)</f>
        <v>0.87505855059655324</v>
      </c>
      <c r="O32" s="213"/>
      <c r="P32" s="213">
        <f t="shared" ref="P32:P48" si="24">+(D32-C32)*P$10</f>
        <v>-72400</v>
      </c>
      <c r="Q32" s="213">
        <f t="shared" ref="Q32:Q48" si="25">+(E32-D32)*Q$10</f>
        <v>3274000</v>
      </c>
      <c r="R32" s="213">
        <f t="shared" ref="R32:R48" si="26">+(F32-E32)*R$10</f>
        <v>-1592340</v>
      </c>
      <c r="S32" s="213">
        <f t="shared" si="6"/>
        <v>1609260</v>
      </c>
      <c r="T32" s="277">
        <f t="shared" si="16"/>
        <v>0.12291934005499541</v>
      </c>
      <c r="U32" s="120"/>
      <c r="V32" s="192">
        <f t="shared" si="17"/>
        <v>-1592340</v>
      </c>
    </row>
    <row r="33" spans="1:22" ht="12.75" customHeight="1" x14ac:dyDescent="0.25">
      <c r="A33" s="38" t="s">
        <v>27</v>
      </c>
      <c r="B33" s="39" t="s">
        <v>28</v>
      </c>
      <c r="C33" s="274">
        <f>SUM(C34:C40)</f>
        <v>3100000</v>
      </c>
      <c r="D33" s="274">
        <f t="shared" ref="D33:J33" si="27">SUM(D34:D40)</f>
        <v>3027600</v>
      </c>
      <c r="E33" s="274">
        <f t="shared" si="27"/>
        <v>3027600</v>
      </c>
      <c r="F33" s="274">
        <f t="shared" si="27"/>
        <v>2114289</v>
      </c>
      <c r="G33" s="274"/>
      <c r="H33" s="274">
        <f t="shared" si="27"/>
        <v>838311</v>
      </c>
      <c r="I33" s="274">
        <f t="shared" si="27"/>
        <v>1414701</v>
      </c>
      <c r="J33" s="274">
        <f t="shared" si="27"/>
        <v>2108795</v>
      </c>
      <c r="K33" s="218"/>
      <c r="L33" s="151">
        <f t="shared" si="21"/>
        <v>0.27042290322580648</v>
      </c>
      <c r="M33" s="151">
        <f t="shared" si="22"/>
        <v>0.46726813317479193</v>
      </c>
      <c r="N33" s="151">
        <f t="shared" si="23"/>
        <v>0.69652364909499276</v>
      </c>
      <c r="O33" s="218"/>
      <c r="P33" s="218">
        <f t="shared" si="24"/>
        <v>-72400</v>
      </c>
      <c r="Q33" s="218">
        <f t="shared" si="25"/>
        <v>0</v>
      </c>
      <c r="R33" s="218">
        <f t="shared" si="26"/>
        <v>-913311</v>
      </c>
      <c r="S33" s="218">
        <f t="shared" si="6"/>
        <v>-985711</v>
      </c>
      <c r="T33" s="277">
        <f t="shared" si="16"/>
        <v>-0.31797129032258065</v>
      </c>
      <c r="U33" s="120"/>
      <c r="V33" s="192">
        <f t="shared" si="17"/>
        <v>-913311</v>
      </c>
    </row>
    <row r="34" spans="1:22" ht="12.75" customHeight="1" x14ac:dyDescent="0.25">
      <c r="A34" s="14" t="s">
        <v>29</v>
      </c>
      <c r="B34" s="20" t="s">
        <v>31</v>
      </c>
      <c r="C34" s="218">
        <v>1000000</v>
      </c>
      <c r="D34" s="218">
        <v>1000000</v>
      </c>
      <c r="E34" s="218">
        <v>1000000</v>
      </c>
      <c r="F34" s="218">
        <v>863000</v>
      </c>
      <c r="G34" s="218"/>
      <c r="H34" s="218">
        <v>376495</v>
      </c>
      <c r="I34" s="218">
        <v>378888</v>
      </c>
      <c r="J34" s="218">
        <v>862043</v>
      </c>
      <c r="K34" s="218"/>
      <c r="L34" s="136">
        <f t="shared" si="21"/>
        <v>0.37649500000000002</v>
      </c>
      <c r="M34" s="136">
        <f t="shared" si="22"/>
        <v>0.378888</v>
      </c>
      <c r="N34" s="136">
        <f t="shared" si="23"/>
        <v>0.862043</v>
      </c>
      <c r="O34" s="218"/>
      <c r="P34" s="298">
        <f t="shared" si="24"/>
        <v>0</v>
      </c>
      <c r="Q34" s="298">
        <f t="shared" si="25"/>
        <v>0</v>
      </c>
      <c r="R34" s="298">
        <f t="shared" si="26"/>
        <v>-137000</v>
      </c>
      <c r="S34" s="298">
        <f t="shared" si="6"/>
        <v>-137000</v>
      </c>
      <c r="T34" s="277">
        <f t="shared" si="16"/>
        <v>-0.13700000000000001</v>
      </c>
      <c r="U34" s="120"/>
      <c r="V34" s="192">
        <f t="shared" si="17"/>
        <v>-137000</v>
      </c>
    </row>
    <row r="35" spans="1:22" ht="15.75" customHeight="1" x14ac:dyDescent="0.25">
      <c r="A35" s="14"/>
      <c r="B35" s="20" t="s">
        <v>85</v>
      </c>
      <c r="C35" s="218"/>
      <c r="D35" s="218"/>
      <c r="E35" s="218"/>
      <c r="F35" s="218"/>
      <c r="G35" s="218"/>
      <c r="H35" s="218"/>
      <c r="I35" s="218"/>
      <c r="J35" s="218"/>
      <c r="K35" s="218"/>
      <c r="L35" s="136">
        <f t="shared" si="21"/>
        <v>0</v>
      </c>
      <c r="M35" s="136">
        <f t="shared" si="22"/>
        <v>0</v>
      </c>
      <c r="N35" s="136">
        <f t="shared" si="23"/>
        <v>0</v>
      </c>
      <c r="O35" s="218"/>
      <c r="P35" s="218">
        <f t="shared" si="24"/>
        <v>0</v>
      </c>
      <c r="Q35" s="218">
        <f t="shared" si="25"/>
        <v>0</v>
      </c>
      <c r="R35" s="218">
        <f t="shared" si="26"/>
        <v>0</v>
      </c>
      <c r="S35" s="218">
        <f t="shared" si="6"/>
        <v>0</v>
      </c>
      <c r="T35" s="277">
        <f t="shared" si="16"/>
        <v>0</v>
      </c>
      <c r="U35" s="120"/>
      <c r="V35" s="192">
        <f t="shared" si="17"/>
        <v>0</v>
      </c>
    </row>
    <row r="36" spans="1:22" ht="12.75" customHeight="1" x14ac:dyDescent="0.25">
      <c r="A36" s="14" t="s">
        <v>30</v>
      </c>
      <c r="B36" s="20" t="s">
        <v>32</v>
      </c>
      <c r="C36" s="565">
        <v>2100000</v>
      </c>
      <c r="D36" s="218">
        <v>2027600</v>
      </c>
      <c r="E36" s="218">
        <v>2027600</v>
      </c>
      <c r="F36" s="218">
        <v>1251289</v>
      </c>
      <c r="G36" s="218"/>
      <c r="H36" s="218">
        <v>461816</v>
      </c>
      <c r="I36" s="218">
        <v>1035813</v>
      </c>
      <c r="J36" s="218">
        <v>1246752</v>
      </c>
      <c r="K36" s="218"/>
      <c r="L36" s="136">
        <f t="shared" si="21"/>
        <v>0.21991238095238094</v>
      </c>
      <c r="M36" s="136">
        <f t="shared" si="22"/>
        <v>0.51085667784572897</v>
      </c>
      <c r="N36" s="136">
        <f t="shared" si="23"/>
        <v>0.61489051094890512</v>
      </c>
      <c r="O36" s="218"/>
      <c r="P36" s="298">
        <f t="shared" si="24"/>
        <v>-72400</v>
      </c>
      <c r="Q36" s="298">
        <f t="shared" si="25"/>
        <v>0</v>
      </c>
      <c r="R36" s="298">
        <f t="shared" si="26"/>
        <v>-776311</v>
      </c>
      <c r="S36" s="298">
        <f t="shared" si="6"/>
        <v>-848711</v>
      </c>
      <c r="T36" s="277">
        <f t="shared" si="16"/>
        <v>-0.40414809523809525</v>
      </c>
      <c r="U36" s="120"/>
      <c r="V36" s="192">
        <f t="shared" si="17"/>
        <v>-776311</v>
      </c>
    </row>
    <row r="37" spans="1:22" ht="12.75" customHeight="1" x14ac:dyDescent="0.25">
      <c r="A37" s="14"/>
      <c r="B37" s="20" t="s">
        <v>101</v>
      </c>
      <c r="C37" s="218"/>
      <c r="D37" s="218"/>
      <c r="E37" s="218"/>
      <c r="F37" s="218"/>
      <c r="G37" s="218"/>
      <c r="H37" s="218"/>
      <c r="I37" s="218"/>
      <c r="J37" s="218"/>
      <c r="K37" s="218"/>
      <c r="L37" s="136">
        <f t="shared" si="21"/>
        <v>0</v>
      </c>
      <c r="M37" s="136">
        <f t="shared" si="22"/>
        <v>0</v>
      </c>
      <c r="N37" s="136">
        <f t="shared" si="23"/>
        <v>0</v>
      </c>
      <c r="O37" s="218"/>
      <c r="P37" s="218">
        <f t="shared" si="24"/>
        <v>0</v>
      </c>
      <c r="Q37" s="218">
        <f t="shared" si="25"/>
        <v>0</v>
      </c>
      <c r="R37" s="218">
        <f t="shared" si="26"/>
        <v>0</v>
      </c>
      <c r="S37" s="218">
        <f t="shared" si="6"/>
        <v>0</v>
      </c>
      <c r="T37" s="277">
        <f t="shared" si="16"/>
        <v>0</v>
      </c>
      <c r="U37" s="120"/>
      <c r="V37" s="192">
        <f t="shared" si="17"/>
        <v>0</v>
      </c>
    </row>
    <row r="38" spans="1:22" ht="12.75" customHeight="1" x14ac:dyDescent="0.25">
      <c r="A38" s="14"/>
      <c r="B38" s="20" t="s">
        <v>91</v>
      </c>
      <c r="C38" s="218"/>
      <c r="D38" s="218"/>
      <c r="E38" s="218"/>
      <c r="F38" s="218"/>
      <c r="G38" s="218"/>
      <c r="H38" s="218"/>
      <c r="I38" s="218"/>
      <c r="J38" s="218"/>
      <c r="K38" s="218"/>
      <c r="L38" s="136">
        <f t="shared" si="21"/>
        <v>0</v>
      </c>
      <c r="M38" s="136">
        <f t="shared" si="22"/>
        <v>0</v>
      </c>
      <c r="N38" s="136">
        <f t="shared" si="23"/>
        <v>0</v>
      </c>
      <c r="O38" s="218"/>
      <c r="P38" s="218">
        <f t="shared" si="24"/>
        <v>0</v>
      </c>
      <c r="Q38" s="218">
        <f t="shared" si="25"/>
        <v>0</v>
      </c>
      <c r="R38" s="218">
        <f t="shared" si="26"/>
        <v>0</v>
      </c>
      <c r="S38" s="218">
        <f t="shared" si="6"/>
        <v>0</v>
      </c>
      <c r="T38" s="277">
        <f t="shared" si="16"/>
        <v>0</v>
      </c>
      <c r="U38" s="120"/>
      <c r="V38" s="192">
        <f t="shared" si="17"/>
        <v>0</v>
      </c>
    </row>
    <row r="39" spans="1:22" ht="12.75" customHeight="1" x14ac:dyDescent="0.25">
      <c r="A39" s="14"/>
      <c r="B39" s="20" t="s">
        <v>90</v>
      </c>
      <c r="C39" s="218"/>
      <c r="D39" s="218"/>
      <c r="E39" s="218"/>
      <c r="F39" s="218"/>
      <c r="G39" s="218"/>
      <c r="H39" s="218"/>
      <c r="I39" s="218"/>
      <c r="J39" s="218"/>
      <c r="K39" s="218"/>
      <c r="L39" s="136">
        <f t="shared" si="21"/>
        <v>0</v>
      </c>
      <c r="M39" s="136">
        <f t="shared" si="22"/>
        <v>0</v>
      </c>
      <c r="N39" s="136">
        <f t="shared" si="23"/>
        <v>0</v>
      </c>
      <c r="O39" s="218"/>
      <c r="P39" s="218">
        <f t="shared" si="24"/>
        <v>0</v>
      </c>
      <c r="Q39" s="218">
        <f t="shared" si="25"/>
        <v>0</v>
      </c>
      <c r="R39" s="218">
        <f t="shared" si="26"/>
        <v>0</v>
      </c>
      <c r="S39" s="218">
        <f t="shared" si="6"/>
        <v>0</v>
      </c>
      <c r="T39" s="277">
        <f t="shared" si="16"/>
        <v>0</v>
      </c>
      <c r="U39" s="120"/>
      <c r="V39" s="192">
        <f t="shared" si="17"/>
        <v>0</v>
      </c>
    </row>
    <row r="40" spans="1:22" ht="12.75" customHeight="1" x14ac:dyDescent="0.25">
      <c r="A40" s="14"/>
      <c r="B40" s="20" t="s">
        <v>89</v>
      </c>
      <c r="C40" s="218"/>
      <c r="D40" s="218"/>
      <c r="E40" s="218"/>
      <c r="F40" s="218"/>
      <c r="G40" s="218"/>
      <c r="H40" s="218"/>
      <c r="I40" s="218"/>
      <c r="J40" s="218"/>
      <c r="K40" s="218"/>
      <c r="L40" s="136">
        <f t="shared" si="21"/>
        <v>0</v>
      </c>
      <c r="M40" s="136">
        <f t="shared" si="22"/>
        <v>0</v>
      </c>
      <c r="N40" s="136">
        <f t="shared" si="23"/>
        <v>0</v>
      </c>
      <c r="O40" s="218"/>
      <c r="P40" s="218">
        <f t="shared" si="24"/>
        <v>0</v>
      </c>
      <c r="Q40" s="218">
        <f t="shared" si="25"/>
        <v>0</v>
      </c>
      <c r="R40" s="218">
        <f t="shared" si="26"/>
        <v>0</v>
      </c>
      <c r="S40" s="218">
        <f t="shared" si="6"/>
        <v>0</v>
      </c>
      <c r="T40" s="277">
        <f t="shared" si="16"/>
        <v>0</v>
      </c>
      <c r="U40" s="120"/>
      <c r="V40" s="192">
        <f t="shared" si="17"/>
        <v>0</v>
      </c>
    </row>
    <row r="41" spans="1:22" ht="12.75" customHeight="1" x14ac:dyDescent="0.25">
      <c r="A41" s="38" t="s">
        <v>33</v>
      </c>
      <c r="B41" s="39" t="s">
        <v>34</v>
      </c>
      <c r="C41" s="274">
        <f>SUM(C42:C47)</f>
        <v>0</v>
      </c>
      <c r="D41" s="274">
        <f t="shared" ref="D41:J41" si="28">SUM(D42:D47)</f>
        <v>0</v>
      </c>
      <c r="E41" s="274">
        <f t="shared" si="28"/>
        <v>0</v>
      </c>
      <c r="F41" s="274">
        <f t="shared" si="28"/>
        <v>90000</v>
      </c>
      <c r="G41" s="274"/>
      <c r="H41" s="274">
        <f t="shared" si="28"/>
        <v>0</v>
      </c>
      <c r="I41" s="274">
        <f t="shared" si="28"/>
        <v>0</v>
      </c>
      <c r="J41" s="274">
        <f t="shared" si="28"/>
        <v>90000</v>
      </c>
      <c r="K41" s="218"/>
      <c r="L41" s="136">
        <f t="shared" si="21"/>
        <v>0</v>
      </c>
      <c r="M41" s="136">
        <f t="shared" si="22"/>
        <v>0</v>
      </c>
      <c r="N41" s="136" t="e">
        <f t="shared" si="23"/>
        <v>#DIV/0!</v>
      </c>
      <c r="O41" s="218"/>
      <c r="P41" s="218">
        <f t="shared" si="24"/>
        <v>0</v>
      </c>
      <c r="Q41" s="218">
        <f t="shared" si="25"/>
        <v>0</v>
      </c>
      <c r="R41" s="218">
        <f t="shared" si="26"/>
        <v>90000</v>
      </c>
      <c r="S41" s="218">
        <f t="shared" si="6"/>
        <v>90000</v>
      </c>
      <c r="T41" s="277">
        <f t="shared" si="16"/>
        <v>0</v>
      </c>
      <c r="U41" s="120"/>
      <c r="V41" s="192">
        <f t="shared" si="17"/>
        <v>90000</v>
      </c>
    </row>
    <row r="42" spans="1:22" ht="12.75" customHeight="1" x14ac:dyDescent="0.25">
      <c r="A42" s="14" t="s">
        <v>35</v>
      </c>
      <c r="B42" s="20" t="s">
        <v>36</v>
      </c>
      <c r="C42" s="218">
        <v>0</v>
      </c>
      <c r="D42" s="218">
        <v>0</v>
      </c>
      <c r="E42" s="218">
        <v>0</v>
      </c>
      <c r="F42" s="218">
        <v>90000</v>
      </c>
      <c r="G42" s="218"/>
      <c r="H42" s="218">
        <v>0</v>
      </c>
      <c r="I42" s="218">
        <v>0</v>
      </c>
      <c r="J42" s="218">
        <v>90000</v>
      </c>
      <c r="K42" s="218"/>
      <c r="L42" s="136">
        <f t="shared" si="21"/>
        <v>0</v>
      </c>
      <c r="M42" s="136">
        <f t="shared" si="22"/>
        <v>0</v>
      </c>
      <c r="N42" s="136" t="e">
        <f t="shared" si="23"/>
        <v>#DIV/0!</v>
      </c>
      <c r="O42" s="218"/>
      <c r="P42" s="218">
        <f t="shared" si="24"/>
        <v>0</v>
      </c>
      <c r="Q42" s="218">
        <f t="shared" si="25"/>
        <v>0</v>
      </c>
      <c r="R42" s="218">
        <f t="shared" si="26"/>
        <v>90000</v>
      </c>
      <c r="S42" s="218">
        <f t="shared" si="6"/>
        <v>90000</v>
      </c>
      <c r="T42" s="277">
        <f t="shared" si="16"/>
        <v>0</v>
      </c>
      <c r="U42" s="120"/>
      <c r="V42" s="192">
        <f t="shared" si="17"/>
        <v>90000</v>
      </c>
    </row>
    <row r="43" spans="1:22" ht="12.75" customHeight="1" x14ac:dyDescent="0.25">
      <c r="A43" s="14"/>
      <c r="B43" s="20" t="s">
        <v>37</v>
      </c>
      <c r="C43" s="218"/>
      <c r="D43" s="218"/>
      <c r="E43" s="218"/>
      <c r="F43" s="218"/>
      <c r="G43" s="218"/>
      <c r="H43" s="218"/>
      <c r="I43" s="218"/>
      <c r="J43" s="218"/>
      <c r="K43" s="218"/>
      <c r="L43" s="136">
        <f t="shared" si="21"/>
        <v>0</v>
      </c>
      <c r="M43" s="136">
        <f t="shared" si="22"/>
        <v>0</v>
      </c>
      <c r="N43" s="136">
        <f t="shared" si="23"/>
        <v>0</v>
      </c>
      <c r="O43" s="218"/>
      <c r="P43" s="218">
        <f t="shared" si="24"/>
        <v>0</v>
      </c>
      <c r="Q43" s="218">
        <f t="shared" si="25"/>
        <v>0</v>
      </c>
      <c r="R43" s="218">
        <f t="shared" si="26"/>
        <v>0</v>
      </c>
      <c r="S43" s="218">
        <f t="shared" si="6"/>
        <v>0</v>
      </c>
      <c r="T43" s="277">
        <f t="shared" si="16"/>
        <v>0</v>
      </c>
      <c r="U43" s="120"/>
      <c r="V43" s="192">
        <f t="shared" si="17"/>
        <v>0</v>
      </c>
    </row>
    <row r="44" spans="1:22" ht="12.75" customHeight="1" x14ac:dyDescent="0.25">
      <c r="A44" s="14"/>
      <c r="B44" s="20" t="s">
        <v>38</v>
      </c>
      <c r="C44" s="218"/>
      <c r="D44" s="218"/>
      <c r="E44" s="218"/>
      <c r="F44" s="218"/>
      <c r="G44" s="218"/>
      <c r="H44" s="218"/>
      <c r="I44" s="218"/>
      <c r="J44" s="218"/>
      <c r="K44" s="218"/>
      <c r="L44" s="136">
        <f t="shared" si="21"/>
        <v>0</v>
      </c>
      <c r="M44" s="136">
        <f t="shared" si="22"/>
        <v>0</v>
      </c>
      <c r="N44" s="136">
        <f t="shared" si="23"/>
        <v>0</v>
      </c>
      <c r="O44" s="218"/>
      <c r="P44" s="218">
        <f t="shared" si="24"/>
        <v>0</v>
      </c>
      <c r="Q44" s="218">
        <f t="shared" si="25"/>
        <v>0</v>
      </c>
      <c r="R44" s="218">
        <f t="shared" si="26"/>
        <v>0</v>
      </c>
      <c r="S44" s="218">
        <f t="shared" si="6"/>
        <v>0</v>
      </c>
      <c r="T44" s="277">
        <f t="shared" si="16"/>
        <v>0</v>
      </c>
      <c r="U44" s="120"/>
      <c r="V44" s="192">
        <f t="shared" si="17"/>
        <v>0</v>
      </c>
    </row>
    <row r="45" spans="1:22" ht="12.75" customHeight="1" x14ac:dyDescent="0.25">
      <c r="A45" s="14"/>
      <c r="B45" s="20" t="s">
        <v>39</v>
      </c>
      <c r="C45" s="218"/>
      <c r="D45" s="218"/>
      <c r="E45" s="218"/>
      <c r="F45" s="218"/>
      <c r="G45" s="218"/>
      <c r="H45" s="218"/>
      <c r="I45" s="218"/>
      <c r="J45" s="218"/>
      <c r="K45" s="218"/>
      <c r="L45" s="136">
        <f t="shared" si="21"/>
        <v>0</v>
      </c>
      <c r="M45" s="136">
        <f t="shared" si="22"/>
        <v>0</v>
      </c>
      <c r="N45" s="136">
        <f t="shared" si="23"/>
        <v>0</v>
      </c>
      <c r="O45" s="218"/>
      <c r="P45" s="218">
        <f t="shared" si="24"/>
        <v>0</v>
      </c>
      <c r="Q45" s="218">
        <f t="shared" si="25"/>
        <v>0</v>
      </c>
      <c r="R45" s="218">
        <f t="shared" si="26"/>
        <v>0</v>
      </c>
      <c r="S45" s="218">
        <f t="shared" si="6"/>
        <v>0</v>
      </c>
      <c r="T45" s="277">
        <f t="shared" si="16"/>
        <v>0</v>
      </c>
      <c r="U45" s="120"/>
      <c r="V45" s="192">
        <f t="shared" si="17"/>
        <v>0</v>
      </c>
    </row>
    <row r="46" spans="1:22" ht="12.75" customHeight="1" x14ac:dyDescent="0.25">
      <c r="A46" s="14" t="s">
        <v>40</v>
      </c>
      <c r="B46" s="20" t="s">
        <v>41</v>
      </c>
      <c r="C46" s="218">
        <v>0</v>
      </c>
      <c r="D46" s="218">
        <v>0</v>
      </c>
      <c r="E46" s="218">
        <v>0</v>
      </c>
      <c r="F46" s="218">
        <v>0</v>
      </c>
      <c r="G46" s="218"/>
      <c r="H46" s="218">
        <v>0</v>
      </c>
      <c r="I46" s="218">
        <v>0</v>
      </c>
      <c r="J46" s="218">
        <v>0</v>
      </c>
      <c r="K46" s="218"/>
      <c r="L46" s="136">
        <f t="shared" ref="L46:L80" si="29">IF(H46&gt;0,H46/C46,0)</f>
        <v>0</v>
      </c>
      <c r="M46" s="136">
        <f t="shared" ref="M46:M80" si="30">IF(I46&gt;0,I46/D46,0)</f>
        <v>0</v>
      </c>
      <c r="N46" s="136">
        <f t="shared" ref="N46:N80" si="31">IF(J46&gt;0,J46/E46,0)</f>
        <v>0</v>
      </c>
      <c r="O46" s="218"/>
      <c r="P46" s="218">
        <f t="shared" si="24"/>
        <v>0</v>
      </c>
      <c r="Q46" s="218">
        <f t="shared" si="25"/>
        <v>0</v>
      </c>
      <c r="R46" s="218">
        <f t="shared" si="26"/>
        <v>0</v>
      </c>
      <c r="S46" s="218">
        <f t="shared" si="6"/>
        <v>0</v>
      </c>
      <c r="T46" s="277">
        <f t="shared" si="16"/>
        <v>0</v>
      </c>
      <c r="U46" s="120"/>
      <c r="V46" s="192">
        <f t="shared" si="17"/>
        <v>0</v>
      </c>
    </row>
    <row r="47" spans="1:22" ht="12.75" customHeight="1" x14ac:dyDescent="0.25">
      <c r="A47" s="14"/>
      <c r="B47" s="20" t="s">
        <v>42</v>
      </c>
      <c r="C47" s="218"/>
      <c r="D47" s="218"/>
      <c r="E47" s="218"/>
      <c r="F47" s="218"/>
      <c r="G47" s="218"/>
      <c r="H47" s="218"/>
      <c r="I47" s="218"/>
      <c r="J47" s="218"/>
      <c r="K47" s="218"/>
      <c r="L47" s="136">
        <f t="shared" si="29"/>
        <v>0</v>
      </c>
      <c r="M47" s="136">
        <f t="shared" si="30"/>
        <v>0</v>
      </c>
      <c r="N47" s="136">
        <f t="shared" si="31"/>
        <v>0</v>
      </c>
      <c r="O47" s="218"/>
      <c r="P47" s="218">
        <f t="shared" si="24"/>
        <v>0</v>
      </c>
      <c r="Q47" s="218">
        <f t="shared" si="25"/>
        <v>0</v>
      </c>
      <c r="R47" s="218">
        <f t="shared" si="26"/>
        <v>0</v>
      </c>
      <c r="S47" s="218">
        <f t="shared" si="6"/>
        <v>0</v>
      </c>
      <c r="T47" s="277">
        <f t="shared" si="16"/>
        <v>0</v>
      </c>
      <c r="U47" s="120"/>
      <c r="V47" s="192">
        <f t="shared" si="17"/>
        <v>0</v>
      </c>
    </row>
    <row r="48" spans="1:22" ht="12.75" customHeight="1" x14ac:dyDescent="0.25">
      <c r="A48" s="38" t="s">
        <v>43</v>
      </c>
      <c r="B48" s="39" t="s">
        <v>44</v>
      </c>
      <c r="C48" s="274">
        <f>SUM(C49:C65)</f>
        <v>8400000</v>
      </c>
      <c r="D48" s="274">
        <f t="shared" ref="D48:J48" si="32">SUM(D49:D65)</f>
        <v>8350000</v>
      </c>
      <c r="E48" s="274">
        <f t="shared" si="32"/>
        <v>11074000</v>
      </c>
      <c r="F48" s="274">
        <f t="shared" si="32"/>
        <v>10467971</v>
      </c>
      <c r="G48" s="274"/>
      <c r="H48" s="274">
        <f t="shared" si="32"/>
        <v>3337726</v>
      </c>
      <c r="I48" s="274">
        <f t="shared" si="32"/>
        <v>9091696</v>
      </c>
      <c r="J48" s="274">
        <f t="shared" si="32"/>
        <v>10162422</v>
      </c>
      <c r="K48" s="218"/>
      <c r="L48" s="136">
        <f t="shared" si="29"/>
        <v>0.39734833333333336</v>
      </c>
      <c r="M48" s="136">
        <f t="shared" si="30"/>
        <v>1.0888258682634731</v>
      </c>
      <c r="N48" s="136">
        <f t="shared" si="31"/>
        <v>0.91768304135813616</v>
      </c>
      <c r="O48" s="218"/>
      <c r="P48" s="218">
        <f t="shared" si="24"/>
        <v>-50000</v>
      </c>
      <c r="Q48" s="218">
        <f t="shared" si="25"/>
        <v>2724000</v>
      </c>
      <c r="R48" s="218">
        <f t="shared" si="26"/>
        <v>-606029</v>
      </c>
      <c r="S48" s="218">
        <f t="shared" si="6"/>
        <v>2067971</v>
      </c>
      <c r="T48" s="277">
        <f t="shared" ref="T48:T64" si="33">IF(C48=0,0,+S48/C48)</f>
        <v>0.24618702380952381</v>
      </c>
      <c r="U48" s="120"/>
      <c r="V48" s="192">
        <f t="shared" ref="V48:V64" si="34">+S48-E48+C48</f>
        <v>-606029</v>
      </c>
    </row>
    <row r="49" spans="1:22" ht="12.75" customHeight="1" x14ac:dyDescent="0.25">
      <c r="A49" s="14" t="s">
        <v>45</v>
      </c>
      <c r="B49" s="20" t="s">
        <v>46</v>
      </c>
      <c r="C49" s="218">
        <f>2000000+500000</f>
        <v>2500000</v>
      </c>
      <c r="D49" s="218">
        <v>2500000</v>
      </c>
      <c r="E49" s="218">
        <v>3824000</v>
      </c>
      <c r="F49" s="218">
        <v>2843000</v>
      </c>
      <c r="G49" s="218"/>
      <c r="H49" s="218">
        <v>1910222</v>
      </c>
      <c r="I49" s="218">
        <v>2371862</v>
      </c>
      <c r="J49" s="218">
        <v>2842259</v>
      </c>
      <c r="K49" s="218"/>
      <c r="L49" s="136">
        <f t="shared" si="29"/>
        <v>0.76408880000000001</v>
      </c>
      <c r="M49" s="136">
        <f t="shared" si="30"/>
        <v>0.94874480000000005</v>
      </c>
      <c r="N49" s="136">
        <f t="shared" si="31"/>
        <v>0.74326856694560672</v>
      </c>
      <c r="O49" s="218"/>
      <c r="P49" s="298">
        <f t="shared" si="13"/>
        <v>0</v>
      </c>
      <c r="Q49" s="298">
        <f t="shared" si="14"/>
        <v>1324000</v>
      </c>
      <c r="R49" s="298">
        <f t="shared" si="15"/>
        <v>-981000</v>
      </c>
      <c r="S49" s="298">
        <f t="shared" si="6"/>
        <v>343000</v>
      </c>
      <c r="T49" s="277">
        <f t="shared" si="33"/>
        <v>0.13719999999999999</v>
      </c>
      <c r="U49" s="120"/>
      <c r="V49" s="192">
        <f t="shared" si="34"/>
        <v>-981000</v>
      </c>
    </row>
    <row r="50" spans="1:22" ht="12.75" customHeight="1" x14ac:dyDescent="0.25">
      <c r="A50" s="14" t="s">
        <v>99</v>
      </c>
      <c r="B50" s="20" t="s">
        <v>93</v>
      </c>
      <c r="C50" s="218"/>
      <c r="D50" s="218"/>
      <c r="E50" s="218"/>
      <c r="F50" s="218"/>
      <c r="G50" s="218"/>
      <c r="H50" s="218"/>
      <c r="I50" s="218"/>
      <c r="J50" s="218"/>
      <c r="K50" s="218"/>
      <c r="L50" s="136">
        <f t="shared" si="29"/>
        <v>0</v>
      </c>
      <c r="M50" s="136">
        <f t="shared" si="30"/>
        <v>0</v>
      </c>
      <c r="N50" s="136">
        <f t="shared" si="31"/>
        <v>0</v>
      </c>
      <c r="O50" s="218"/>
      <c r="P50" s="218">
        <f t="shared" si="13"/>
        <v>0</v>
      </c>
      <c r="Q50" s="218">
        <f t="shared" si="14"/>
        <v>0</v>
      </c>
      <c r="R50" s="218">
        <f t="shared" si="15"/>
        <v>0</v>
      </c>
      <c r="S50" s="218">
        <f t="shared" si="6"/>
        <v>0</v>
      </c>
      <c r="T50" s="277">
        <f t="shared" si="33"/>
        <v>0</v>
      </c>
      <c r="U50" s="120"/>
      <c r="V50" s="192">
        <f t="shared" si="34"/>
        <v>0</v>
      </c>
    </row>
    <row r="51" spans="1:22" ht="12.75" customHeight="1" x14ac:dyDescent="0.25">
      <c r="A51" s="14"/>
      <c r="B51" s="20" t="s">
        <v>94</v>
      </c>
      <c r="C51" s="218"/>
      <c r="D51" s="218"/>
      <c r="E51" s="218"/>
      <c r="F51" s="218"/>
      <c r="G51" s="218"/>
      <c r="H51" s="218"/>
      <c r="I51" s="218"/>
      <c r="J51" s="218"/>
      <c r="K51" s="218"/>
      <c r="L51" s="136">
        <f t="shared" si="29"/>
        <v>0</v>
      </c>
      <c r="M51" s="136">
        <f t="shared" si="30"/>
        <v>0</v>
      </c>
      <c r="N51" s="136">
        <f t="shared" si="31"/>
        <v>0</v>
      </c>
      <c r="O51" s="218"/>
      <c r="P51" s="218">
        <f t="shared" si="13"/>
        <v>0</v>
      </c>
      <c r="Q51" s="218">
        <f t="shared" si="14"/>
        <v>0</v>
      </c>
      <c r="R51" s="218">
        <f t="shared" si="15"/>
        <v>0</v>
      </c>
      <c r="S51" s="218">
        <f t="shared" si="6"/>
        <v>0</v>
      </c>
      <c r="T51" s="277">
        <f t="shared" si="33"/>
        <v>0</v>
      </c>
      <c r="U51" s="120"/>
      <c r="V51" s="192">
        <f t="shared" si="34"/>
        <v>0</v>
      </c>
    </row>
    <row r="52" spans="1:22" ht="12.75" customHeight="1" x14ac:dyDescent="0.25">
      <c r="A52" s="14"/>
      <c r="B52" s="20" t="s">
        <v>95</v>
      </c>
      <c r="C52" s="218"/>
      <c r="D52" s="218"/>
      <c r="E52" s="218"/>
      <c r="F52" s="218"/>
      <c r="G52" s="218"/>
      <c r="H52" s="218"/>
      <c r="I52" s="218"/>
      <c r="J52" s="218"/>
      <c r="K52" s="218"/>
      <c r="L52" s="136">
        <f t="shared" si="29"/>
        <v>0</v>
      </c>
      <c r="M52" s="136">
        <f t="shared" si="30"/>
        <v>0</v>
      </c>
      <c r="N52" s="136">
        <f t="shared" si="31"/>
        <v>0</v>
      </c>
      <c r="O52" s="218"/>
      <c r="P52" s="218">
        <f t="shared" si="13"/>
        <v>0</v>
      </c>
      <c r="Q52" s="218">
        <f t="shared" si="14"/>
        <v>0</v>
      </c>
      <c r="R52" s="218">
        <f t="shared" si="15"/>
        <v>0</v>
      </c>
      <c r="S52" s="218">
        <f t="shared" si="6"/>
        <v>0</v>
      </c>
      <c r="T52" s="277">
        <f t="shared" si="33"/>
        <v>0</v>
      </c>
      <c r="U52" s="120"/>
      <c r="V52" s="192">
        <f t="shared" si="34"/>
        <v>0</v>
      </c>
    </row>
    <row r="53" spans="1:22" ht="12.75" customHeight="1" x14ac:dyDescent="0.25">
      <c r="A53" s="14" t="s">
        <v>47</v>
      </c>
      <c r="B53" s="20" t="s">
        <v>48</v>
      </c>
      <c r="C53" s="218"/>
      <c r="D53" s="218"/>
      <c r="E53" s="218"/>
      <c r="F53" s="218"/>
      <c r="G53" s="218"/>
      <c r="H53" s="218"/>
      <c r="I53" s="218"/>
      <c r="J53" s="218"/>
      <c r="K53" s="218"/>
      <c r="L53" s="136">
        <f t="shared" si="29"/>
        <v>0</v>
      </c>
      <c r="M53" s="136">
        <f t="shared" si="30"/>
        <v>0</v>
      </c>
      <c r="N53" s="136">
        <f t="shared" si="31"/>
        <v>0</v>
      </c>
      <c r="O53" s="218"/>
      <c r="P53" s="218">
        <f t="shared" si="13"/>
        <v>0</v>
      </c>
      <c r="Q53" s="218">
        <f t="shared" si="14"/>
        <v>0</v>
      </c>
      <c r="R53" s="218">
        <f t="shared" si="15"/>
        <v>0</v>
      </c>
      <c r="S53" s="218">
        <f t="shared" si="6"/>
        <v>0</v>
      </c>
      <c r="T53" s="277">
        <f t="shared" si="33"/>
        <v>0</v>
      </c>
      <c r="U53" s="120"/>
      <c r="V53" s="192">
        <f t="shared" si="34"/>
        <v>0</v>
      </c>
    </row>
    <row r="54" spans="1:22" ht="12.75" customHeight="1" x14ac:dyDescent="0.25">
      <c r="A54" s="14"/>
      <c r="B54" s="20" t="s">
        <v>86</v>
      </c>
      <c r="C54" s="218"/>
      <c r="D54" s="218"/>
      <c r="E54" s="218"/>
      <c r="F54" s="218"/>
      <c r="G54" s="218"/>
      <c r="H54" s="218"/>
      <c r="I54" s="218"/>
      <c r="J54" s="218"/>
      <c r="K54" s="218"/>
      <c r="L54" s="136">
        <f t="shared" si="29"/>
        <v>0</v>
      </c>
      <c r="M54" s="136">
        <f t="shared" si="30"/>
        <v>0</v>
      </c>
      <c r="N54" s="136">
        <f t="shared" si="31"/>
        <v>0</v>
      </c>
      <c r="O54" s="218"/>
      <c r="P54" s="218">
        <f t="shared" si="13"/>
        <v>0</v>
      </c>
      <c r="Q54" s="218">
        <f t="shared" si="14"/>
        <v>0</v>
      </c>
      <c r="R54" s="218">
        <f t="shared" si="15"/>
        <v>0</v>
      </c>
      <c r="S54" s="218">
        <f t="shared" si="6"/>
        <v>0</v>
      </c>
      <c r="T54" s="277">
        <f t="shared" si="33"/>
        <v>0</v>
      </c>
      <c r="U54" s="120"/>
      <c r="V54" s="192">
        <f t="shared" si="34"/>
        <v>0</v>
      </c>
    </row>
    <row r="55" spans="1:22" ht="12.75" customHeight="1" x14ac:dyDescent="0.25">
      <c r="A55" s="14"/>
      <c r="B55" s="20" t="s">
        <v>49</v>
      </c>
      <c r="C55" s="218"/>
      <c r="D55" s="218"/>
      <c r="E55" s="218"/>
      <c r="F55" s="218"/>
      <c r="G55" s="218"/>
      <c r="H55" s="218"/>
      <c r="I55" s="218"/>
      <c r="J55" s="218"/>
      <c r="K55" s="218"/>
      <c r="L55" s="136">
        <f t="shared" si="29"/>
        <v>0</v>
      </c>
      <c r="M55" s="136">
        <f t="shared" si="30"/>
        <v>0</v>
      </c>
      <c r="N55" s="136">
        <f t="shared" si="31"/>
        <v>0</v>
      </c>
      <c r="O55" s="218"/>
      <c r="P55" s="218">
        <f t="shared" si="13"/>
        <v>0</v>
      </c>
      <c r="Q55" s="218">
        <f t="shared" si="14"/>
        <v>0</v>
      </c>
      <c r="R55" s="218">
        <f t="shared" si="15"/>
        <v>0</v>
      </c>
      <c r="S55" s="218">
        <f t="shared" si="6"/>
        <v>0</v>
      </c>
      <c r="T55" s="277">
        <f t="shared" si="33"/>
        <v>0</v>
      </c>
      <c r="U55" s="120"/>
      <c r="V55" s="192">
        <f t="shared" si="34"/>
        <v>0</v>
      </c>
    </row>
    <row r="56" spans="1:22" ht="12.75" customHeight="1" x14ac:dyDescent="0.25">
      <c r="A56" s="14" t="s">
        <v>50</v>
      </c>
      <c r="B56" s="20" t="s">
        <v>51</v>
      </c>
      <c r="C56" s="565">
        <v>700000</v>
      </c>
      <c r="D56" s="565">
        <v>700000</v>
      </c>
      <c r="E56" s="218">
        <v>1700000</v>
      </c>
      <c r="F56" s="218">
        <v>1593799</v>
      </c>
      <c r="G56" s="218"/>
      <c r="H56" s="218">
        <v>245000</v>
      </c>
      <c r="I56" s="218">
        <v>1568799</v>
      </c>
      <c r="J56" s="218">
        <v>1593799</v>
      </c>
      <c r="K56" s="218"/>
      <c r="L56" s="136">
        <f t="shared" si="29"/>
        <v>0.35</v>
      </c>
      <c r="M56" s="136">
        <f t="shared" si="30"/>
        <v>2.2411414285714284</v>
      </c>
      <c r="N56" s="136">
        <f t="shared" si="31"/>
        <v>0.9375288235294118</v>
      </c>
      <c r="O56" s="218"/>
      <c r="P56" s="298">
        <f t="shared" si="13"/>
        <v>0</v>
      </c>
      <c r="Q56" s="298">
        <f t="shared" si="14"/>
        <v>1000000</v>
      </c>
      <c r="R56" s="298">
        <f t="shared" si="15"/>
        <v>-106201</v>
      </c>
      <c r="S56" s="298">
        <f t="shared" si="6"/>
        <v>893799</v>
      </c>
      <c r="T56" s="277">
        <f t="shared" si="33"/>
        <v>1.2768557142857142</v>
      </c>
      <c r="U56" s="120"/>
      <c r="V56" s="192">
        <f t="shared" si="34"/>
        <v>-106201</v>
      </c>
    </row>
    <row r="57" spans="1:22" ht="12.75" customHeight="1" x14ac:dyDescent="0.25">
      <c r="A57" s="14"/>
      <c r="B57" s="20" t="s">
        <v>52</v>
      </c>
      <c r="C57" s="218"/>
      <c r="D57" s="218"/>
      <c r="E57" s="218"/>
      <c r="F57" s="218"/>
      <c r="G57" s="218"/>
      <c r="H57" s="218"/>
      <c r="I57" s="218"/>
      <c r="J57" s="218"/>
      <c r="K57" s="218"/>
      <c r="L57" s="136">
        <f t="shared" si="29"/>
        <v>0</v>
      </c>
      <c r="M57" s="136">
        <f t="shared" si="30"/>
        <v>0</v>
      </c>
      <c r="N57" s="136">
        <f t="shared" si="31"/>
        <v>0</v>
      </c>
      <c r="O57" s="218"/>
      <c r="P57" s="218">
        <f t="shared" si="13"/>
        <v>0</v>
      </c>
      <c r="Q57" s="218">
        <f t="shared" si="14"/>
        <v>0</v>
      </c>
      <c r="R57" s="218">
        <f t="shared" si="15"/>
        <v>0</v>
      </c>
      <c r="S57" s="218">
        <f t="shared" si="6"/>
        <v>0</v>
      </c>
      <c r="T57" s="277">
        <f t="shared" si="33"/>
        <v>0</v>
      </c>
      <c r="U57" s="120"/>
      <c r="V57" s="192">
        <f t="shared" si="34"/>
        <v>0</v>
      </c>
    </row>
    <row r="58" spans="1:22" ht="12.75" customHeight="1" x14ac:dyDescent="0.25">
      <c r="A58" s="14" t="s">
        <v>53</v>
      </c>
      <c r="B58" s="20" t="s">
        <v>87</v>
      </c>
      <c r="C58" s="218">
        <v>150000</v>
      </c>
      <c r="D58" s="218">
        <v>150000</v>
      </c>
      <c r="E58" s="218">
        <v>150000</v>
      </c>
      <c r="F58" s="218">
        <v>82000</v>
      </c>
      <c r="G58" s="218"/>
      <c r="H58" s="218">
        <v>21000</v>
      </c>
      <c r="I58" s="218">
        <v>21000</v>
      </c>
      <c r="J58" s="218">
        <v>81000</v>
      </c>
      <c r="K58" s="218"/>
      <c r="L58" s="136">
        <f t="shared" si="29"/>
        <v>0.14000000000000001</v>
      </c>
      <c r="M58" s="136">
        <f t="shared" si="30"/>
        <v>0.14000000000000001</v>
      </c>
      <c r="N58" s="136">
        <f t="shared" si="31"/>
        <v>0.54</v>
      </c>
      <c r="O58" s="218"/>
      <c r="P58" s="298">
        <f t="shared" si="13"/>
        <v>0</v>
      </c>
      <c r="Q58" s="298">
        <f t="shared" si="14"/>
        <v>0</v>
      </c>
      <c r="R58" s="298">
        <f t="shared" si="15"/>
        <v>-68000</v>
      </c>
      <c r="S58" s="298">
        <f t="shared" si="6"/>
        <v>-68000</v>
      </c>
      <c r="T58" s="277">
        <f t="shared" si="33"/>
        <v>-0.45333333333333331</v>
      </c>
      <c r="U58" s="120"/>
      <c r="V58" s="192">
        <f t="shared" si="34"/>
        <v>-68000</v>
      </c>
    </row>
    <row r="59" spans="1:22" ht="12.75" customHeight="1" x14ac:dyDescent="0.25">
      <c r="A59" s="14"/>
      <c r="B59" s="20" t="s">
        <v>54</v>
      </c>
      <c r="C59" s="218"/>
      <c r="D59" s="218"/>
      <c r="E59" s="218"/>
      <c r="F59" s="218"/>
      <c r="G59" s="218"/>
      <c r="H59" s="218"/>
      <c r="I59" s="218"/>
      <c r="J59" s="218"/>
      <c r="K59" s="218"/>
      <c r="L59" s="136">
        <f t="shared" si="29"/>
        <v>0</v>
      </c>
      <c r="M59" s="136">
        <f t="shared" si="30"/>
        <v>0</v>
      </c>
      <c r="N59" s="136">
        <f t="shared" si="31"/>
        <v>0</v>
      </c>
      <c r="O59" s="218"/>
      <c r="P59" s="218">
        <f t="shared" si="13"/>
        <v>0</v>
      </c>
      <c r="Q59" s="218">
        <f t="shared" si="14"/>
        <v>0</v>
      </c>
      <c r="R59" s="218">
        <f t="shared" si="15"/>
        <v>0</v>
      </c>
      <c r="S59" s="218">
        <f t="shared" si="6"/>
        <v>0</v>
      </c>
      <c r="T59" s="277">
        <f t="shared" si="33"/>
        <v>0</v>
      </c>
      <c r="U59" s="120"/>
      <c r="V59" s="192">
        <f t="shared" si="34"/>
        <v>0</v>
      </c>
    </row>
    <row r="60" spans="1:22" ht="12.75" customHeight="1" x14ac:dyDescent="0.25">
      <c r="A60" s="14" t="s">
        <v>55</v>
      </c>
      <c r="B60" s="20" t="s">
        <v>56</v>
      </c>
      <c r="C60" s="218"/>
      <c r="D60" s="218"/>
      <c r="E60" s="218"/>
      <c r="F60" s="218"/>
      <c r="G60" s="218"/>
      <c r="H60" s="218"/>
      <c r="I60" s="218"/>
      <c r="J60" s="218"/>
      <c r="K60" s="218"/>
      <c r="L60" s="136">
        <f t="shared" si="29"/>
        <v>0</v>
      </c>
      <c r="M60" s="136">
        <f t="shared" si="30"/>
        <v>0</v>
      </c>
      <c r="N60" s="136">
        <f t="shared" si="31"/>
        <v>0</v>
      </c>
      <c r="O60" s="218"/>
      <c r="P60" s="218">
        <f t="shared" si="13"/>
        <v>0</v>
      </c>
      <c r="Q60" s="218">
        <f t="shared" si="14"/>
        <v>0</v>
      </c>
      <c r="R60" s="218">
        <f t="shared" si="15"/>
        <v>0</v>
      </c>
      <c r="S60" s="218">
        <f t="shared" si="6"/>
        <v>0</v>
      </c>
      <c r="T60" s="277">
        <f t="shared" si="33"/>
        <v>0</v>
      </c>
      <c r="U60" s="120"/>
      <c r="V60" s="192">
        <f t="shared" si="34"/>
        <v>0</v>
      </c>
    </row>
    <row r="61" spans="1:22" ht="12.75" customHeight="1" x14ac:dyDescent="0.25">
      <c r="A61" s="20"/>
      <c r="B61" s="20" t="s">
        <v>57</v>
      </c>
      <c r="C61" s="218"/>
      <c r="D61" s="218"/>
      <c r="E61" s="218"/>
      <c r="F61" s="218"/>
      <c r="G61" s="218"/>
      <c r="H61" s="218"/>
      <c r="I61" s="218"/>
      <c r="J61" s="218"/>
      <c r="K61" s="218"/>
      <c r="L61" s="136">
        <f t="shared" si="29"/>
        <v>0</v>
      </c>
      <c r="M61" s="136">
        <f t="shared" si="30"/>
        <v>0</v>
      </c>
      <c r="N61" s="136">
        <f t="shared" si="31"/>
        <v>0</v>
      </c>
      <c r="O61" s="218"/>
      <c r="P61" s="218">
        <f t="shared" si="13"/>
        <v>0</v>
      </c>
      <c r="Q61" s="218">
        <f t="shared" si="14"/>
        <v>0</v>
      </c>
      <c r="R61" s="218">
        <f t="shared" si="15"/>
        <v>0</v>
      </c>
      <c r="S61" s="218">
        <f t="shared" si="6"/>
        <v>0</v>
      </c>
      <c r="T61" s="277">
        <f t="shared" si="33"/>
        <v>0</v>
      </c>
      <c r="U61" s="120"/>
      <c r="V61" s="192">
        <f t="shared" si="34"/>
        <v>0</v>
      </c>
    </row>
    <row r="62" spans="1:22" ht="12.75" customHeight="1" x14ac:dyDescent="0.25">
      <c r="A62" s="14" t="s">
        <v>58</v>
      </c>
      <c r="B62" s="20" t="s">
        <v>59</v>
      </c>
      <c r="C62" s="218">
        <v>50000</v>
      </c>
      <c r="D62" s="218">
        <v>50000</v>
      </c>
      <c r="E62" s="218">
        <v>50000</v>
      </c>
      <c r="F62" s="218">
        <v>50000</v>
      </c>
      <c r="G62" s="218"/>
      <c r="H62" s="218">
        <v>19500</v>
      </c>
      <c r="I62" s="218">
        <v>19500</v>
      </c>
      <c r="J62" s="218">
        <v>37500</v>
      </c>
      <c r="K62" s="218"/>
      <c r="L62" s="136">
        <f t="shared" si="29"/>
        <v>0.39</v>
      </c>
      <c r="M62" s="136">
        <f t="shared" si="30"/>
        <v>0.39</v>
      </c>
      <c r="N62" s="136">
        <f t="shared" si="31"/>
        <v>0.75</v>
      </c>
      <c r="O62" s="218"/>
      <c r="P62" s="298">
        <f t="shared" si="13"/>
        <v>0</v>
      </c>
      <c r="Q62" s="298">
        <f t="shared" si="14"/>
        <v>0</v>
      </c>
      <c r="R62" s="298">
        <f t="shared" si="15"/>
        <v>0</v>
      </c>
      <c r="S62" s="298">
        <f t="shared" si="6"/>
        <v>0</v>
      </c>
      <c r="T62" s="277">
        <f t="shared" si="33"/>
        <v>0</v>
      </c>
      <c r="U62" s="120"/>
      <c r="V62" s="192">
        <f t="shared" si="34"/>
        <v>0</v>
      </c>
    </row>
    <row r="63" spans="1:22" ht="25.5" customHeight="1" x14ac:dyDescent="0.25">
      <c r="A63" s="14"/>
      <c r="B63" s="20" t="s">
        <v>98</v>
      </c>
      <c r="C63" s="218"/>
      <c r="D63" s="218"/>
      <c r="E63" s="218"/>
      <c r="F63" s="218"/>
      <c r="G63" s="218"/>
      <c r="H63" s="218"/>
      <c r="I63" s="218"/>
      <c r="J63" s="218"/>
      <c r="K63" s="218"/>
      <c r="L63" s="136">
        <f t="shared" si="29"/>
        <v>0</v>
      </c>
      <c r="M63" s="136">
        <f t="shared" si="30"/>
        <v>0</v>
      </c>
      <c r="N63" s="136">
        <f t="shared" si="31"/>
        <v>0</v>
      </c>
      <c r="O63" s="218"/>
      <c r="P63" s="218">
        <f t="shared" si="13"/>
        <v>0</v>
      </c>
      <c r="Q63" s="218">
        <f t="shared" si="14"/>
        <v>0</v>
      </c>
      <c r="R63" s="218">
        <f t="shared" si="15"/>
        <v>0</v>
      </c>
      <c r="S63" s="218">
        <f t="shared" si="6"/>
        <v>0</v>
      </c>
      <c r="T63" s="277">
        <f t="shared" si="33"/>
        <v>0</v>
      </c>
      <c r="U63" s="120"/>
      <c r="V63" s="192">
        <f t="shared" si="34"/>
        <v>0</v>
      </c>
    </row>
    <row r="64" spans="1:22" ht="12.75" customHeight="1" x14ac:dyDescent="0.25">
      <c r="A64" s="14" t="s">
        <v>60</v>
      </c>
      <c r="B64" s="20" t="s">
        <v>61</v>
      </c>
      <c r="C64" s="565">
        <f>3000000+2000000</f>
        <v>5000000</v>
      </c>
      <c r="D64" s="218">
        <v>4950000</v>
      </c>
      <c r="E64" s="218">
        <v>5350000</v>
      </c>
      <c r="F64" s="218">
        <v>5899172</v>
      </c>
      <c r="G64" s="218"/>
      <c r="H64" s="218">
        <v>1142004</v>
      </c>
      <c r="I64" s="218">
        <v>5110535</v>
      </c>
      <c r="J64" s="218">
        <v>5607864</v>
      </c>
      <c r="K64" s="218"/>
      <c r="L64" s="136">
        <f t="shared" si="29"/>
        <v>0.22840079999999999</v>
      </c>
      <c r="M64" s="136">
        <f t="shared" si="30"/>
        <v>1.0324313131313132</v>
      </c>
      <c r="N64" s="136">
        <f t="shared" si="31"/>
        <v>1.048198878504673</v>
      </c>
      <c r="O64" s="218"/>
      <c r="P64" s="298">
        <f t="shared" si="13"/>
        <v>-50000</v>
      </c>
      <c r="Q64" s="298">
        <f t="shared" si="14"/>
        <v>400000</v>
      </c>
      <c r="R64" s="298">
        <f t="shared" si="15"/>
        <v>549172</v>
      </c>
      <c r="S64" s="298">
        <f t="shared" si="6"/>
        <v>899172</v>
      </c>
      <c r="T64" s="277">
        <f t="shared" si="33"/>
        <v>0.17983440000000001</v>
      </c>
      <c r="U64" s="120"/>
      <c r="V64" s="192">
        <f t="shared" si="34"/>
        <v>549172</v>
      </c>
    </row>
    <row r="65" spans="1:22" ht="40.200000000000003" customHeight="1" x14ac:dyDescent="0.25">
      <c r="A65" s="14"/>
      <c r="B65" s="20" t="s">
        <v>62</v>
      </c>
      <c r="C65" s="218"/>
      <c r="D65" s="218"/>
      <c r="E65" s="218"/>
      <c r="F65" s="218"/>
      <c r="G65" s="218"/>
      <c r="H65" s="218"/>
      <c r="I65" s="218"/>
      <c r="J65" s="218"/>
      <c r="K65" s="218"/>
      <c r="L65" s="136">
        <f t="shared" si="29"/>
        <v>0</v>
      </c>
      <c r="M65" s="136">
        <f t="shared" si="30"/>
        <v>0</v>
      </c>
      <c r="N65" s="136">
        <f t="shared" si="31"/>
        <v>0</v>
      </c>
      <c r="O65" s="218"/>
      <c r="P65" s="218">
        <f t="shared" si="13"/>
        <v>0</v>
      </c>
      <c r="Q65" s="218">
        <f t="shared" si="14"/>
        <v>0</v>
      </c>
      <c r="R65" s="218">
        <f t="shared" si="15"/>
        <v>0</v>
      </c>
      <c r="S65" s="218">
        <f t="shared" si="6"/>
        <v>0</v>
      </c>
      <c r="T65" s="277">
        <f t="shared" ref="T65:T102" si="35">IF(C65=0,0,+S65/C65)</f>
        <v>0</v>
      </c>
      <c r="U65" s="120"/>
      <c r="V65" s="192">
        <f t="shared" ref="V65:V102" si="36">+S65-E65+C65</f>
        <v>0</v>
      </c>
    </row>
    <row r="66" spans="1:22" ht="12.75" customHeight="1" x14ac:dyDescent="0.25">
      <c r="A66" s="38" t="s">
        <v>63</v>
      </c>
      <c r="B66" s="39" t="s">
        <v>64</v>
      </c>
      <c r="C66" s="274">
        <f>SUM(C67:C70)</f>
        <v>75000</v>
      </c>
      <c r="D66" s="274">
        <f t="shared" ref="D66:J66" si="37">SUM(D67:D70)</f>
        <v>125000</v>
      </c>
      <c r="E66" s="274">
        <f t="shared" si="37"/>
        <v>175000</v>
      </c>
      <c r="F66" s="274">
        <f t="shared" si="37"/>
        <v>147000</v>
      </c>
      <c r="G66" s="274"/>
      <c r="H66" s="274">
        <f t="shared" si="37"/>
        <v>31658</v>
      </c>
      <c r="I66" s="274">
        <f t="shared" si="37"/>
        <v>62223</v>
      </c>
      <c r="J66" s="274">
        <f t="shared" si="37"/>
        <v>74431</v>
      </c>
      <c r="K66" s="218"/>
      <c r="L66" s="136">
        <f t="shared" si="29"/>
        <v>0.42210666666666669</v>
      </c>
      <c r="M66" s="136">
        <f t="shared" si="30"/>
        <v>0.497784</v>
      </c>
      <c r="N66" s="136">
        <f t="shared" si="31"/>
        <v>0.42531999999999998</v>
      </c>
      <c r="O66" s="218"/>
      <c r="P66" s="218">
        <f t="shared" si="13"/>
        <v>50000</v>
      </c>
      <c r="Q66" s="218">
        <f t="shared" si="14"/>
        <v>50000</v>
      </c>
      <c r="R66" s="218">
        <f t="shared" si="15"/>
        <v>-28000</v>
      </c>
      <c r="S66" s="218">
        <f t="shared" si="6"/>
        <v>72000</v>
      </c>
      <c r="T66" s="277">
        <f t="shared" si="35"/>
        <v>0.96</v>
      </c>
      <c r="U66" s="120"/>
      <c r="V66" s="192">
        <f t="shared" si="36"/>
        <v>-28000</v>
      </c>
    </row>
    <row r="67" spans="1:22" ht="12.75" customHeight="1" x14ac:dyDescent="0.25">
      <c r="A67" s="14" t="s">
        <v>65</v>
      </c>
      <c r="B67" s="20" t="s">
        <v>66</v>
      </c>
      <c r="C67" s="218">
        <v>75000</v>
      </c>
      <c r="D67" s="218">
        <v>75000</v>
      </c>
      <c r="E67" s="218">
        <v>75000</v>
      </c>
      <c r="F67" s="218">
        <v>72000</v>
      </c>
      <c r="G67" s="218"/>
      <c r="H67" s="218">
        <v>2140</v>
      </c>
      <c r="I67" s="218">
        <v>2140</v>
      </c>
      <c r="J67" s="218">
        <v>2140</v>
      </c>
      <c r="K67" s="218"/>
      <c r="L67" s="136">
        <f t="shared" si="29"/>
        <v>2.8533333333333334E-2</v>
      </c>
      <c r="M67" s="136">
        <f t="shared" si="30"/>
        <v>2.8533333333333334E-2</v>
      </c>
      <c r="N67" s="136">
        <f t="shared" si="31"/>
        <v>2.8533333333333334E-2</v>
      </c>
      <c r="O67" s="218"/>
      <c r="P67" s="298">
        <f t="shared" si="13"/>
        <v>0</v>
      </c>
      <c r="Q67" s="298">
        <f t="shared" si="14"/>
        <v>0</v>
      </c>
      <c r="R67" s="298">
        <f t="shared" si="15"/>
        <v>-3000</v>
      </c>
      <c r="S67" s="298">
        <f t="shared" si="6"/>
        <v>-3000</v>
      </c>
      <c r="T67" s="277">
        <f t="shared" si="35"/>
        <v>-0.04</v>
      </c>
      <c r="U67" s="120"/>
      <c r="V67" s="192">
        <f t="shared" si="36"/>
        <v>-3000</v>
      </c>
    </row>
    <row r="68" spans="1:22" ht="39.6" customHeight="1" x14ac:dyDescent="0.25">
      <c r="A68" s="14"/>
      <c r="B68" s="20" t="s">
        <v>67</v>
      </c>
      <c r="C68" s="218"/>
      <c r="D68" s="218"/>
      <c r="E68" s="218">
        <v>0</v>
      </c>
      <c r="F68" s="218">
        <v>0</v>
      </c>
      <c r="G68" s="218"/>
      <c r="H68" s="218"/>
      <c r="I68" s="218"/>
      <c r="J68" s="218"/>
      <c r="K68" s="218"/>
      <c r="L68" s="136">
        <f t="shared" si="29"/>
        <v>0</v>
      </c>
      <c r="M68" s="136">
        <f t="shared" si="30"/>
        <v>0</v>
      </c>
      <c r="N68" s="136">
        <f t="shared" si="31"/>
        <v>0</v>
      </c>
      <c r="O68" s="218"/>
      <c r="P68" s="218"/>
      <c r="Q68" s="218"/>
      <c r="R68" s="218"/>
      <c r="S68" s="218">
        <f t="shared" si="6"/>
        <v>0</v>
      </c>
      <c r="T68" s="277">
        <f t="shared" si="35"/>
        <v>0</v>
      </c>
      <c r="U68" s="120"/>
      <c r="V68" s="192">
        <f t="shared" si="36"/>
        <v>0</v>
      </c>
    </row>
    <row r="69" spans="1:22" ht="12.75" customHeight="1" x14ac:dyDescent="0.25">
      <c r="A69" s="14" t="s">
        <v>68</v>
      </c>
      <c r="B69" s="20" t="s">
        <v>96</v>
      </c>
      <c r="C69" s="218">
        <v>0</v>
      </c>
      <c r="D69" s="218">
        <v>50000</v>
      </c>
      <c r="E69" s="218">
        <v>100000</v>
      </c>
      <c r="F69" s="218">
        <v>75000</v>
      </c>
      <c r="G69" s="218"/>
      <c r="H69" s="218">
        <v>29518</v>
      </c>
      <c r="I69" s="218">
        <v>60083</v>
      </c>
      <c r="J69" s="218">
        <v>72291</v>
      </c>
      <c r="K69" s="218"/>
      <c r="L69" s="136" t="e">
        <f t="shared" si="29"/>
        <v>#DIV/0!</v>
      </c>
      <c r="M69" s="136">
        <f t="shared" si="30"/>
        <v>1.20166</v>
      </c>
      <c r="N69" s="136">
        <f t="shared" si="31"/>
        <v>0.72291000000000005</v>
      </c>
      <c r="O69" s="218"/>
      <c r="P69" s="298">
        <f t="shared" ref="P69:P95" si="38">+(D69-C69)*P$10</f>
        <v>50000</v>
      </c>
      <c r="Q69" s="298">
        <f t="shared" ref="Q69:Q95" si="39">+(E69-D69)*Q$10</f>
        <v>50000</v>
      </c>
      <c r="R69" s="298">
        <f t="shared" ref="R69:R95" si="40">+(F69-E69)*R$10</f>
        <v>-25000</v>
      </c>
      <c r="S69" s="298">
        <f t="shared" si="6"/>
        <v>75000</v>
      </c>
      <c r="T69" s="277">
        <f t="shared" si="35"/>
        <v>0</v>
      </c>
      <c r="U69" s="120"/>
      <c r="V69" s="192">
        <f t="shared" si="36"/>
        <v>-25000</v>
      </c>
    </row>
    <row r="70" spans="1:22" ht="12.75" customHeight="1" x14ac:dyDescent="0.25">
      <c r="A70" s="14"/>
      <c r="B70" s="20" t="s">
        <v>69</v>
      </c>
      <c r="C70" s="218"/>
      <c r="D70" s="218"/>
      <c r="E70" s="218">
        <v>0</v>
      </c>
      <c r="F70" s="218">
        <v>0</v>
      </c>
      <c r="G70" s="218"/>
      <c r="H70" s="218"/>
      <c r="I70" s="218"/>
      <c r="J70" s="218"/>
      <c r="K70" s="218"/>
      <c r="L70" s="136">
        <f t="shared" si="29"/>
        <v>0</v>
      </c>
      <c r="M70" s="136">
        <f t="shared" si="30"/>
        <v>0</v>
      </c>
      <c r="N70" s="136">
        <f t="shared" si="31"/>
        <v>0</v>
      </c>
      <c r="O70" s="218"/>
      <c r="P70" s="218">
        <f t="shared" si="38"/>
        <v>0</v>
      </c>
      <c r="Q70" s="218">
        <f t="shared" si="39"/>
        <v>0</v>
      </c>
      <c r="R70" s="218">
        <f t="shared" si="40"/>
        <v>0</v>
      </c>
      <c r="S70" s="218">
        <f t="shared" si="6"/>
        <v>0</v>
      </c>
      <c r="T70" s="277">
        <f t="shared" si="35"/>
        <v>0</v>
      </c>
      <c r="U70" s="120"/>
      <c r="V70" s="192">
        <f t="shared" si="36"/>
        <v>0</v>
      </c>
    </row>
    <row r="71" spans="1:22" ht="12.75" customHeight="1" x14ac:dyDescent="0.25">
      <c r="A71" s="38" t="s">
        <v>70</v>
      </c>
      <c r="B71" s="39" t="s">
        <v>71</v>
      </c>
      <c r="C71" s="274">
        <f>SUM(C72:C81)</f>
        <v>1517000</v>
      </c>
      <c r="D71" s="274">
        <f t="shared" ref="D71:J71" si="41">SUM(D72:D81)</f>
        <v>1517000</v>
      </c>
      <c r="E71" s="274">
        <f t="shared" si="41"/>
        <v>2017000</v>
      </c>
      <c r="F71" s="274">
        <f t="shared" si="41"/>
        <v>1882000</v>
      </c>
      <c r="G71" s="274"/>
      <c r="H71" s="274">
        <f t="shared" si="41"/>
        <v>762086</v>
      </c>
      <c r="I71" s="274">
        <f t="shared" si="41"/>
        <v>1551871</v>
      </c>
      <c r="J71" s="274">
        <f t="shared" si="41"/>
        <v>1822206</v>
      </c>
      <c r="K71" s="218"/>
      <c r="L71" s="136">
        <f t="shared" si="29"/>
        <v>0.50236387607119315</v>
      </c>
      <c r="M71" s="136">
        <f t="shared" si="30"/>
        <v>1.0229868160843771</v>
      </c>
      <c r="N71" s="136">
        <f t="shared" si="31"/>
        <v>0.90342389687654934</v>
      </c>
      <c r="O71" s="218"/>
      <c r="P71" s="218">
        <f t="shared" si="38"/>
        <v>0</v>
      </c>
      <c r="Q71" s="218">
        <f t="shared" si="39"/>
        <v>500000</v>
      </c>
      <c r="R71" s="218">
        <f t="shared" si="40"/>
        <v>-135000</v>
      </c>
      <c r="S71" s="218">
        <f t="shared" si="6"/>
        <v>365000</v>
      </c>
      <c r="T71" s="277">
        <f t="shared" si="35"/>
        <v>0.24060646011865525</v>
      </c>
      <c r="U71" s="120"/>
      <c r="V71" s="192">
        <f t="shared" si="36"/>
        <v>-135000</v>
      </c>
    </row>
    <row r="72" spans="1:22" ht="12.75" customHeight="1" x14ac:dyDescent="0.25">
      <c r="A72" s="14" t="s">
        <v>72</v>
      </c>
      <c r="B72" s="20" t="s">
        <v>73</v>
      </c>
      <c r="C72" s="218">
        <v>1500000</v>
      </c>
      <c r="D72" s="218">
        <v>1485000</v>
      </c>
      <c r="E72" s="218">
        <v>1985000</v>
      </c>
      <c r="F72" s="218">
        <v>1850000</v>
      </c>
      <c r="G72" s="218"/>
      <c r="H72" s="218">
        <v>733373</v>
      </c>
      <c r="I72" s="218">
        <v>1520748</v>
      </c>
      <c r="J72" s="218">
        <v>1790566</v>
      </c>
      <c r="K72" s="218"/>
      <c r="L72" s="136">
        <f t="shared" si="29"/>
        <v>0.48891533333333331</v>
      </c>
      <c r="M72" s="136">
        <f t="shared" si="30"/>
        <v>1.0240727272727272</v>
      </c>
      <c r="N72" s="136">
        <f t="shared" si="31"/>
        <v>0.90204836272040301</v>
      </c>
      <c r="O72" s="218"/>
      <c r="P72" s="298">
        <f t="shared" si="38"/>
        <v>-15000</v>
      </c>
      <c r="Q72" s="298">
        <f t="shared" si="39"/>
        <v>500000</v>
      </c>
      <c r="R72" s="298">
        <f t="shared" si="40"/>
        <v>-135000</v>
      </c>
      <c r="S72" s="298">
        <f t="shared" si="6"/>
        <v>350000</v>
      </c>
      <c r="T72" s="277">
        <f t="shared" si="35"/>
        <v>0.23333333333333334</v>
      </c>
      <c r="U72" s="120"/>
      <c r="V72" s="192">
        <f t="shared" si="36"/>
        <v>-135000</v>
      </c>
    </row>
    <row r="73" spans="1:22" ht="12.75" customHeight="1" x14ac:dyDescent="0.25">
      <c r="A73" s="14"/>
      <c r="B73" s="20" t="s">
        <v>74</v>
      </c>
      <c r="C73" s="218"/>
      <c r="D73" s="218"/>
      <c r="E73" s="218"/>
      <c r="F73" s="218"/>
      <c r="G73" s="218"/>
      <c r="H73" s="218"/>
      <c r="I73" s="218"/>
      <c r="J73" s="218"/>
      <c r="K73" s="218"/>
      <c r="L73" s="136">
        <f t="shared" si="29"/>
        <v>0</v>
      </c>
      <c r="M73" s="136">
        <f t="shared" si="30"/>
        <v>0</v>
      </c>
      <c r="N73" s="136">
        <f t="shared" si="31"/>
        <v>0</v>
      </c>
      <c r="O73" s="218"/>
      <c r="P73" s="218">
        <f t="shared" si="38"/>
        <v>0</v>
      </c>
      <c r="Q73" s="218">
        <f t="shared" si="39"/>
        <v>0</v>
      </c>
      <c r="R73" s="218">
        <f t="shared" si="40"/>
        <v>0</v>
      </c>
      <c r="S73" s="218">
        <f t="shared" si="6"/>
        <v>0</v>
      </c>
      <c r="T73" s="277">
        <f t="shared" si="35"/>
        <v>0</v>
      </c>
      <c r="U73" s="120"/>
      <c r="V73" s="192">
        <f t="shared" si="36"/>
        <v>0</v>
      </c>
    </row>
    <row r="74" spans="1:22" ht="12.75" customHeight="1" x14ac:dyDescent="0.25">
      <c r="A74" s="14" t="s">
        <v>75</v>
      </c>
      <c r="B74" s="20" t="s">
        <v>76</v>
      </c>
      <c r="C74" s="218">
        <v>12000</v>
      </c>
      <c r="D74" s="218">
        <v>27000</v>
      </c>
      <c r="E74" s="218">
        <v>27000</v>
      </c>
      <c r="F74" s="218">
        <v>27000</v>
      </c>
      <c r="G74" s="218"/>
      <c r="H74" s="218">
        <v>27000</v>
      </c>
      <c r="I74" s="218">
        <v>27000</v>
      </c>
      <c r="J74" s="218">
        <v>27000</v>
      </c>
      <c r="K74" s="218"/>
      <c r="L74" s="136">
        <f t="shared" si="29"/>
        <v>2.25</v>
      </c>
      <c r="M74" s="136">
        <f t="shared" si="30"/>
        <v>1</v>
      </c>
      <c r="N74" s="136">
        <f t="shared" si="31"/>
        <v>1</v>
      </c>
      <c r="O74" s="218"/>
      <c r="P74" s="298">
        <f t="shared" si="38"/>
        <v>15000</v>
      </c>
      <c r="Q74" s="298">
        <f t="shared" si="39"/>
        <v>0</v>
      </c>
      <c r="R74" s="298">
        <f t="shared" si="40"/>
        <v>0</v>
      </c>
      <c r="S74" s="298">
        <f t="shared" si="6"/>
        <v>15000</v>
      </c>
      <c r="T74" s="277">
        <f t="shared" si="35"/>
        <v>1.25</v>
      </c>
      <c r="U74" s="120"/>
      <c r="V74" s="192">
        <f t="shared" si="36"/>
        <v>0</v>
      </c>
    </row>
    <row r="75" spans="1:22" ht="12.75" customHeight="1" x14ac:dyDescent="0.25">
      <c r="A75" s="14"/>
      <c r="B75" s="20" t="s">
        <v>97</v>
      </c>
      <c r="C75" s="218"/>
      <c r="D75" s="218"/>
      <c r="E75" s="218"/>
      <c r="F75" s="218"/>
      <c r="G75" s="218"/>
      <c r="H75" s="218"/>
      <c r="I75" s="218"/>
      <c r="J75" s="218"/>
      <c r="K75" s="218"/>
      <c r="L75" s="136">
        <f t="shared" si="29"/>
        <v>0</v>
      </c>
      <c r="M75" s="136">
        <f t="shared" si="30"/>
        <v>0</v>
      </c>
      <c r="N75" s="136">
        <f t="shared" si="31"/>
        <v>0</v>
      </c>
      <c r="O75" s="218"/>
      <c r="P75" s="218">
        <f t="shared" si="38"/>
        <v>0</v>
      </c>
      <c r="Q75" s="218">
        <f t="shared" si="39"/>
        <v>0</v>
      </c>
      <c r="R75" s="218">
        <f t="shared" si="40"/>
        <v>0</v>
      </c>
      <c r="S75" s="218">
        <f t="shared" si="6"/>
        <v>0</v>
      </c>
      <c r="T75" s="277">
        <f t="shared" si="35"/>
        <v>0</v>
      </c>
      <c r="U75" s="120"/>
      <c r="V75" s="192">
        <f t="shared" si="36"/>
        <v>0</v>
      </c>
    </row>
    <row r="76" spans="1:22" ht="12.75" customHeight="1" x14ac:dyDescent="0.25">
      <c r="A76" s="14" t="s">
        <v>77</v>
      </c>
      <c r="B76" s="20" t="s">
        <v>78</v>
      </c>
      <c r="C76" s="218">
        <v>0</v>
      </c>
      <c r="D76" s="218">
        <v>0</v>
      </c>
      <c r="E76" s="218">
        <v>0</v>
      </c>
      <c r="F76" s="218">
        <v>0</v>
      </c>
      <c r="G76" s="218"/>
      <c r="H76" s="218">
        <v>0</v>
      </c>
      <c r="I76" s="218">
        <v>0</v>
      </c>
      <c r="J76" s="218">
        <v>0</v>
      </c>
      <c r="K76" s="218"/>
      <c r="L76" s="136">
        <f t="shared" si="29"/>
        <v>0</v>
      </c>
      <c r="M76" s="136">
        <f t="shared" si="30"/>
        <v>0</v>
      </c>
      <c r="N76" s="136">
        <f t="shared" si="31"/>
        <v>0</v>
      </c>
      <c r="O76" s="218"/>
      <c r="P76" s="218">
        <f t="shared" si="38"/>
        <v>0</v>
      </c>
      <c r="Q76" s="218">
        <f t="shared" si="39"/>
        <v>0</v>
      </c>
      <c r="R76" s="218">
        <f t="shared" si="40"/>
        <v>0</v>
      </c>
      <c r="S76" s="218">
        <f t="shared" si="6"/>
        <v>0</v>
      </c>
      <c r="T76" s="277">
        <f t="shared" si="35"/>
        <v>0</v>
      </c>
      <c r="U76" s="120"/>
      <c r="V76" s="192">
        <f t="shared" si="36"/>
        <v>0</v>
      </c>
    </row>
    <row r="77" spans="1:22" ht="12.75" customHeight="1" x14ac:dyDescent="0.25">
      <c r="A77" s="14"/>
      <c r="B77" s="20" t="s">
        <v>102</v>
      </c>
      <c r="C77" s="218"/>
      <c r="D77" s="218"/>
      <c r="E77" s="218"/>
      <c r="F77" s="218"/>
      <c r="G77" s="218"/>
      <c r="H77" s="218"/>
      <c r="I77" s="218"/>
      <c r="J77" s="218"/>
      <c r="K77" s="218"/>
      <c r="L77" s="136">
        <f t="shared" si="29"/>
        <v>0</v>
      </c>
      <c r="M77" s="136">
        <f t="shared" si="30"/>
        <v>0</v>
      </c>
      <c r="N77" s="136">
        <f t="shared" si="31"/>
        <v>0</v>
      </c>
      <c r="O77" s="218"/>
      <c r="P77" s="218">
        <f t="shared" si="38"/>
        <v>0</v>
      </c>
      <c r="Q77" s="218">
        <f t="shared" si="39"/>
        <v>0</v>
      </c>
      <c r="R77" s="218">
        <f t="shared" si="40"/>
        <v>0</v>
      </c>
      <c r="S77" s="218">
        <f t="shared" si="6"/>
        <v>0</v>
      </c>
      <c r="T77" s="277">
        <f t="shared" si="35"/>
        <v>0</v>
      </c>
      <c r="U77" s="120"/>
      <c r="V77" s="192">
        <f t="shared" si="36"/>
        <v>0</v>
      </c>
    </row>
    <row r="78" spans="1:22" ht="12.75" customHeight="1" x14ac:dyDescent="0.25">
      <c r="A78" s="14" t="s">
        <v>80</v>
      </c>
      <c r="B78" s="20" t="s">
        <v>81</v>
      </c>
      <c r="C78" s="218">
        <v>0</v>
      </c>
      <c r="D78" s="218">
        <v>0</v>
      </c>
      <c r="E78" s="218">
        <v>0</v>
      </c>
      <c r="F78" s="218">
        <v>0</v>
      </c>
      <c r="G78" s="218"/>
      <c r="H78" s="218">
        <v>0</v>
      </c>
      <c r="I78" s="218">
        <v>0</v>
      </c>
      <c r="J78" s="218">
        <v>0</v>
      </c>
      <c r="K78" s="218"/>
      <c r="L78" s="136">
        <f t="shared" si="29"/>
        <v>0</v>
      </c>
      <c r="M78" s="136">
        <f t="shared" si="30"/>
        <v>0</v>
      </c>
      <c r="N78" s="136">
        <f t="shared" si="31"/>
        <v>0</v>
      </c>
      <c r="O78" s="218"/>
      <c r="P78" s="218">
        <f t="shared" si="38"/>
        <v>0</v>
      </c>
      <c r="Q78" s="218">
        <f t="shared" si="39"/>
        <v>0</v>
      </c>
      <c r="R78" s="218">
        <f t="shared" si="40"/>
        <v>0</v>
      </c>
      <c r="S78" s="218">
        <f t="shared" ref="S78:S89" si="42">+P78*P$10+Q78*Q$10+R78*R$10</f>
        <v>0</v>
      </c>
      <c r="T78" s="277">
        <f t="shared" si="35"/>
        <v>0</v>
      </c>
      <c r="U78" s="120"/>
      <c r="V78" s="192">
        <f t="shared" si="36"/>
        <v>0</v>
      </c>
    </row>
    <row r="79" spans="1:22" ht="12.75" customHeight="1" x14ac:dyDescent="0.25">
      <c r="A79" s="14"/>
      <c r="B79" s="20" t="s">
        <v>82</v>
      </c>
      <c r="C79" s="218"/>
      <c r="D79" s="218"/>
      <c r="E79" s="218"/>
      <c r="F79" s="218"/>
      <c r="G79" s="218"/>
      <c r="H79" s="218"/>
      <c r="I79" s="218"/>
      <c r="J79" s="218"/>
      <c r="K79" s="218"/>
      <c r="L79" s="136">
        <f t="shared" si="29"/>
        <v>0</v>
      </c>
      <c r="M79" s="136">
        <f t="shared" si="30"/>
        <v>0</v>
      </c>
      <c r="N79" s="136">
        <f t="shared" si="31"/>
        <v>0</v>
      </c>
      <c r="O79" s="218"/>
      <c r="P79" s="218">
        <f t="shared" si="38"/>
        <v>0</v>
      </c>
      <c r="Q79" s="218">
        <f t="shared" si="39"/>
        <v>0</v>
      </c>
      <c r="R79" s="218">
        <f t="shared" si="40"/>
        <v>0</v>
      </c>
      <c r="S79" s="218">
        <f t="shared" si="42"/>
        <v>0</v>
      </c>
      <c r="T79" s="277">
        <f t="shared" si="35"/>
        <v>0</v>
      </c>
      <c r="U79" s="120"/>
      <c r="V79" s="192">
        <f t="shared" si="36"/>
        <v>0</v>
      </c>
    </row>
    <row r="80" spans="1:22" ht="12.75" customHeight="1" x14ac:dyDescent="0.25">
      <c r="A80" s="14" t="s">
        <v>83</v>
      </c>
      <c r="B80" s="20" t="s">
        <v>84</v>
      </c>
      <c r="C80" s="218">
        <v>5000</v>
      </c>
      <c r="D80" s="218">
        <v>5000</v>
      </c>
      <c r="E80" s="218">
        <v>5000</v>
      </c>
      <c r="F80" s="218">
        <v>5000</v>
      </c>
      <c r="G80" s="218"/>
      <c r="H80" s="218">
        <v>1713</v>
      </c>
      <c r="I80" s="218">
        <v>4123</v>
      </c>
      <c r="J80" s="218">
        <v>4640</v>
      </c>
      <c r="K80" s="218"/>
      <c r="L80" s="136">
        <f t="shared" si="29"/>
        <v>0.34260000000000002</v>
      </c>
      <c r="M80" s="136">
        <f t="shared" si="30"/>
        <v>0.8246</v>
      </c>
      <c r="N80" s="136">
        <f t="shared" si="31"/>
        <v>0.92800000000000005</v>
      </c>
      <c r="O80" s="218"/>
      <c r="P80" s="298">
        <f t="shared" si="38"/>
        <v>0</v>
      </c>
      <c r="Q80" s="298">
        <f t="shared" si="39"/>
        <v>0</v>
      </c>
      <c r="R80" s="298">
        <f t="shared" si="40"/>
        <v>0</v>
      </c>
      <c r="S80" s="298">
        <f t="shared" si="42"/>
        <v>0</v>
      </c>
      <c r="T80" s="277">
        <f t="shared" si="35"/>
        <v>0</v>
      </c>
      <c r="U80" s="120"/>
      <c r="V80" s="192">
        <f t="shared" si="36"/>
        <v>0</v>
      </c>
    </row>
    <row r="81" spans="1:24" ht="38.1" customHeight="1" x14ac:dyDescent="0.25">
      <c r="A81" s="14"/>
      <c r="B81" s="20" t="s">
        <v>88</v>
      </c>
      <c r="C81" s="218"/>
      <c r="D81" s="218"/>
      <c r="E81" s="218"/>
      <c r="F81" s="218"/>
      <c r="G81" s="218"/>
      <c r="H81" s="218"/>
      <c r="I81" s="218"/>
      <c r="J81" s="218"/>
      <c r="K81" s="218"/>
      <c r="L81" s="136"/>
      <c r="M81" s="136"/>
      <c r="N81" s="136"/>
      <c r="O81" s="218"/>
      <c r="P81" s="218">
        <f t="shared" si="38"/>
        <v>0</v>
      </c>
      <c r="Q81" s="218">
        <f t="shared" si="39"/>
        <v>0</v>
      </c>
      <c r="R81" s="218">
        <f t="shared" si="40"/>
        <v>0</v>
      </c>
      <c r="S81" s="218">
        <f t="shared" si="42"/>
        <v>0</v>
      </c>
      <c r="T81" s="277">
        <f t="shared" si="35"/>
        <v>0</v>
      </c>
      <c r="U81" s="120"/>
      <c r="V81" s="192">
        <f t="shared" si="36"/>
        <v>0</v>
      </c>
    </row>
    <row r="82" spans="1:24" ht="12.75" customHeight="1" x14ac:dyDescent="0.25">
      <c r="A82" s="29"/>
      <c r="B82" s="21"/>
      <c r="C82" s="218"/>
      <c r="D82" s="218"/>
      <c r="E82" s="218"/>
      <c r="F82" s="218"/>
      <c r="G82" s="218"/>
      <c r="H82" s="218"/>
      <c r="I82" s="218"/>
      <c r="J82" s="218"/>
      <c r="K82" s="218"/>
      <c r="L82" s="151"/>
      <c r="M82" s="151"/>
      <c r="N82" s="151"/>
      <c r="O82" s="218"/>
      <c r="P82" s="218">
        <f t="shared" si="38"/>
        <v>0</v>
      </c>
      <c r="Q82" s="218">
        <f t="shared" si="39"/>
        <v>0</v>
      </c>
      <c r="R82" s="218">
        <f t="shared" si="40"/>
        <v>0</v>
      </c>
      <c r="S82" s="218">
        <f t="shared" si="42"/>
        <v>0</v>
      </c>
      <c r="T82" s="277">
        <f t="shared" si="35"/>
        <v>0</v>
      </c>
      <c r="U82" s="120"/>
      <c r="V82" s="192">
        <f t="shared" si="36"/>
        <v>0</v>
      </c>
    </row>
    <row r="83" spans="1:24" s="42" customFormat="1" x14ac:dyDescent="0.25">
      <c r="A83" s="4" t="s">
        <v>154</v>
      </c>
      <c r="B83" s="3" t="s">
        <v>155</v>
      </c>
      <c r="C83" s="304">
        <f>+C84</f>
        <v>200000</v>
      </c>
      <c r="D83" s="304">
        <f>SUM(D84:D85)</f>
        <v>272400</v>
      </c>
      <c r="E83" s="304">
        <f>SUM(E84:E85)</f>
        <v>272400</v>
      </c>
      <c r="F83" s="304">
        <f>SUM(F84:F85)</f>
        <v>280740</v>
      </c>
      <c r="G83" s="304"/>
      <c r="H83" s="304">
        <f>SUM(H84:H85)</f>
        <v>225840</v>
      </c>
      <c r="I83" s="304">
        <f>SUM(I84:I85)</f>
        <v>225840</v>
      </c>
      <c r="J83" s="304">
        <f>SUM(J84:J85)</f>
        <v>280740</v>
      </c>
      <c r="K83" s="304"/>
      <c r="L83" s="85">
        <f t="shared" ref="L83:L89" si="43">IF(H83&gt;0,H83/C83,0)</f>
        <v>1.1292</v>
      </c>
      <c r="M83" s="85">
        <f t="shared" ref="M83:M89" si="44">IF(I83&gt;0,I83/D83,0)</f>
        <v>0.82907488986784139</v>
      </c>
      <c r="N83" s="85">
        <f t="shared" ref="N83:N89" si="45">IF(J83&gt;0,J83/E83,0)</f>
        <v>1.0306167400881057</v>
      </c>
      <c r="O83" s="304"/>
      <c r="P83" s="304">
        <f t="shared" si="38"/>
        <v>72400</v>
      </c>
      <c r="Q83" s="304">
        <f t="shared" si="39"/>
        <v>0</v>
      </c>
      <c r="R83" s="304">
        <f t="shared" si="40"/>
        <v>8340</v>
      </c>
      <c r="S83" s="304">
        <f t="shared" si="42"/>
        <v>80740</v>
      </c>
      <c r="T83" s="277">
        <f t="shared" ref="T83:T88" si="46">IF(C83=0,0,+S83/C83)</f>
        <v>0.4037</v>
      </c>
      <c r="U83" s="120"/>
      <c r="V83" s="192">
        <f t="shared" ref="V83:V88" si="47">+S83-E83+C83</f>
        <v>8340</v>
      </c>
    </row>
    <row r="84" spans="1:24" x14ac:dyDescent="0.25">
      <c r="A84" s="43"/>
      <c r="B84" s="44"/>
      <c r="C84" s="217">
        <v>200000</v>
      </c>
      <c r="D84" s="218">
        <v>272400</v>
      </c>
      <c r="E84" s="218">
        <v>272400</v>
      </c>
      <c r="F84" s="218">
        <v>280740</v>
      </c>
      <c r="G84" s="218"/>
      <c r="H84" s="218">
        <v>225840</v>
      </c>
      <c r="I84" s="218">
        <v>225840</v>
      </c>
      <c r="J84" s="218">
        <v>280740</v>
      </c>
      <c r="K84" s="218"/>
      <c r="L84" s="172">
        <f t="shared" si="43"/>
        <v>1.1292</v>
      </c>
      <c r="M84" s="172">
        <f t="shared" si="44"/>
        <v>0.82907488986784139</v>
      </c>
      <c r="N84" s="172">
        <f t="shared" si="45"/>
        <v>1.0306167400881057</v>
      </c>
      <c r="O84" s="218"/>
      <c r="P84" s="298">
        <f t="shared" si="38"/>
        <v>72400</v>
      </c>
      <c r="Q84" s="298">
        <f t="shared" si="39"/>
        <v>0</v>
      </c>
      <c r="R84" s="298">
        <f t="shared" si="40"/>
        <v>8340</v>
      </c>
      <c r="S84" s="298">
        <f t="shared" si="42"/>
        <v>80740</v>
      </c>
      <c r="T84" s="277">
        <f t="shared" si="46"/>
        <v>0.4037</v>
      </c>
      <c r="U84" s="120"/>
      <c r="V84" s="192">
        <f t="shared" si="47"/>
        <v>8340</v>
      </c>
    </row>
    <row r="85" spans="1:24" hidden="1" x14ac:dyDescent="0.25">
      <c r="A85" s="14"/>
      <c r="B85" s="20"/>
      <c r="C85" s="217"/>
      <c r="D85" s="218"/>
      <c r="E85" s="218"/>
      <c r="F85" s="218"/>
      <c r="G85" s="218"/>
      <c r="H85" s="218"/>
      <c r="I85" s="218"/>
      <c r="J85" s="218"/>
      <c r="K85" s="218"/>
      <c r="L85" s="172">
        <f t="shared" si="43"/>
        <v>0</v>
      </c>
      <c r="M85" s="172">
        <f t="shared" si="44"/>
        <v>0</v>
      </c>
      <c r="N85" s="172">
        <f t="shared" si="45"/>
        <v>0</v>
      </c>
      <c r="O85" s="218"/>
      <c r="P85" s="298">
        <f t="shared" si="38"/>
        <v>0</v>
      </c>
      <c r="Q85" s="298">
        <f t="shared" si="39"/>
        <v>0</v>
      </c>
      <c r="R85" s="298">
        <f t="shared" si="40"/>
        <v>0</v>
      </c>
      <c r="S85" s="298">
        <f t="shared" si="42"/>
        <v>0</v>
      </c>
      <c r="T85" s="277">
        <f t="shared" si="46"/>
        <v>0</v>
      </c>
      <c r="U85" s="120"/>
      <c r="V85" s="192">
        <f t="shared" si="47"/>
        <v>0</v>
      </c>
    </row>
    <row r="86" spans="1:24" s="42" customFormat="1" x14ac:dyDescent="0.25">
      <c r="A86" s="4" t="s">
        <v>169</v>
      </c>
      <c r="B86" s="3" t="s">
        <v>170</v>
      </c>
      <c r="C86" s="304">
        <f>SUM(C87:C88)</f>
        <v>0</v>
      </c>
      <c r="D86" s="304">
        <f>SUM(D87:D88)</f>
        <v>0</v>
      </c>
      <c r="E86" s="304">
        <f>SUM(E87:E88)</f>
        <v>0</v>
      </c>
      <c r="F86" s="304">
        <f>SUM(F87:F88)</f>
        <v>0</v>
      </c>
      <c r="G86" s="304"/>
      <c r="H86" s="304">
        <f>SUM(H87:H88)</f>
        <v>0</v>
      </c>
      <c r="I86" s="304">
        <f>SUM(I87:I88)</f>
        <v>0</v>
      </c>
      <c r="J86" s="304">
        <f>SUM(J87:J88)</f>
        <v>0</v>
      </c>
      <c r="K86" s="304"/>
      <c r="L86" s="85">
        <f t="shared" si="43"/>
        <v>0</v>
      </c>
      <c r="M86" s="85">
        <f t="shared" si="44"/>
        <v>0</v>
      </c>
      <c r="N86" s="85">
        <f t="shared" si="45"/>
        <v>0</v>
      </c>
      <c r="O86" s="304"/>
      <c r="P86" s="304">
        <f t="shared" si="38"/>
        <v>0</v>
      </c>
      <c r="Q86" s="304">
        <f t="shared" si="39"/>
        <v>0</v>
      </c>
      <c r="R86" s="304">
        <f t="shared" si="40"/>
        <v>0</v>
      </c>
      <c r="S86" s="304">
        <f t="shared" si="42"/>
        <v>0</v>
      </c>
      <c r="T86" s="277">
        <f t="shared" si="46"/>
        <v>0</v>
      </c>
      <c r="U86" s="120"/>
      <c r="V86" s="192">
        <f t="shared" si="47"/>
        <v>0</v>
      </c>
    </row>
    <row r="87" spans="1:24" x14ac:dyDescent="0.25">
      <c r="A87" s="43"/>
      <c r="B87" s="44"/>
      <c r="C87" s="217">
        <v>0</v>
      </c>
      <c r="D87" s="218">
        <v>0</v>
      </c>
      <c r="E87" s="218">
        <v>0</v>
      </c>
      <c r="F87" s="218">
        <v>0</v>
      </c>
      <c r="G87" s="218"/>
      <c r="H87" s="218">
        <v>0</v>
      </c>
      <c r="I87" s="218">
        <v>0</v>
      </c>
      <c r="J87" s="218">
        <v>0</v>
      </c>
      <c r="K87" s="218"/>
      <c r="L87" s="172">
        <f t="shared" si="43"/>
        <v>0</v>
      </c>
      <c r="M87" s="172">
        <f t="shared" si="44"/>
        <v>0</v>
      </c>
      <c r="N87" s="172">
        <f t="shared" si="45"/>
        <v>0</v>
      </c>
      <c r="O87" s="218"/>
      <c r="P87" s="298">
        <f t="shared" si="38"/>
        <v>0</v>
      </c>
      <c r="Q87" s="298">
        <f t="shared" si="39"/>
        <v>0</v>
      </c>
      <c r="R87" s="298">
        <f t="shared" si="40"/>
        <v>0</v>
      </c>
      <c r="S87" s="298">
        <f t="shared" si="42"/>
        <v>0</v>
      </c>
      <c r="T87" s="277">
        <f t="shared" si="46"/>
        <v>0</v>
      </c>
      <c r="U87" s="120"/>
      <c r="V87" s="192">
        <f t="shared" si="47"/>
        <v>0</v>
      </c>
    </row>
    <row r="88" spans="1:24" hidden="1" x14ac:dyDescent="0.25">
      <c r="A88" s="14"/>
      <c r="B88" s="20"/>
      <c r="C88" s="217"/>
      <c r="D88" s="218"/>
      <c r="E88" s="218"/>
      <c r="F88" s="218"/>
      <c r="G88" s="218"/>
      <c r="H88" s="218"/>
      <c r="I88" s="218"/>
      <c r="J88" s="218"/>
      <c r="K88" s="218"/>
      <c r="L88" s="172">
        <f t="shared" si="43"/>
        <v>0</v>
      </c>
      <c r="M88" s="172">
        <f t="shared" si="44"/>
        <v>0</v>
      </c>
      <c r="N88" s="172">
        <f t="shared" si="45"/>
        <v>0</v>
      </c>
      <c r="O88" s="218"/>
      <c r="P88" s="298">
        <f t="shared" si="38"/>
        <v>0</v>
      </c>
      <c r="Q88" s="298">
        <f t="shared" si="39"/>
        <v>0</v>
      </c>
      <c r="R88" s="298">
        <f t="shared" si="40"/>
        <v>0</v>
      </c>
      <c r="S88" s="298">
        <f t="shared" si="42"/>
        <v>0</v>
      </c>
      <c r="T88" s="277">
        <f t="shared" si="46"/>
        <v>0</v>
      </c>
      <c r="U88" s="120"/>
      <c r="V88" s="192">
        <f t="shared" si="47"/>
        <v>0</v>
      </c>
    </row>
    <row r="89" spans="1:24" ht="18" customHeight="1" x14ac:dyDescent="0.25">
      <c r="A89" s="7"/>
      <c r="B89" s="468" t="s">
        <v>373</v>
      </c>
      <c r="C89" s="475">
        <f>C13+C29+C32+C83+C86</f>
        <v>30262000</v>
      </c>
      <c r="D89" s="475">
        <f t="shared" ref="D89:J89" si="48">D13+D29+D32+D83+D86</f>
        <v>30262000</v>
      </c>
      <c r="E89" s="475">
        <f t="shared" si="48"/>
        <v>33536000</v>
      </c>
      <c r="F89" s="475">
        <f t="shared" si="48"/>
        <v>31526000</v>
      </c>
      <c r="G89" s="475"/>
      <c r="H89" s="475">
        <f t="shared" si="48"/>
        <v>12553765</v>
      </c>
      <c r="I89" s="475">
        <f t="shared" si="48"/>
        <v>23234951</v>
      </c>
      <c r="J89" s="475">
        <f t="shared" si="48"/>
        <v>30622106</v>
      </c>
      <c r="K89" s="213"/>
      <c r="L89" s="85">
        <f t="shared" si="43"/>
        <v>0.41483593285308307</v>
      </c>
      <c r="M89" s="85">
        <f t="shared" si="44"/>
        <v>0.76779297468772723</v>
      </c>
      <c r="N89" s="85">
        <f t="shared" si="45"/>
        <v>0.91311146230916029</v>
      </c>
      <c r="O89" s="213"/>
      <c r="P89" s="213">
        <f t="shared" si="38"/>
        <v>0</v>
      </c>
      <c r="Q89" s="213">
        <f t="shared" si="39"/>
        <v>3274000</v>
      </c>
      <c r="R89" s="213">
        <f t="shared" si="40"/>
        <v>-2010000</v>
      </c>
      <c r="S89" s="213">
        <f t="shared" si="42"/>
        <v>1264000</v>
      </c>
      <c r="T89" s="277">
        <f t="shared" si="35"/>
        <v>4.1768554622959489E-2</v>
      </c>
      <c r="U89" s="120"/>
      <c r="V89" s="192">
        <f t="shared" si="36"/>
        <v>-2010000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715"/>
      <c r="M90" s="98"/>
      <c r="N90" s="98"/>
      <c r="O90" s="98"/>
      <c r="P90" s="98"/>
      <c r="Q90" s="98"/>
      <c r="R90" s="98"/>
      <c r="S90" s="98"/>
      <c r="T90" s="98"/>
      <c r="U90" s="22"/>
      <c r="V90" s="192">
        <f t="shared" si="36"/>
        <v>0</v>
      </c>
      <c r="W90" s="122"/>
      <c r="X90" s="122"/>
    </row>
    <row r="91" spans="1:24" ht="10.35" customHeight="1" x14ac:dyDescent="0.25">
      <c r="A91" s="463"/>
      <c r="B91" s="463"/>
      <c r="C91" s="464"/>
      <c r="D91" s="465"/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6"/>
      <c r="V91" s="467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22"/>
      <c r="V92" s="192"/>
      <c r="W92" s="122"/>
      <c r="X92" s="122"/>
    </row>
    <row r="93" spans="1:24" ht="12.75" customHeight="1" x14ac:dyDescent="0.25">
      <c r="A93" s="4" t="s">
        <v>237</v>
      </c>
      <c r="B93" s="3" t="s">
        <v>391</v>
      </c>
      <c r="C93" s="216">
        <v>0</v>
      </c>
      <c r="D93" s="301">
        <f>+D94</f>
        <v>0</v>
      </c>
      <c r="E93" s="301">
        <f>+E94</f>
        <v>0</v>
      </c>
      <c r="F93" s="301">
        <f>+F94</f>
        <v>0</v>
      </c>
      <c r="G93" s="301"/>
      <c r="H93" s="301">
        <f>+H94</f>
        <v>0</v>
      </c>
      <c r="I93" s="301">
        <f>+I94</f>
        <v>0</v>
      </c>
      <c r="J93" s="301">
        <f>+J94</f>
        <v>0</v>
      </c>
      <c r="K93" s="301"/>
      <c r="L93" s="85">
        <f t="shared" ref="L93:L102" si="49">IF(H93&gt;0,H93/C93,0)</f>
        <v>0</v>
      </c>
      <c r="M93" s="85">
        <f t="shared" ref="M93:M102" si="50">IF(I93&gt;0,I93/D93,0)</f>
        <v>0</v>
      </c>
      <c r="N93" s="85">
        <f t="shared" ref="N93:N102" si="51">IF(J93&gt;0,J93/E93,0)</f>
        <v>0</v>
      </c>
      <c r="O93" s="301"/>
      <c r="P93" s="301">
        <f t="shared" si="38"/>
        <v>0</v>
      </c>
      <c r="Q93" s="301">
        <f t="shared" si="39"/>
        <v>0</v>
      </c>
      <c r="R93" s="301">
        <f t="shared" si="40"/>
        <v>0</v>
      </c>
      <c r="S93" s="301">
        <f t="shared" ref="S93:S102" si="52">+P93*P$10+Q93*Q$10+R93*R$10</f>
        <v>0</v>
      </c>
      <c r="T93" s="277">
        <f t="shared" si="35"/>
        <v>0</v>
      </c>
      <c r="U93" s="120"/>
      <c r="V93" s="192">
        <f t="shared" si="36"/>
        <v>0</v>
      </c>
    </row>
    <row r="94" spans="1:24" ht="12.75" customHeight="1" x14ac:dyDescent="0.25">
      <c r="A94" s="43" t="s">
        <v>257</v>
      </c>
      <c r="B94" s="44" t="s">
        <v>390</v>
      </c>
      <c r="C94" s="302">
        <v>0</v>
      </c>
      <c r="D94" s="303">
        <v>0</v>
      </c>
      <c r="E94" s="303">
        <v>0</v>
      </c>
      <c r="F94" s="303">
        <v>0</v>
      </c>
      <c r="G94" s="303"/>
      <c r="H94" s="303">
        <v>0</v>
      </c>
      <c r="I94" s="303">
        <f>+H94</f>
        <v>0</v>
      </c>
      <c r="J94" s="303">
        <v>0</v>
      </c>
      <c r="K94" s="303"/>
      <c r="L94" s="172">
        <f t="shared" si="49"/>
        <v>0</v>
      </c>
      <c r="M94" s="172">
        <f t="shared" si="50"/>
        <v>0</v>
      </c>
      <c r="N94" s="172">
        <f t="shared" si="51"/>
        <v>0</v>
      </c>
      <c r="O94" s="303"/>
      <c r="P94" s="298">
        <f t="shared" si="38"/>
        <v>0</v>
      </c>
      <c r="Q94" s="298">
        <f t="shared" si="39"/>
        <v>0</v>
      </c>
      <c r="R94" s="298">
        <f t="shared" si="40"/>
        <v>0</v>
      </c>
      <c r="S94" s="298">
        <f t="shared" si="52"/>
        <v>0</v>
      </c>
      <c r="T94" s="277">
        <f t="shared" si="35"/>
        <v>0</v>
      </c>
      <c r="U94" s="120"/>
      <c r="V94" s="192">
        <f t="shared" si="36"/>
        <v>0</v>
      </c>
    </row>
    <row r="95" spans="1:24" s="42" customFormat="1" ht="15" customHeight="1" x14ac:dyDescent="0.25">
      <c r="A95" s="4" t="s">
        <v>280</v>
      </c>
      <c r="B95" s="3" t="s">
        <v>281</v>
      </c>
      <c r="C95" s="216">
        <f>SUM(C96:C98)</f>
        <v>1221000</v>
      </c>
      <c r="D95" s="301">
        <f>+D96+D97+D98</f>
        <v>1221000</v>
      </c>
      <c r="E95" s="301">
        <f>+E96+E97+E98</f>
        <v>1221000</v>
      </c>
      <c r="F95" s="301">
        <f>+F96+F97+F98</f>
        <v>2220528</v>
      </c>
      <c r="G95" s="301"/>
      <c r="H95" s="301">
        <f>+H96+H97+H98</f>
        <v>718358</v>
      </c>
      <c r="I95" s="301">
        <f>+I96+I97+I98</f>
        <v>943177</v>
      </c>
      <c r="J95" s="301">
        <f>+J96+J97+J98</f>
        <v>1470701</v>
      </c>
      <c r="K95" s="301"/>
      <c r="L95" s="85">
        <f t="shared" si="49"/>
        <v>0.58833579033579031</v>
      </c>
      <c r="M95" s="85">
        <f t="shared" si="50"/>
        <v>0.77246273546273547</v>
      </c>
      <c r="N95" s="85">
        <f t="shared" si="51"/>
        <v>1.2045053235053236</v>
      </c>
      <c r="O95" s="301"/>
      <c r="P95" s="301">
        <f t="shared" si="38"/>
        <v>0</v>
      </c>
      <c r="Q95" s="301">
        <f t="shared" si="39"/>
        <v>0</v>
      </c>
      <c r="R95" s="301">
        <f t="shared" si="40"/>
        <v>999528</v>
      </c>
      <c r="S95" s="301">
        <f t="shared" si="52"/>
        <v>999528</v>
      </c>
      <c r="T95" s="277">
        <f t="shared" si="35"/>
        <v>0.81861425061425064</v>
      </c>
      <c r="U95" s="120"/>
      <c r="V95" s="192">
        <f t="shared" si="36"/>
        <v>999528</v>
      </c>
    </row>
    <row r="96" spans="1:24" s="8" customFormat="1" x14ac:dyDescent="0.25">
      <c r="A96" s="14" t="s">
        <v>283</v>
      </c>
      <c r="B96" s="20" t="s">
        <v>284</v>
      </c>
      <c r="C96" s="302">
        <v>1200000</v>
      </c>
      <c r="D96" s="302">
        <v>1200000</v>
      </c>
      <c r="E96" s="302">
        <v>1200000</v>
      </c>
      <c r="F96" s="303">
        <v>2199528</v>
      </c>
      <c r="G96" s="303"/>
      <c r="H96" s="303">
        <v>716400</v>
      </c>
      <c r="I96" s="303">
        <v>940000</v>
      </c>
      <c r="J96" s="303">
        <v>1461956</v>
      </c>
      <c r="K96" s="303"/>
      <c r="L96" s="172">
        <f t="shared" si="49"/>
        <v>0.59699999999999998</v>
      </c>
      <c r="M96" s="172">
        <f t="shared" si="50"/>
        <v>0.78333333333333333</v>
      </c>
      <c r="N96" s="172">
        <f t="shared" si="51"/>
        <v>1.2182966666666666</v>
      </c>
      <c r="O96" s="303"/>
      <c r="P96" s="298">
        <f t="shared" ref="P96:P102" si="53">+(D96-C96)*P$10</f>
        <v>0</v>
      </c>
      <c r="Q96" s="298">
        <f t="shared" ref="Q96:Q102" si="54">+(E96-D96)*Q$10</f>
        <v>0</v>
      </c>
      <c r="R96" s="298">
        <f t="shared" ref="R96:R102" si="55">+(F96-E96)*R$10</f>
        <v>999528</v>
      </c>
      <c r="S96" s="298">
        <f t="shared" si="52"/>
        <v>999528</v>
      </c>
      <c r="T96" s="277">
        <f t="shared" si="35"/>
        <v>0.83294000000000001</v>
      </c>
      <c r="U96" s="120"/>
      <c r="V96" s="192">
        <f t="shared" si="36"/>
        <v>999528</v>
      </c>
    </row>
    <row r="97" spans="1:22" x14ac:dyDescent="0.25">
      <c r="A97" s="14" t="s">
        <v>294</v>
      </c>
      <c r="B97" s="20" t="s">
        <v>295</v>
      </c>
      <c r="C97" s="217">
        <v>11000</v>
      </c>
      <c r="D97" s="217">
        <v>11000</v>
      </c>
      <c r="E97" s="217">
        <v>11000</v>
      </c>
      <c r="F97" s="218">
        <v>11000</v>
      </c>
      <c r="G97" s="218"/>
      <c r="H97" s="218"/>
      <c r="I97" s="218">
        <v>0</v>
      </c>
      <c r="J97" s="218">
        <v>4524</v>
      </c>
      <c r="K97" s="218"/>
      <c r="L97" s="172">
        <f t="shared" si="49"/>
        <v>0</v>
      </c>
      <c r="M97" s="172">
        <f t="shared" si="50"/>
        <v>0</v>
      </c>
      <c r="N97" s="172">
        <f t="shared" si="51"/>
        <v>0.41127272727272729</v>
      </c>
      <c r="O97" s="218"/>
      <c r="P97" s="298">
        <f t="shared" si="53"/>
        <v>0</v>
      </c>
      <c r="Q97" s="298">
        <f t="shared" si="54"/>
        <v>0</v>
      </c>
      <c r="R97" s="298">
        <f t="shared" si="55"/>
        <v>0</v>
      </c>
      <c r="S97" s="298">
        <f t="shared" si="52"/>
        <v>0</v>
      </c>
      <c r="T97" s="277">
        <f t="shared" si="35"/>
        <v>0</v>
      </c>
      <c r="U97" s="120"/>
      <c r="V97" s="192">
        <f t="shared" si="36"/>
        <v>0</v>
      </c>
    </row>
    <row r="98" spans="1:22" ht="27" customHeight="1" x14ac:dyDescent="0.25">
      <c r="A98" s="479" t="s">
        <v>480</v>
      </c>
      <c r="B98" s="479" t="s">
        <v>481</v>
      </c>
      <c r="C98" s="217">
        <v>10000</v>
      </c>
      <c r="D98" s="217">
        <v>10000</v>
      </c>
      <c r="E98" s="217">
        <v>10000</v>
      </c>
      <c r="F98" s="218">
        <v>10000</v>
      </c>
      <c r="G98" s="218"/>
      <c r="H98" s="218">
        <f>49+1909</f>
        <v>1958</v>
      </c>
      <c r="I98" s="218">
        <f>134+3043</f>
        <v>3177</v>
      </c>
      <c r="J98" s="218">
        <f>4051+170</f>
        <v>4221</v>
      </c>
      <c r="K98" s="218"/>
      <c r="L98" s="172">
        <f t="shared" si="49"/>
        <v>0.1958</v>
      </c>
      <c r="M98" s="172">
        <f t="shared" si="50"/>
        <v>0.31769999999999998</v>
      </c>
      <c r="N98" s="172">
        <f t="shared" si="51"/>
        <v>0.42209999999999998</v>
      </c>
      <c r="O98" s="218"/>
      <c r="P98" s="298">
        <f t="shared" si="53"/>
        <v>0</v>
      </c>
      <c r="Q98" s="298">
        <f t="shared" si="54"/>
        <v>0</v>
      </c>
      <c r="R98" s="298">
        <f t="shared" si="55"/>
        <v>0</v>
      </c>
      <c r="S98" s="298">
        <f t="shared" si="52"/>
        <v>0</v>
      </c>
      <c r="T98" s="277">
        <f t="shared" si="35"/>
        <v>0</v>
      </c>
      <c r="U98" s="120"/>
      <c r="V98" s="192">
        <f t="shared" si="36"/>
        <v>0</v>
      </c>
    </row>
    <row r="99" spans="1:22" s="42" customFormat="1" x14ac:dyDescent="0.25">
      <c r="A99" s="4" t="s">
        <v>329</v>
      </c>
      <c r="B99" s="3" t="s">
        <v>330</v>
      </c>
      <c r="C99" s="304">
        <f>SUM(C100:C101)</f>
        <v>29041000</v>
      </c>
      <c r="D99" s="304">
        <f t="shared" ref="D99:J99" si="56">SUM(D100:D101)</f>
        <v>29041000</v>
      </c>
      <c r="E99" s="304">
        <f t="shared" si="56"/>
        <v>32315000</v>
      </c>
      <c r="F99" s="304">
        <f t="shared" si="56"/>
        <v>29305472</v>
      </c>
      <c r="G99" s="304"/>
      <c r="H99" s="304">
        <f t="shared" si="56"/>
        <v>12202714</v>
      </c>
      <c r="I99" s="304">
        <f t="shared" si="56"/>
        <v>25083522</v>
      </c>
      <c r="J99" s="304">
        <f t="shared" si="56"/>
        <v>29305472</v>
      </c>
      <c r="K99" s="304"/>
      <c r="L99" s="85">
        <f t="shared" si="49"/>
        <v>0.4201891808133329</v>
      </c>
      <c r="M99" s="85">
        <f t="shared" si="50"/>
        <v>0.86372790193175164</v>
      </c>
      <c r="N99" s="85">
        <f t="shared" si="51"/>
        <v>0.90686900820052607</v>
      </c>
      <c r="O99" s="304"/>
      <c r="P99" s="304">
        <f t="shared" si="53"/>
        <v>0</v>
      </c>
      <c r="Q99" s="304">
        <f t="shared" si="54"/>
        <v>3274000</v>
      </c>
      <c r="R99" s="304">
        <f t="shared" si="55"/>
        <v>-3009528</v>
      </c>
      <c r="S99" s="304">
        <f t="shared" si="52"/>
        <v>264472</v>
      </c>
      <c r="T99" s="277">
        <f t="shared" si="35"/>
        <v>9.1068489377087568E-3</v>
      </c>
      <c r="U99" s="120"/>
      <c r="V99" s="192">
        <f t="shared" si="36"/>
        <v>-3009528</v>
      </c>
    </row>
    <row r="100" spans="1:22" x14ac:dyDescent="0.25">
      <c r="A100" s="43" t="s">
        <v>355</v>
      </c>
      <c r="B100" s="44" t="s">
        <v>383</v>
      </c>
      <c r="C100" s="217">
        <f>C105</f>
        <v>28334588</v>
      </c>
      <c r="D100" s="218">
        <v>28334588</v>
      </c>
      <c r="E100" s="218">
        <v>31608588</v>
      </c>
      <c r="F100" s="218">
        <v>28599060</v>
      </c>
      <c r="G100" s="218"/>
      <c r="H100" s="218">
        <v>11496302</v>
      </c>
      <c r="I100" s="218">
        <v>24377110</v>
      </c>
      <c r="J100" s="218">
        <v>28599060</v>
      </c>
      <c r="K100" s="218"/>
      <c r="L100" s="172">
        <f t="shared" si="49"/>
        <v>0.40573386844375503</v>
      </c>
      <c r="M100" s="172">
        <f t="shared" si="50"/>
        <v>0.86033049077685553</v>
      </c>
      <c r="N100" s="172">
        <f t="shared" si="51"/>
        <v>0.90478764821762991</v>
      </c>
      <c r="O100" s="218"/>
      <c r="P100" s="298">
        <f t="shared" si="53"/>
        <v>0</v>
      </c>
      <c r="Q100" s="298">
        <f t="shared" si="54"/>
        <v>3274000</v>
      </c>
      <c r="R100" s="298">
        <f t="shared" si="55"/>
        <v>-3009528</v>
      </c>
      <c r="S100" s="298">
        <f t="shared" si="52"/>
        <v>264472</v>
      </c>
      <c r="T100" s="277">
        <f t="shared" si="35"/>
        <v>9.3338925556284771E-3</v>
      </c>
      <c r="U100" s="120"/>
      <c r="V100" s="192">
        <f t="shared" si="36"/>
        <v>-3009528</v>
      </c>
    </row>
    <row r="101" spans="1:22" x14ac:dyDescent="0.25">
      <c r="A101" s="14" t="s">
        <v>343</v>
      </c>
      <c r="B101" s="20" t="s">
        <v>344</v>
      </c>
      <c r="C101" s="560">
        <v>706412</v>
      </c>
      <c r="D101" s="218">
        <v>706412</v>
      </c>
      <c r="E101" s="218">
        <v>706412</v>
      </c>
      <c r="F101" s="218">
        <v>706412</v>
      </c>
      <c r="G101" s="218"/>
      <c r="H101" s="218">
        <v>706412</v>
      </c>
      <c r="I101" s="218">
        <v>706412</v>
      </c>
      <c r="J101" s="218">
        <v>706412</v>
      </c>
      <c r="K101" s="218"/>
      <c r="L101" s="172">
        <f t="shared" si="49"/>
        <v>1</v>
      </c>
      <c r="M101" s="172">
        <f t="shared" si="50"/>
        <v>1</v>
      </c>
      <c r="N101" s="172">
        <f t="shared" si="51"/>
        <v>1</v>
      </c>
      <c r="O101" s="218"/>
      <c r="P101" s="298">
        <f t="shared" si="53"/>
        <v>0</v>
      </c>
      <c r="Q101" s="298">
        <f t="shared" si="54"/>
        <v>0</v>
      </c>
      <c r="R101" s="298">
        <f t="shared" si="55"/>
        <v>0</v>
      </c>
      <c r="S101" s="298">
        <f t="shared" si="52"/>
        <v>0</v>
      </c>
      <c r="T101" s="277">
        <f t="shared" si="35"/>
        <v>0</v>
      </c>
      <c r="U101" s="120"/>
      <c r="V101" s="192">
        <f t="shared" si="36"/>
        <v>0</v>
      </c>
    </row>
    <row r="102" spans="1:22" ht="23.25" customHeight="1" x14ac:dyDescent="0.25">
      <c r="A102" s="5"/>
      <c r="B102" s="5" t="s">
        <v>372</v>
      </c>
      <c r="C102" s="213">
        <f>+C93+C95+C99</f>
        <v>30262000</v>
      </c>
      <c r="D102" s="213">
        <f>+D93+D95+D99</f>
        <v>30262000</v>
      </c>
      <c r="E102" s="213">
        <f>+E93+E95+E99</f>
        <v>33536000</v>
      </c>
      <c r="F102" s="213">
        <f>+F93+F95+F99</f>
        <v>31526000</v>
      </c>
      <c r="G102" s="213"/>
      <c r="H102" s="213">
        <f>+H93+H95+H99</f>
        <v>12921072</v>
      </c>
      <c r="I102" s="213">
        <f>+I93+I95+I99</f>
        <v>26026699</v>
      </c>
      <c r="J102" s="213">
        <f>+J93+J95+J99</f>
        <v>30776173</v>
      </c>
      <c r="K102" s="213"/>
      <c r="L102" s="85">
        <f t="shared" si="49"/>
        <v>0.42697349811644969</v>
      </c>
      <c r="M102" s="85">
        <f t="shared" si="50"/>
        <v>0.8600455687000198</v>
      </c>
      <c r="N102" s="85">
        <f t="shared" si="51"/>
        <v>0.91770554031488549</v>
      </c>
      <c r="O102" s="213"/>
      <c r="P102" s="213">
        <f t="shared" si="53"/>
        <v>0</v>
      </c>
      <c r="Q102" s="213">
        <f t="shared" si="54"/>
        <v>3274000</v>
      </c>
      <c r="R102" s="213">
        <f t="shared" si="55"/>
        <v>-2010000</v>
      </c>
      <c r="S102" s="213">
        <f t="shared" si="52"/>
        <v>1264000</v>
      </c>
      <c r="T102" s="277">
        <f t="shared" si="35"/>
        <v>4.1768554622959489E-2</v>
      </c>
      <c r="U102" s="120"/>
      <c r="V102" s="192">
        <f t="shared" si="36"/>
        <v>-2010000</v>
      </c>
    </row>
    <row r="103" spans="1:22" x14ac:dyDescent="0.25">
      <c r="C103" s="276"/>
      <c r="D103" s="275"/>
      <c r="E103" s="275"/>
      <c r="F103" s="275"/>
      <c r="G103" s="275"/>
      <c r="H103" s="275"/>
      <c r="I103" s="275"/>
      <c r="J103" s="275"/>
      <c r="K103" s="275"/>
      <c r="O103" s="275"/>
      <c r="P103" s="275"/>
      <c r="Q103" s="275"/>
      <c r="R103" s="275"/>
      <c r="S103" s="275"/>
    </row>
    <row r="104" spans="1:22" x14ac:dyDescent="0.25">
      <c r="C104" s="276"/>
      <c r="D104" s="276"/>
      <c r="E104" s="276"/>
      <c r="F104" s="276"/>
      <c r="G104" s="276"/>
      <c r="H104" s="276"/>
      <c r="I104" s="276"/>
      <c r="J104" s="276"/>
      <c r="K104" s="276"/>
      <c r="O104" s="276"/>
      <c r="P104" s="276"/>
      <c r="Q104" s="276"/>
      <c r="R104" s="276"/>
      <c r="S104" s="276"/>
    </row>
    <row r="105" spans="1:22" x14ac:dyDescent="0.25">
      <c r="C105" s="276">
        <f>+C89-C95-C101</f>
        <v>28334588</v>
      </c>
      <c r="D105" s="276"/>
      <c r="E105" s="276"/>
      <c r="F105" s="276"/>
      <c r="G105" s="276"/>
      <c r="H105" s="276"/>
      <c r="I105" s="276"/>
      <c r="J105" s="276"/>
      <c r="K105" s="276"/>
      <c r="O105" s="276"/>
      <c r="P105" s="276"/>
      <c r="Q105" s="276"/>
      <c r="R105" s="276"/>
      <c r="S105" s="276"/>
    </row>
    <row r="106" spans="1:22" x14ac:dyDescent="0.25">
      <c r="C106" s="276"/>
      <c r="D106" s="276"/>
      <c r="E106" s="276"/>
      <c r="F106" s="276"/>
      <c r="G106" s="276"/>
      <c r="H106" s="276"/>
      <c r="I106" s="276"/>
      <c r="J106" s="276"/>
      <c r="K106" s="276"/>
      <c r="O106" s="276"/>
      <c r="P106" s="276"/>
      <c r="Q106" s="276"/>
      <c r="R106" s="276"/>
      <c r="S106" s="276"/>
    </row>
    <row r="107" spans="1:22" x14ac:dyDescent="0.25">
      <c r="A107" s="59"/>
      <c r="B107" s="59" t="s">
        <v>478</v>
      </c>
      <c r="C107" s="276">
        <f>+'2. Önk. Bevételek'!C18</f>
        <v>10194250</v>
      </c>
      <c r="D107" s="276"/>
      <c r="E107" s="276"/>
      <c r="F107" s="276"/>
      <c r="G107" s="276"/>
      <c r="H107" s="276"/>
      <c r="I107" s="276"/>
      <c r="J107" s="276"/>
      <c r="K107" s="276"/>
      <c r="O107" s="276"/>
      <c r="P107" s="276"/>
      <c r="Q107" s="276"/>
      <c r="R107" s="276"/>
      <c r="S107" s="276"/>
    </row>
    <row r="108" spans="1:22" x14ac:dyDescent="0.25">
      <c r="B108" s="59" t="s">
        <v>479</v>
      </c>
      <c r="C108" s="276">
        <f>+C100-C107</f>
        <v>18140338</v>
      </c>
      <c r="D108" s="276"/>
      <c r="E108" s="276"/>
      <c r="F108" s="276"/>
      <c r="G108" s="276"/>
      <c r="H108" s="276"/>
      <c r="I108" s="276"/>
      <c r="J108" s="276"/>
      <c r="K108" s="276"/>
      <c r="O108" s="276"/>
      <c r="P108" s="276"/>
      <c r="Q108" s="276"/>
      <c r="R108" s="276"/>
      <c r="S108" s="276"/>
    </row>
    <row r="109" spans="1:22" x14ac:dyDescent="0.25">
      <c r="C109" s="276"/>
      <c r="D109" s="276"/>
      <c r="E109" s="276"/>
      <c r="F109" s="276"/>
      <c r="G109" s="276"/>
      <c r="H109" s="276"/>
      <c r="I109" s="276"/>
      <c r="J109" s="276"/>
      <c r="K109" s="276"/>
      <c r="O109" s="276"/>
      <c r="P109" s="276"/>
      <c r="Q109" s="276"/>
      <c r="R109" s="276"/>
      <c r="S109" s="276"/>
    </row>
  </sheetData>
  <mergeCells count="6">
    <mergeCell ref="C9:F9"/>
    <mergeCell ref="H9:N9"/>
    <mergeCell ref="P9:T9"/>
    <mergeCell ref="H10:J10"/>
    <mergeCell ref="L10:N10"/>
    <mergeCell ref="C10:F10"/>
  </mergeCells>
  <phoneticPr fontId="2" type="noConversion"/>
  <printOptions horizontalCentered="1"/>
  <pageMargins left="0" right="0" top="0.59055118110236227" bottom="0.19685039370078741" header="0.51181102362204722" footer="0.51181102362204722"/>
  <pageSetup paperSize="9" scale="53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topLeftCell="B1" zoomScaleNormal="100" zoomScaleSheetLayoutView="100" workbookViewId="0">
      <selection activeCell="C10" sqref="C10:F10"/>
    </sheetView>
  </sheetViews>
  <sheetFormatPr defaultRowHeight="12.75" customHeight="1" x14ac:dyDescent="0.25"/>
  <cols>
    <col min="1" max="1" width="6.44140625" style="13" bestFit="1" customWidth="1"/>
    <col min="2" max="2" width="46.109375" style="13" customWidth="1"/>
    <col min="3" max="5" width="15.5546875" style="13" customWidth="1"/>
    <col min="6" max="6" width="14.44140625" style="13" customWidth="1"/>
    <col min="7" max="7" width="1.5546875" style="13" customWidth="1"/>
    <col min="8" max="9" width="15.5546875" style="13" customWidth="1"/>
    <col min="10" max="10" width="15.21875" style="13" customWidth="1"/>
    <col min="11" max="11" width="1.5546875" style="13" customWidth="1"/>
    <col min="12" max="13" width="10.5546875" style="13" customWidth="1"/>
    <col min="14" max="14" width="12.44140625" style="13" customWidth="1"/>
    <col min="15" max="15" width="1.5546875" style="13" customWidth="1"/>
    <col min="16" max="17" width="14.5546875" style="13" customWidth="1"/>
    <col min="18" max="18" width="14.77734375" style="13" customWidth="1"/>
    <col min="19" max="19" width="14.5546875" style="13" customWidth="1"/>
    <col min="21" max="21" width="0.6640625" customWidth="1"/>
    <col min="23" max="23" width="14.5546875" bestFit="1" customWidth="1"/>
  </cols>
  <sheetData>
    <row r="1" spans="1:27" ht="24.6" x14ac:dyDescent="0.4">
      <c r="A1" s="295" t="s">
        <v>420</v>
      </c>
      <c r="B1" s="225"/>
      <c r="C1" s="225"/>
      <c r="D1" s="225"/>
      <c r="G1" s="224"/>
      <c r="H1" s="223"/>
      <c r="I1" s="227"/>
      <c r="J1" s="221" t="str">
        <f>+'1. Sülysáp összesen'!J1</f>
        <v>2019. ÉVI ZÁRSZÁMADÁS</v>
      </c>
      <c r="K1" s="227"/>
      <c r="L1" s="223"/>
      <c r="M1" s="223"/>
      <c r="N1" s="223"/>
      <c r="P1" s="223"/>
      <c r="Q1" s="223"/>
      <c r="R1" s="223"/>
      <c r="S1" s="223"/>
      <c r="T1" s="223"/>
      <c r="U1" s="223"/>
      <c r="V1" s="223"/>
      <c r="W1" s="223"/>
      <c r="X1" s="223"/>
      <c r="Y1" s="46"/>
      <c r="Z1" s="46"/>
      <c r="AA1" s="46"/>
    </row>
    <row r="2" spans="1:27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7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7" ht="13.2" x14ac:dyDescent="0.25">
      <c r="A4" s="264"/>
      <c r="B4" s="263"/>
      <c r="C4" s="88"/>
      <c r="D4" s="88"/>
      <c r="E4" s="88"/>
      <c r="F4" s="88"/>
      <c r="G4" s="88"/>
      <c r="H4" s="88"/>
      <c r="I4" s="88"/>
      <c r="J4" s="88"/>
      <c r="K4" s="88"/>
      <c r="L4" s="263"/>
      <c r="M4" s="263"/>
      <c r="N4" s="263"/>
      <c r="O4" s="88"/>
      <c r="P4" s="88"/>
      <c r="Q4" s="88"/>
      <c r="R4" s="88"/>
      <c r="S4" s="88"/>
      <c r="T4" s="88"/>
      <c r="U4" s="263"/>
      <c r="V4" s="249"/>
      <c r="W4" s="122"/>
      <c r="X4" s="122"/>
    </row>
    <row r="5" spans="1:27" ht="20.100000000000001" customHeight="1" x14ac:dyDescent="0.3">
      <c r="A5" s="245"/>
      <c r="B5" s="245" t="s">
        <v>373</v>
      </c>
      <c r="C5" s="246">
        <f>+C89</f>
        <v>106343000</v>
      </c>
      <c r="D5" s="246">
        <f>+D89</f>
        <v>106343000</v>
      </c>
      <c r="E5" s="246">
        <f>+E89</f>
        <v>106343000</v>
      </c>
      <c r="F5" s="246">
        <f>+F89</f>
        <v>106343000</v>
      </c>
      <c r="G5" s="246"/>
      <c r="H5" s="246">
        <f>+H89</f>
        <v>53458479</v>
      </c>
      <c r="I5" s="246">
        <f>+I89</f>
        <v>71780982</v>
      </c>
      <c r="J5" s="246">
        <f>+J89</f>
        <v>102230016</v>
      </c>
      <c r="K5" s="89"/>
      <c r="L5" s="639">
        <f t="shared" ref="L5:N6" si="0">IF(H5&gt;0,H5/C5,0)</f>
        <v>0.50269861674017091</v>
      </c>
      <c r="M5" s="639">
        <f t="shared" si="0"/>
        <v>0.67499489388112055</v>
      </c>
      <c r="N5" s="639">
        <f t="shared" si="0"/>
        <v>0.96132341573963498</v>
      </c>
      <c r="O5" s="89"/>
      <c r="P5" s="246">
        <f>+P89</f>
        <v>0</v>
      </c>
      <c r="Q5" s="246">
        <f>+Q89</f>
        <v>0</v>
      </c>
      <c r="R5" s="246">
        <f>+R89</f>
        <v>0</v>
      </c>
      <c r="S5" s="246">
        <f>+S89</f>
        <v>0</v>
      </c>
      <c r="T5" s="132">
        <f>IF(C5=0,0,+S5/C5)</f>
        <v>0</v>
      </c>
      <c r="U5" s="118"/>
      <c r="V5" s="195">
        <f>+S5-E5+C5</f>
        <v>0</v>
      </c>
      <c r="W5" s="122"/>
      <c r="X5" s="122"/>
    </row>
    <row r="6" spans="1:27" ht="20.100000000000001" customHeight="1" x14ac:dyDescent="0.3">
      <c r="A6" s="247"/>
      <c r="B6" s="247" t="s">
        <v>372</v>
      </c>
      <c r="C6" s="248">
        <f>+C102</f>
        <v>106343000</v>
      </c>
      <c r="D6" s="248">
        <f t="shared" ref="D6:J6" si="1">+D102</f>
        <v>106343000</v>
      </c>
      <c r="E6" s="248">
        <f t="shared" si="1"/>
        <v>106343000</v>
      </c>
      <c r="F6" s="248">
        <f t="shared" si="1"/>
        <v>106343000</v>
      </c>
      <c r="G6" s="248"/>
      <c r="H6" s="248">
        <f t="shared" si="1"/>
        <v>57190921</v>
      </c>
      <c r="I6" s="248">
        <f t="shared" si="1"/>
        <v>76531358</v>
      </c>
      <c r="J6" s="248">
        <f t="shared" si="1"/>
        <v>106969640</v>
      </c>
      <c r="K6" s="67"/>
      <c r="L6" s="639">
        <f t="shared" si="0"/>
        <v>0.53779676142294275</v>
      </c>
      <c r="M6" s="639">
        <f t="shared" si="0"/>
        <v>0.71966521538794281</v>
      </c>
      <c r="N6" s="639">
        <f t="shared" si="0"/>
        <v>1.0058926304505234</v>
      </c>
      <c r="O6" s="67"/>
      <c r="P6" s="248">
        <f>+P102</f>
        <v>0</v>
      </c>
      <c r="Q6" s="248">
        <f>+Q102</f>
        <v>0</v>
      </c>
      <c r="R6" s="248">
        <f>+R102</f>
        <v>0</v>
      </c>
      <c r="S6" s="248">
        <f>+S102</f>
        <v>0</v>
      </c>
      <c r="T6" s="31">
        <f>IF(C6=0,0,+S6/C6)</f>
        <v>0</v>
      </c>
      <c r="U6" s="118"/>
      <c r="V6" s="195">
        <f>+S6-E6+C6</f>
        <v>0</v>
      </c>
      <c r="W6" s="122"/>
      <c r="X6" s="122"/>
    </row>
    <row r="7" spans="1:27" ht="20.100000000000001" customHeight="1" x14ac:dyDescent="0.3">
      <c r="A7" s="247"/>
      <c r="B7" s="247" t="s">
        <v>404</v>
      </c>
      <c r="C7" s="248">
        <f>+C6-C5</f>
        <v>0</v>
      </c>
      <c r="D7" s="248">
        <f>+D6-D5</f>
        <v>0</v>
      </c>
      <c r="E7" s="248">
        <f>+E6-E5</f>
        <v>0</v>
      </c>
      <c r="F7" s="248">
        <f>+F6-F5</f>
        <v>0</v>
      </c>
      <c r="G7" s="248"/>
      <c r="H7" s="248">
        <f>+H6-H5</f>
        <v>3732442</v>
      </c>
      <c r="I7" s="248">
        <f>+I6-I5</f>
        <v>4750376</v>
      </c>
      <c r="J7" s="248">
        <f>+J6-J5</f>
        <v>4739624</v>
      </c>
      <c r="K7" s="67"/>
      <c r="L7" s="639"/>
      <c r="M7" s="639"/>
      <c r="N7" s="639"/>
      <c r="O7" s="67"/>
      <c r="P7" s="248">
        <f>+P6-P5</f>
        <v>0</v>
      </c>
      <c r="Q7" s="248">
        <f>+Q6-Q5</f>
        <v>0</v>
      </c>
      <c r="R7" s="248">
        <f>+R6-R5</f>
        <v>0</v>
      </c>
      <c r="S7" s="248">
        <f>+S6-S5</f>
        <v>0</v>
      </c>
      <c r="T7" s="31">
        <f>IF(C7=0,0,+S7/C7)</f>
        <v>0</v>
      </c>
      <c r="U7" s="118"/>
      <c r="V7" s="195">
        <f>+S7-E7+C7</f>
        <v>0</v>
      </c>
      <c r="W7" s="122"/>
      <c r="X7" s="122"/>
    </row>
    <row r="8" spans="1:27" ht="13.2" x14ac:dyDescent="0.25">
      <c r="A8" s="231"/>
      <c r="B8" s="232"/>
      <c r="C8" s="609"/>
      <c r="D8" s="610"/>
      <c r="E8" s="610"/>
      <c r="F8" s="610"/>
      <c r="G8" s="611"/>
      <c r="H8" s="611"/>
      <c r="I8" s="611"/>
      <c r="J8" s="611"/>
      <c r="K8" s="611"/>
      <c r="L8" s="591"/>
      <c r="M8" s="591"/>
      <c r="N8" s="591"/>
      <c r="O8" s="94"/>
      <c r="P8" s="81"/>
      <c r="Q8" s="81"/>
      <c r="R8" s="81"/>
      <c r="S8" s="81"/>
      <c r="T8" s="151"/>
      <c r="U8" s="120"/>
      <c r="V8" s="192"/>
      <c r="W8" s="122"/>
      <c r="X8" s="122"/>
    </row>
    <row r="9" spans="1:27" ht="15.6" x14ac:dyDescent="0.3">
      <c r="A9" s="62"/>
      <c r="B9" s="233"/>
      <c r="C9" s="1442" t="s">
        <v>403</v>
      </c>
      <c r="D9" s="1450"/>
      <c r="E9" s="1450"/>
      <c r="F9" s="1451"/>
      <c r="G9" s="153"/>
      <c r="H9" s="1442" t="s">
        <v>402</v>
      </c>
      <c r="I9" s="1450"/>
      <c r="J9" s="1450"/>
      <c r="K9" s="1450"/>
      <c r="L9" s="1450"/>
      <c r="M9" s="1450"/>
      <c r="N9" s="1451"/>
      <c r="O9" s="153"/>
      <c r="P9" s="1442" t="s">
        <v>399</v>
      </c>
      <c r="Q9" s="1450"/>
      <c r="R9" s="1450"/>
      <c r="S9" s="1450"/>
      <c r="T9" s="1451"/>
      <c r="U9" s="196"/>
      <c r="V9" s="192"/>
      <c r="W9" s="122"/>
      <c r="X9" s="122"/>
    </row>
    <row r="10" spans="1:27" ht="13.2" x14ac:dyDescent="0.25">
      <c r="A10" s="264"/>
      <c r="B10" s="263"/>
      <c r="C10" s="1437" t="s">
        <v>412</v>
      </c>
      <c r="D10" s="1438"/>
      <c r="E10" s="1438"/>
      <c r="F10" s="1439"/>
      <c r="G10" s="133"/>
      <c r="H10" s="1437" t="s">
        <v>412</v>
      </c>
      <c r="I10" s="1438"/>
      <c r="J10" s="1439"/>
      <c r="K10" s="133"/>
      <c r="L10" s="1437" t="s">
        <v>411</v>
      </c>
      <c r="M10" s="1438"/>
      <c r="N10" s="1439"/>
      <c r="O10" s="133"/>
      <c r="P10" s="127">
        <f>+'2. Önk. Bevételek'!P8</f>
        <v>1</v>
      </c>
      <c r="Q10" s="127">
        <f>+'2. Önk. Bevételek'!Q8</f>
        <v>1</v>
      </c>
      <c r="R10" s="127">
        <f>+'2. Önk. Bevételek'!R8</f>
        <v>1</v>
      </c>
      <c r="S10" s="126"/>
      <c r="T10" s="126"/>
      <c r="U10" s="152"/>
      <c r="V10" s="250"/>
      <c r="W10" s="130"/>
      <c r="X10" s="130"/>
      <c r="Y10" s="130"/>
      <c r="Z10" s="130"/>
    </row>
    <row r="11" spans="1:27" ht="61.2" x14ac:dyDescent="0.25">
      <c r="A11" s="27" t="s">
        <v>368</v>
      </c>
      <c r="B11" s="27" t="s">
        <v>366</v>
      </c>
      <c r="C11" s="517" t="s">
        <v>484</v>
      </c>
      <c r="D11" s="355" t="s">
        <v>485</v>
      </c>
      <c r="E11" s="355" t="s">
        <v>486</v>
      </c>
      <c r="F11" s="518" t="s">
        <v>502</v>
      </c>
      <c r="G11" s="355"/>
      <c r="H11" s="491" t="s">
        <v>487</v>
      </c>
      <c r="I11" s="356" t="s">
        <v>488</v>
      </c>
      <c r="J11" s="356" t="s">
        <v>501</v>
      </c>
      <c r="K11" s="355"/>
      <c r="L11" s="357" t="s">
        <v>489</v>
      </c>
      <c r="M11" s="357" t="s">
        <v>490</v>
      </c>
      <c r="N11" s="492" t="s">
        <v>503</v>
      </c>
      <c r="O11" s="355"/>
      <c r="P11" s="491" t="s">
        <v>491</v>
      </c>
      <c r="Q11" s="356" t="s">
        <v>492</v>
      </c>
      <c r="R11" s="356" t="s">
        <v>510</v>
      </c>
      <c r="S11" s="356" t="s">
        <v>400</v>
      </c>
      <c r="T11" s="492" t="s">
        <v>401</v>
      </c>
      <c r="U11" s="186"/>
      <c r="V11" s="131" t="s">
        <v>405</v>
      </c>
      <c r="W11" s="122"/>
      <c r="X11" s="122"/>
    </row>
    <row r="12" spans="1:27" ht="12.75" customHeight="1" x14ac:dyDescent="0.25">
      <c r="A12" s="14"/>
      <c r="B12" s="20"/>
      <c r="C12" s="305"/>
      <c r="D12" s="306"/>
      <c r="E12" s="306"/>
      <c r="F12" s="306"/>
      <c r="G12" s="306"/>
      <c r="H12" s="306"/>
      <c r="I12" s="306"/>
      <c r="J12" s="306"/>
      <c r="K12" s="306"/>
      <c r="L12" s="587"/>
      <c r="M12" s="587"/>
      <c r="N12" s="587"/>
      <c r="O12" s="306"/>
      <c r="P12" s="306"/>
      <c r="Q12" s="306"/>
      <c r="R12" s="306"/>
      <c r="S12" s="306"/>
    </row>
    <row r="13" spans="1:27" ht="12.75" customHeight="1" x14ac:dyDescent="0.25">
      <c r="A13" s="7" t="s">
        <v>0</v>
      </c>
      <c r="B13" s="5" t="s">
        <v>3</v>
      </c>
      <c r="C13" s="307">
        <f>+C14+C24</f>
        <v>29372000</v>
      </c>
      <c r="D13" s="307">
        <f t="shared" ref="D13:J13" si="2">+D14+D24</f>
        <v>29372000</v>
      </c>
      <c r="E13" s="307">
        <f t="shared" si="2"/>
        <v>29372000</v>
      </c>
      <c r="F13" s="307">
        <f t="shared" si="2"/>
        <v>31536000</v>
      </c>
      <c r="G13" s="307"/>
      <c r="H13" s="307">
        <f t="shared" si="2"/>
        <v>14524060</v>
      </c>
      <c r="I13" s="307">
        <f t="shared" si="2"/>
        <v>22067739</v>
      </c>
      <c r="J13" s="307">
        <f t="shared" si="2"/>
        <v>30727025</v>
      </c>
      <c r="K13" s="307"/>
      <c r="L13" s="588">
        <f>+H13/C13</f>
        <v>0.49448658586408822</v>
      </c>
      <c r="M13" s="588">
        <f>+I13/D13</f>
        <v>0.75131890916519128</v>
      </c>
      <c r="N13" s="588">
        <f>+J13/E13</f>
        <v>1.0461332221163013</v>
      </c>
      <c r="O13" s="307"/>
      <c r="P13" s="308">
        <f t="shared" ref="P13:R15" si="3">+(D13-C13)*P$10</f>
        <v>0</v>
      </c>
      <c r="Q13" s="308">
        <f t="shared" si="3"/>
        <v>0</v>
      </c>
      <c r="R13" s="308">
        <f t="shared" si="3"/>
        <v>2164000</v>
      </c>
      <c r="S13" s="308">
        <f>+P13*P$10+Q13*Q$10+R13*R$10</f>
        <v>2164000</v>
      </c>
      <c r="T13" s="278">
        <f>IF('8. WAMKK'!C13=0,0,+S13/'8. WAMKK'!C13)</f>
        <v>0.15490336435218324</v>
      </c>
      <c r="U13" s="120"/>
      <c r="V13" s="192">
        <f t="shared" ref="V13:V71" si="4">+S13-E13+C13</f>
        <v>2164000</v>
      </c>
    </row>
    <row r="14" spans="1:27" ht="12.75" customHeight="1" x14ac:dyDescent="0.25">
      <c r="A14" s="38" t="s">
        <v>1</v>
      </c>
      <c r="B14" s="20"/>
      <c r="C14" s="713">
        <f>SUM(C15:C23)</f>
        <v>28892000</v>
      </c>
      <c r="D14" s="713">
        <f t="shared" ref="D14:J14" si="5">SUM(D15:D23)</f>
        <v>28892000</v>
      </c>
      <c r="E14" s="713">
        <f t="shared" si="5"/>
        <v>28892000</v>
      </c>
      <c r="F14" s="713">
        <f t="shared" si="5"/>
        <v>30874250</v>
      </c>
      <c r="G14" s="713"/>
      <c r="H14" s="713">
        <f t="shared" si="5"/>
        <v>14214460</v>
      </c>
      <c r="I14" s="713">
        <f t="shared" si="5"/>
        <v>21606389</v>
      </c>
      <c r="J14" s="713">
        <f t="shared" si="5"/>
        <v>30066076</v>
      </c>
      <c r="K14" s="306"/>
      <c r="L14" s="714">
        <f>IF(H14&gt;0,H14/C14,0)</f>
        <v>0.49198601689048871</v>
      </c>
      <c r="M14" s="714">
        <f>IF(I14&gt;0,I14/D14,0)</f>
        <v>0.74783292953066594</v>
      </c>
      <c r="N14" s="587"/>
      <c r="O14" s="306"/>
      <c r="P14" s="306">
        <f t="shared" si="3"/>
        <v>0</v>
      </c>
      <c r="Q14" s="306">
        <f t="shared" si="3"/>
        <v>0</v>
      </c>
      <c r="R14" s="306">
        <f t="shared" si="3"/>
        <v>1982250</v>
      </c>
      <c r="S14" s="306">
        <f>+P14*P$10+Q14*Q$10+R14*R$10</f>
        <v>1982250</v>
      </c>
      <c r="T14" s="277">
        <f>IF('8. WAMKK'!C14=0,0,+S14/'8. WAMKK'!C14)</f>
        <v>0.14189334287759484</v>
      </c>
      <c r="U14" s="120"/>
      <c r="V14" s="192">
        <f t="shared" si="4"/>
        <v>1982250</v>
      </c>
    </row>
    <row r="15" spans="1:27" ht="12.75" customHeight="1" x14ac:dyDescent="0.25">
      <c r="A15" s="14" t="s">
        <v>2</v>
      </c>
      <c r="B15" s="479" t="s">
        <v>393</v>
      </c>
      <c r="C15" s="305">
        <f>26966000-500000</f>
        <v>26466000</v>
      </c>
      <c r="D15" s="305">
        <f>26966000-500000</f>
        <v>26466000</v>
      </c>
      <c r="E15" s="164">
        <v>26466000</v>
      </c>
      <c r="F15" s="164">
        <v>26972250</v>
      </c>
      <c r="G15" s="164"/>
      <c r="H15" s="164">
        <v>13517853</v>
      </c>
      <c r="I15" s="164">
        <v>20196558</v>
      </c>
      <c r="J15" s="164">
        <v>26971308</v>
      </c>
      <c r="K15" s="164"/>
      <c r="L15" s="589">
        <f t="shared" ref="L15:L27" si="6">IF(H15&gt;0,H15/C15,0)</f>
        <v>0.51076297891634548</v>
      </c>
      <c r="M15" s="589">
        <f t="shared" ref="M15:M27" si="7">IF(I15&gt;0,I15/D15,0)</f>
        <v>0.76311335298118343</v>
      </c>
      <c r="N15" s="589">
        <f t="shared" ref="N15:N27" si="8">IF(J15&gt;0,J15/E15,0)</f>
        <v>1.019092722738608</v>
      </c>
      <c r="O15" s="164"/>
      <c r="P15" s="298">
        <f t="shared" si="3"/>
        <v>0</v>
      </c>
      <c r="Q15" s="298">
        <f t="shared" si="3"/>
        <v>0</v>
      </c>
      <c r="R15" s="298">
        <f t="shared" si="3"/>
        <v>506250</v>
      </c>
      <c r="S15" s="298">
        <f>+P15*P$10+Q15*Q$10+R15*R$10</f>
        <v>506250</v>
      </c>
      <c r="T15" s="277">
        <f>IF('8. WAMKK'!C15=0,0,+S15/'8. WAMKK'!C15)</f>
        <v>3.796400449943757E-2</v>
      </c>
      <c r="U15" s="120"/>
      <c r="V15" s="192">
        <f t="shared" si="4"/>
        <v>506250</v>
      </c>
    </row>
    <row r="16" spans="1:27" ht="12.75" customHeight="1" x14ac:dyDescent="0.25">
      <c r="A16" s="526" t="s">
        <v>507</v>
      </c>
      <c r="B16" s="479" t="s">
        <v>517</v>
      </c>
      <c r="C16" s="305"/>
      <c r="D16" s="305"/>
      <c r="E16" s="164"/>
      <c r="F16" s="164">
        <v>935000</v>
      </c>
      <c r="G16" s="164"/>
      <c r="H16" s="164"/>
      <c r="I16" s="164"/>
      <c r="J16" s="164">
        <v>934458</v>
      </c>
      <c r="K16" s="164"/>
      <c r="L16" s="589">
        <f t="shared" si="6"/>
        <v>0</v>
      </c>
      <c r="M16" s="589">
        <f t="shared" si="7"/>
        <v>0</v>
      </c>
      <c r="N16" s="589" t="e">
        <f t="shared" si="8"/>
        <v>#DIV/0!</v>
      </c>
      <c r="O16" s="164"/>
      <c r="P16" s="164">
        <f t="shared" ref="P16:P79" si="9">+(D16-C16)*P$10</f>
        <v>0</v>
      </c>
      <c r="Q16" s="164">
        <f t="shared" ref="Q16:Q79" si="10">+(E16-D16)*Q$10</f>
        <v>0</v>
      </c>
      <c r="R16" s="164">
        <f t="shared" ref="R16:R79" si="11">+(F16-E16)*R$10</f>
        <v>935000</v>
      </c>
      <c r="S16" s="164">
        <f t="shared" ref="S16:S79" si="12">+P16*P$10+Q16*Q$10+R16*R$10</f>
        <v>935000</v>
      </c>
      <c r="T16" s="277">
        <f>IF('8. WAMKK'!C16=0,0,+S16/'8. WAMKK'!C16)</f>
        <v>0</v>
      </c>
      <c r="U16" s="120"/>
      <c r="V16" s="192">
        <f t="shared" si="4"/>
        <v>935000</v>
      </c>
    </row>
    <row r="17" spans="1:22" ht="12.75" customHeight="1" x14ac:dyDescent="0.25">
      <c r="A17" s="14" t="s">
        <v>10</v>
      </c>
      <c r="B17" s="20" t="s">
        <v>4</v>
      </c>
      <c r="C17" s="305"/>
      <c r="D17" s="305"/>
      <c r="E17" s="164"/>
      <c r="F17" s="164"/>
      <c r="G17" s="164"/>
      <c r="H17" s="164"/>
      <c r="I17" s="164"/>
      <c r="J17" s="164"/>
      <c r="K17" s="164"/>
      <c r="L17" s="589">
        <f t="shared" si="6"/>
        <v>0</v>
      </c>
      <c r="M17" s="589">
        <f t="shared" si="7"/>
        <v>0</v>
      </c>
      <c r="N17" s="589">
        <f t="shared" si="8"/>
        <v>0</v>
      </c>
      <c r="O17" s="164"/>
      <c r="P17" s="164">
        <f t="shared" si="9"/>
        <v>0</v>
      </c>
      <c r="Q17" s="164">
        <f t="shared" si="10"/>
        <v>0</v>
      </c>
      <c r="R17" s="164">
        <f t="shared" si="11"/>
        <v>0</v>
      </c>
      <c r="S17" s="164">
        <f t="shared" si="12"/>
        <v>0</v>
      </c>
      <c r="T17" s="277">
        <f>IF('8. WAMKK'!C17=0,0,+S17/'8. WAMKK'!C17)</f>
        <v>0</v>
      </c>
      <c r="U17" s="120"/>
      <c r="V17" s="192">
        <f t="shared" si="4"/>
        <v>0</v>
      </c>
    </row>
    <row r="18" spans="1:22" ht="12.75" customHeight="1" x14ac:dyDescent="0.25">
      <c r="A18" s="526" t="s">
        <v>380</v>
      </c>
      <c r="B18" s="20" t="s">
        <v>5</v>
      </c>
      <c r="C18" s="305">
        <v>576000</v>
      </c>
      <c r="D18" s="305">
        <v>576000</v>
      </c>
      <c r="E18" s="305">
        <v>576000</v>
      </c>
      <c r="F18" s="164">
        <v>576000</v>
      </c>
      <c r="G18" s="164"/>
      <c r="H18" s="164">
        <v>576000</v>
      </c>
      <c r="I18" s="164">
        <v>576000</v>
      </c>
      <c r="J18" s="164">
        <v>576000</v>
      </c>
      <c r="K18" s="164"/>
      <c r="L18" s="589">
        <f t="shared" si="6"/>
        <v>1</v>
      </c>
      <c r="M18" s="589">
        <f t="shared" si="7"/>
        <v>1</v>
      </c>
      <c r="N18" s="589">
        <f t="shared" si="8"/>
        <v>1</v>
      </c>
      <c r="O18" s="164"/>
      <c r="P18" s="298">
        <f t="shared" si="9"/>
        <v>0</v>
      </c>
      <c r="Q18" s="298">
        <f t="shared" si="10"/>
        <v>0</v>
      </c>
      <c r="R18" s="298">
        <f t="shared" si="11"/>
        <v>0</v>
      </c>
      <c r="S18" s="298">
        <f t="shared" si="12"/>
        <v>0</v>
      </c>
      <c r="T18" s="277">
        <f>IF('8. WAMKK'!C18=0,0,+S18/'8. WAMKK'!C18)</f>
        <v>0</v>
      </c>
      <c r="U18" s="120"/>
      <c r="V18" s="192">
        <f t="shared" si="4"/>
        <v>0</v>
      </c>
    </row>
    <row r="19" spans="1:22" ht="12.75" customHeight="1" x14ac:dyDescent="0.25">
      <c r="A19" s="14" t="s">
        <v>11</v>
      </c>
      <c r="B19" s="20" t="s">
        <v>6</v>
      </c>
      <c r="C19" s="305">
        <f>5000*12*13</f>
        <v>780000</v>
      </c>
      <c r="D19" s="305">
        <f>5000*12*13</f>
        <v>780000</v>
      </c>
      <c r="E19" s="305">
        <f>237933+542067</f>
        <v>780000</v>
      </c>
      <c r="F19" s="164">
        <v>237933</v>
      </c>
      <c r="G19" s="164"/>
      <c r="H19" s="164">
        <v>0</v>
      </c>
      <c r="I19" s="164">
        <v>542067</v>
      </c>
      <c r="J19" s="164">
        <v>0</v>
      </c>
      <c r="K19" s="164"/>
      <c r="L19" s="589">
        <f t="shared" si="6"/>
        <v>0</v>
      </c>
      <c r="M19" s="589">
        <f t="shared" si="7"/>
        <v>0.69495769230769233</v>
      </c>
      <c r="N19" s="589">
        <f t="shared" si="8"/>
        <v>0</v>
      </c>
      <c r="O19" s="164"/>
      <c r="P19" s="298">
        <f t="shared" si="9"/>
        <v>0</v>
      </c>
      <c r="Q19" s="298">
        <f t="shared" si="10"/>
        <v>0</v>
      </c>
      <c r="R19" s="298">
        <f t="shared" si="11"/>
        <v>-542067</v>
      </c>
      <c r="S19" s="298">
        <f t="shared" si="12"/>
        <v>-542067</v>
      </c>
      <c r="T19" s="277">
        <f>IF('8. WAMKK'!C19=0,0,+S19/'8. WAMKK'!C19)</f>
        <v>-1.8068900000000001</v>
      </c>
      <c r="U19" s="120"/>
      <c r="V19" s="192">
        <f t="shared" si="4"/>
        <v>-542067</v>
      </c>
    </row>
    <row r="20" spans="1:22" ht="12.75" customHeight="1" x14ac:dyDescent="0.25">
      <c r="A20" s="14" t="s">
        <v>12</v>
      </c>
      <c r="B20" s="20" t="s">
        <v>7</v>
      </c>
      <c r="C20" s="305">
        <f>13*40000</f>
        <v>520000</v>
      </c>
      <c r="D20" s="305">
        <f>13*40000</f>
        <v>520000</v>
      </c>
      <c r="E20" s="305">
        <f>13*40000</f>
        <v>520000</v>
      </c>
      <c r="F20" s="164">
        <v>520000</v>
      </c>
      <c r="G20" s="164"/>
      <c r="H20" s="164">
        <v>0</v>
      </c>
      <c r="I20" s="164">
        <v>0</v>
      </c>
      <c r="J20" s="164">
        <v>0</v>
      </c>
      <c r="K20" s="164"/>
      <c r="L20" s="589">
        <f t="shared" si="6"/>
        <v>0</v>
      </c>
      <c r="M20" s="589">
        <f t="shared" si="7"/>
        <v>0</v>
      </c>
      <c r="N20" s="589">
        <f t="shared" si="8"/>
        <v>0</v>
      </c>
      <c r="O20" s="164"/>
      <c r="P20" s="164">
        <f t="shared" si="9"/>
        <v>0</v>
      </c>
      <c r="Q20" s="164">
        <f t="shared" si="10"/>
        <v>0</v>
      </c>
      <c r="R20" s="164">
        <f t="shared" si="11"/>
        <v>0</v>
      </c>
      <c r="S20" s="164">
        <f t="shared" si="12"/>
        <v>0</v>
      </c>
      <c r="T20" s="277">
        <f>IF('8. WAMKK'!C20=0,0,+S20/'8. WAMKK'!C20)</f>
        <v>0</v>
      </c>
      <c r="U20" s="120"/>
      <c r="V20" s="192">
        <f t="shared" si="4"/>
        <v>0</v>
      </c>
    </row>
    <row r="21" spans="1:22" ht="12.75" customHeight="1" x14ac:dyDescent="0.25">
      <c r="A21" s="14" t="s">
        <v>13</v>
      </c>
      <c r="B21" s="20" t="s">
        <v>8</v>
      </c>
      <c r="C21" s="305">
        <v>50000</v>
      </c>
      <c r="D21" s="305">
        <v>50000</v>
      </c>
      <c r="E21" s="305">
        <v>50000</v>
      </c>
      <c r="F21" s="164">
        <v>50000</v>
      </c>
      <c r="G21" s="164"/>
      <c r="H21" s="164">
        <v>13390</v>
      </c>
      <c r="I21" s="164">
        <v>35635</v>
      </c>
      <c r="J21" s="164">
        <v>48155</v>
      </c>
      <c r="K21" s="164"/>
      <c r="L21" s="589">
        <f t="shared" si="6"/>
        <v>0.26779999999999998</v>
      </c>
      <c r="M21" s="589">
        <f t="shared" si="7"/>
        <v>0.7127</v>
      </c>
      <c r="N21" s="589">
        <f t="shared" si="8"/>
        <v>0.96309999999999996</v>
      </c>
      <c r="O21" s="164"/>
      <c r="P21" s="298">
        <f t="shared" si="9"/>
        <v>0</v>
      </c>
      <c r="Q21" s="298">
        <f t="shared" si="10"/>
        <v>0</v>
      </c>
      <c r="R21" s="298">
        <f t="shared" si="11"/>
        <v>0</v>
      </c>
      <c r="S21" s="298">
        <f t="shared" si="12"/>
        <v>0</v>
      </c>
      <c r="T21" s="277">
        <f>IF('8. WAMKK'!C21=0,0,+S21/'8. WAMKK'!C21)</f>
        <v>0</v>
      </c>
      <c r="U21" s="120"/>
      <c r="V21" s="192">
        <f t="shared" si="4"/>
        <v>0</v>
      </c>
    </row>
    <row r="22" spans="1:22" ht="12.75" customHeight="1" x14ac:dyDescent="0.25">
      <c r="A22" s="14" t="s">
        <v>14</v>
      </c>
      <c r="B22" s="20" t="s">
        <v>9</v>
      </c>
      <c r="C22" s="305">
        <v>0</v>
      </c>
      <c r="D22" s="305">
        <v>0</v>
      </c>
      <c r="E22" s="305">
        <v>0</v>
      </c>
      <c r="F22" s="164">
        <v>0</v>
      </c>
      <c r="G22" s="164"/>
      <c r="H22" s="164"/>
      <c r="I22" s="164"/>
      <c r="J22" s="164">
        <v>0</v>
      </c>
      <c r="K22" s="164"/>
      <c r="L22" s="589">
        <f t="shared" si="6"/>
        <v>0</v>
      </c>
      <c r="M22" s="589">
        <f t="shared" si="7"/>
        <v>0</v>
      </c>
      <c r="N22" s="589">
        <f t="shared" si="8"/>
        <v>0</v>
      </c>
      <c r="O22" s="164"/>
      <c r="P22" s="164">
        <f t="shared" si="9"/>
        <v>0</v>
      </c>
      <c r="Q22" s="164">
        <f t="shared" si="10"/>
        <v>0</v>
      </c>
      <c r="R22" s="164">
        <f t="shared" si="11"/>
        <v>0</v>
      </c>
      <c r="S22" s="164">
        <f t="shared" si="12"/>
        <v>0</v>
      </c>
      <c r="T22" s="277">
        <f>IF('8. WAMKK'!C22=0,0,+S22/'8. WAMKK'!C22)</f>
        <v>0</v>
      </c>
      <c r="U22" s="120"/>
      <c r="V22" s="192">
        <f t="shared" si="4"/>
        <v>0</v>
      </c>
    </row>
    <row r="23" spans="1:22" ht="12.75" customHeight="1" x14ac:dyDescent="0.25">
      <c r="A23" s="526" t="s">
        <v>522</v>
      </c>
      <c r="B23" s="479" t="s">
        <v>523</v>
      </c>
      <c r="C23" s="305">
        <v>500000</v>
      </c>
      <c r="D23" s="305">
        <v>500000</v>
      </c>
      <c r="E23" s="305">
        <v>500000</v>
      </c>
      <c r="F23" s="164">
        <f>542067+1041000</f>
        <v>1583067</v>
      </c>
      <c r="G23" s="164"/>
      <c r="H23" s="164">
        <v>107217</v>
      </c>
      <c r="I23" s="164">
        <v>256129</v>
      </c>
      <c r="J23" s="164">
        <f>994088+542067</f>
        <v>1536155</v>
      </c>
      <c r="K23" s="164"/>
      <c r="L23" s="589">
        <f t="shared" si="6"/>
        <v>0.21443400000000001</v>
      </c>
      <c r="M23" s="589">
        <f t="shared" si="7"/>
        <v>0.51225799999999999</v>
      </c>
      <c r="N23" s="589">
        <f t="shared" si="8"/>
        <v>3.0723099999999999</v>
      </c>
      <c r="O23" s="164"/>
      <c r="P23" s="164">
        <f t="shared" si="9"/>
        <v>0</v>
      </c>
      <c r="Q23" s="164">
        <f t="shared" si="10"/>
        <v>0</v>
      </c>
      <c r="R23" s="164">
        <f t="shared" si="11"/>
        <v>1083067</v>
      </c>
      <c r="S23" s="164">
        <f t="shared" si="12"/>
        <v>1083067</v>
      </c>
      <c r="T23" s="277">
        <f>IF('8. WAMKK'!C23=0,0,+S23/'8. WAMKK'!C23)</f>
        <v>4.332268</v>
      </c>
      <c r="U23" s="120"/>
      <c r="V23" s="192">
        <f t="shared" si="4"/>
        <v>1083067</v>
      </c>
    </row>
    <row r="24" spans="1:22" ht="12.75" customHeight="1" x14ac:dyDescent="0.25">
      <c r="A24" s="38" t="s">
        <v>15</v>
      </c>
      <c r="B24" s="39"/>
      <c r="C24" s="713">
        <f>SUM(C25:C27)</f>
        <v>480000</v>
      </c>
      <c r="D24" s="713">
        <f t="shared" ref="D24:J24" si="13">SUM(D25:D27)</f>
        <v>480000</v>
      </c>
      <c r="E24" s="713">
        <f t="shared" si="13"/>
        <v>480000</v>
      </c>
      <c r="F24" s="713">
        <f t="shared" si="13"/>
        <v>661750</v>
      </c>
      <c r="G24" s="713"/>
      <c r="H24" s="713">
        <f t="shared" si="13"/>
        <v>309600</v>
      </c>
      <c r="I24" s="713">
        <f t="shared" si="13"/>
        <v>461350</v>
      </c>
      <c r="J24" s="713">
        <f t="shared" si="13"/>
        <v>660949</v>
      </c>
      <c r="K24" s="164"/>
      <c r="L24" s="714">
        <f t="shared" si="6"/>
        <v>0.64500000000000002</v>
      </c>
      <c r="M24" s="714">
        <f t="shared" si="7"/>
        <v>0.96114583333333337</v>
      </c>
      <c r="N24" s="589">
        <f t="shared" si="8"/>
        <v>1.3769770833333332</v>
      </c>
      <c r="O24" s="164"/>
      <c r="P24" s="164">
        <f t="shared" si="9"/>
        <v>0</v>
      </c>
      <c r="Q24" s="164">
        <f t="shared" si="10"/>
        <v>0</v>
      </c>
      <c r="R24" s="164">
        <f t="shared" si="11"/>
        <v>181750</v>
      </c>
      <c r="S24" s="164">
        <f t="shared" si="12"/>
        <v>181750</v>
      </c>
      <c r="T24" s="277">
        <f>IF('8. WAMKK'!C24=0,0,+S24/'8. WAMKK'!C24)</f>
        <v>0</v>
      </c>
      <c r="U24" s="120"/>
      <c r="V24" s="192">
        <f t="shared" si="4"/>
        <v>181750</v>
      </c>
    </row>
    <row r="25" spans="1:22" ht="12.75" customHeight="1" x14ac:dyDescent="0.25">
      <c r="A25" s="14" t="s">
        <v>16</v>
      </c>
      <c r="B25" s="479" t="s">
        <v>17</v>
      </c>
      <c r="C25" s="713"/>
      <c r="D25" s="552"/>
      <c r="E25" s="552"/>
      <c r="F25" s="552"/>
      <c r="G25" s="552"/>
      <c r="H25" s="552"/>
      <c r="I25" s="552"/>
      <c r="J25" s="164"/>
      <c r="K25" s="164"/>
      <c r="L25" s="589">
        <f t="shared" si="6"/>
        <v>0</v>
      </c>
      <c r="M25" s="589">
        <f t="shared" si="7"/>
        <v>0</v>
      </c>
      <c r="N25" s="589">
        <f t="shared" si="8"/>
        <v>0</v>
      </c>
      <c r="O25" s="164"/>
      <c r="P25" s="164">
        <f t="shared" si="9"/>
        <v>0</v>
      </c>
      <c r="Q25" s="164">
        <f t="shared" si="10"/>
        <v>0</v>
      </c>
      <c r="R25" s="164">
        <f t="shared" si="11"/>
        <v>0</v>
      </c>
      <c r="S25" s="164">
        <f t="shared" si="12"/>
        <v>0</v>
      </c>
      <c r="T25" s="277">
        <f>IF('8. WAMKK'!C25=0,0,+S25/'8. WAMKK'!C25)</f>
        <v>0</v>
      </c>
      <c r="U25" s="120"/>
      <c r="V25" s="192">
        <f t="shared" si="4"/>
        <v>0</v>
      </c>
    </row>
    <row r="26" spans="1:22" ht="12.75" customHeight="1" x14ac:dyDescent="0.25">
      <c r="A26" s="14" t="s">
        <v>18</v>
      </c>
      <c r="B26" s="20" t="s">
        <v>19</v>
      </c>
      <c r="C26" s="305">
        <f>4*10000*12</f>
        <v>480000</v>
      </c>
      <c r="D26" s="164">
        <v>480000</v>
      </c>
      <c r="E26" s="164">
        <v>480000</v>
      </c>
      <c r="F26" s="164">
        <v>661750</v>
      </c>
      <c r="G26" s="164"/>
      <c r="H26" s="164">
        <v>309600</v>
      </c>
      <c r="I26" s="164">
        <v>461350</v>
      </c>
      <c r="J26" s="164">
        <v>660949</v>
      </c>
      <c r="K26" s="164"/>
      <c r="L26" s="589">
        <f t="shared" si="6"/>
        <v>0.64500000000000002</v>
      </c>
      <c r="M26" s="589">
        <f t="shared" si="7"/>
        <v>0.96114583333333337</v>
      </c>
      <c r="N26" s="589">
        <f t="shared" si="8"/>
        <v>1.3769770833333332</v>
      </c>
      <c r="O26" s="164"/>
      <c r="P26" s="164">
        <f t="shared" si="9"/>
        <v>0</v>
      </c>
      <c r="Q26" s="164">
        <f t="shared" si="10"/>
        <v>0</v>
      </c>
      <c r="R26" s="164">
        <f t="shared" si="11"/>
        <v>181750</v>
      </c>
      <c r="S26" s="164">
        <f t="shared" si="12"/>
        <v>181750</v>
      </c>
      <c r="T26" s="277">
        <f>IF('8. WAMKK'!C26=0,0,+S26/'8. WAMKK'!C26)</f>
        <v>0</v>
      </c>
      <c r="U26" s="120"/>
      <c r="V26" s="192">
        <f t="shared" si="4"/>
        <v>181750</v>
      </c>
    </row>
    <row r="27" spans="1:22" ht="12.75" customHeight="1" x14ac:dyDescent="0.25">
      <c r="A27" s="14" t="s">
        <v>20</v>
      </c>
      <c r="B27" s="20" t="s">
        <v>21</v>
      </c>
      <c r="C27" s="305"/>
      <c r="D27" s="164"/>
      <c r="E27" s="164"/>
      <c r="F27" s="164"/>
      <c r="G27" s="164"/>
      <c r="H27" s="164"/>
      <c r="I27" s="164"/>
      <c r="J27" s="164"/>
      <c r="K27" s="164"/>
      <c r="L27" s="589">
        <f t="shared" si="6"/>
        <v>0</v>
      </c>
      <c r="M27" s="589">
        <f t="shared" si="7"/>
        <v>0</v>
      </c>
      <c r="N27" s="589">
        <f t="shared" si="8"/>
        <v>0</v>
      </c>
      <c r="O27" s="164"/>
      <c r="P27" s="164">
        <f t="shared" si="9"/>
        <v>0</v>
      </c>
      <c r="Q27" s="164">
        <f t="shared" si="10"/>
        <v>0</v>
      </c>
      <c r="R27" s="164">
        <f t="shared" si="11"/>
        <v>0</v>
      </c>
      <c r="S27" s="164">
        <f t="shared" si="12"/>
        <v>0</v>
      </c>
      <c r="T27" s="277">
        <f>IF('8. WAMKK'!C27=0,0,+S27/'8. WAMKK'!C27)</f>
        <v>0</v>
      </c>
      <c r="U27" s="120"/>
      <c r="V27" s="192">
        <f t="shared" si="4"/>
        <v>0</v>
      </c>
    </row>
    <row r="28" spans="1:22" ht="12.75" customHeight="1" x14ac:dyDescent="0.25">
      <c r="A28" s="14"/>
      <c r="B28" s="14"/>
      <c r="C28" s="305"/>
      <c r="D28" s="164"/>
      <c r="E28" s="164"/>
      <c r="F28" s="164"/>
      <c r="G28" s="164"/>
      <c r="H28" s="164"/>
      <c r="I28" s="164"/>
      <c r="J28" s="164"/>
      <c r="K28" s="164"/>
      <c r="L28" s="590"/>
      <c r="M28" s="590"/>
      <c r="N28" s="590"/>
      <c r="O28" s="164"/>
      <c r="P28" s="164">
        <f t="shared" si="9"/>
        <v>0</v>
      </c>
      <c r="Q28" s="164">
        <f t="shared" si="10"/>
        <v>0</v>
      </c>
      <c r="R28" s="164">
        <f t="shared" si="11"/>
        <v>0</v>
      </c>
      <c r="S28" s="164">
        <f t="shared" si="12"/>
        <v>0</v>
      </c>
      <c r="T28" s="277">
        <f>IF('8. WAMKK'!C28=0,0,+S28/'8. WAMKK'!C28)</f>
        <v>0</v>
      </c>
      <c r="U28" s="120"/>
      <c r="V28" s="192">
        <f t="shared" si="4"/>
        <v>0</v>
      </c>
    </row>
    <row r="29" spans="1:22" ht="12.75" customHeight="1" x14ac:dyDescent="0.25">
      <c r="A29" s="7" t="s">
        <v>22</v>
      </c>
      <c r="B29" s="5" t="s">
        <v>23</v>
      </c>
      <c r="C29" s="307">
        <f>SUM(C30)</f>
        <v>5600000</v>
      </c>
      <c r="D29" s="307">
        <f>SUM(D30)</f>
        <v>5600000</v>
      </c>
      <c r="E29" s="307">
        <f>SUM(E30)</f>
        <v>5600000</v>
      </c>
      <c r="F29" s="307">
        <f>SUM(F30)</f>
        <v>6065000</v>
      </c>
      <c r="G29" s="307"/>
      <c r="H29" s="307">
        <f>SUM(H30)</f>
        <v>3351913</v>
      </c>
      <c r="I29" s="307">
        <f>+I30</f>
        <v>4719990</v>
      </c>
      <c r="J29" s="307">
        <f>+J30</f>
        <v>6064583</v>
      </c>
      <c r="K29" s="307"/>
      <c r="L29" s="588">
        <f>+H29/C29</f>
        <v>0.59855589285714283</v>
      </c>
      <c r="M29" s="588">
        <f t="shared" ref="M29:N32" si="14">+I29/D29</f>
        <v>0.8428553571428572</v>
      </c>
      <c r="N29" s="588">
        <f t="shared" si="14"/>
        <v>1.0829612500000001</v>
      </c>
      <c r="O29" s="307"/>
      <c r="P29" s="307">
        <f t="shared" si="9"/>
        <v>0</v>
      </c>
      <c r="Q29" s="307">
        <f t="shared" si="10"/>
        <v>0</v>
      </c>
      <c r="R29" s="307">
        <f t="shared" si="11"/>
        <v>465000</v>
      </c>
      <c r="S29" s="307">
        <f t="shared" si="12"/>
        <v>465000</v>
      </c>
      <c r="T29" s="278">
        <f>IF('8. WAMKK'!C29=0,0,+S29/'8. WAMKK'!C29)</f>
        <v>0.155</v>
      </c>
      <c r="U29" s="120"/>
      <c r="V29" s="192">
        <f t="shared" si="4"/>
        <v>465000</v>
      </c>
    </row>
    <row r="30" spans="1:22" ht="12.75" customHeight="1" x14ac:dyDescent="0.25">
      <c r="A30" s="14"/>
      <c r="B30" s="20" t="s">
        <v>24</v>
      </c>
      <c r="C30" s="305">
        <v>5600000</v>
      </c>
      <c r="D30" s="164">
        <v>5600000</v>
      </c>
      <c r="E30" s="164">
        <v>5600000</v>
      </c>
      <c r="F30" s="164">
        <v>6065000</v>
      </c>
      <c r="G30" s="164"/>
      <c r="H30" s="164">
        <v>3351913</v>
      </c>
      <c r="I30" s="164">
        <v>4719990</v>
      </c>
      <c r="J30" s="164">
        <v>6064583</v>
      </c>
      <c r="K30" s="164"/>
      <c r="L30" s="589">
        <f>IF(H30&gt;0,H30/C30,0)</f>
        <v>0.59855589285714283</v>
      </c>
      <c r="M30" s="589">
        <f>IF(I30&gt;0,I30/D30,0)</f>
        <v>0.8428553571428572</v>
      </c>
      <c r="N30" s="589">
        <f>IF(J30&gt;0,J30/E30,0)</f>
        <v>1.0829612500000001</v>
      </c>
      <c r="O30" s="164"/>
      <c r="P30" s="164">
        <f t="shared" si="9"/>
        <v>0</v>
      </c>
      <c r="Q30" s="164">
        <f t="shared" si="10"/>
        <v>0</v>
      </c>
      <c r="R30" s="164">
        <f t="shared" si="11"/>
        <v>465000</v>
      </c>
      <c r="S30" s="164">
        <f t="shared" si="12"/>
        <v>465000</v>
      </c>
      <c r="T30" s="277">
        <f>IF('8. WAMKK'!C30=0,0,+S30/'8. WAMKK'!C30)</f>
        <v>0.155</v>
      </c>
      <c r="U30" s="120"/>
      <c r="V30" s="192">
        <f t="shared" si="4"/>
        <v>465000</v>
      </c>
    </row>
    <row r="31" spans="1:22" ht="12.75" customHeight="1" x14ac:dyDescent="0.25">
      <c r="A31" s="14"/>
      <c r="B31" s="14"/>
      <c r="C31" s="563"/>
      <c r="D31" s="164"/>
      <c r="E31" s="164"/>
      <c r="F31" s="164"/>
      <c r="G31" s="164"/>
      <c r="H31" s="164"/>
      <c r="I31" s="164"/>
      <c r="J31" s="164"/>
      <c r="K31" s="164"/>
      <c r="L31" s="590"/>
      <c r="M31" s="590"/>
      <c r="N31" s="590"/>
      <c r="O31" s="164"/>
      <c r="P31" s="164">
        <f t="shared" si="9"/>
        <v>0</v>
      </c>
      <c r="Q31" s="164">
        <f t="shared" si="10"/>
        <v>0</v>
      </c>
      <c r="R31" s="164">
        <f t="shared" si="11"/>
        <v>0</v>
      </c>
      <c r="S31" s="164">
        <f t="shared" si="12"/>
        <v>0</v>
      </c>
      <c r="T31" s="277">
        <f>IF('8. WAMKK'!C31=0,0,+S31/'8. WAMKK'!C31)</f>
        <v>0</v>
      </c>
      <c r="U31" s="120"/>
      <c r="V31" s="192">
        <f t="shared" si="4"/>
        <v>0</v>
      </c>
    </row>
    <row r="32" spans="1:22" ht="12.75" customHeight="1" x14ac:dyDescent="0.25">
      <c r="A32" s="7" t="s">
        <v>25</v>
      </c>
      <c r="B32" s="5" t="s">
        <v>26</v>
      </c>
      <c r="C32" s="267">
        <f>+C33+C41+C48+C66+C71</f>
        <v>71371000</v>
      </c>
      <c r="D32" s="267">
        <f>+D33+D41+D48+D66+D71</f>
        <v>71371000</v>
      </c>
      <c r="E32" s="267">
        <f>+E33+E41+E48+E66+E71</f>
        <v>71371000</v>
      </c>
      <c r="F32" s="267">
        <f>+F33+F41+F48+F66+F71</f>
        <v>68742000</v>
      </c>
      <c r="G32" s="308"/>
      <c r="H32" s="267">
        <f>+H33+H41+H48+H66+H71</f>
        <v>35582506</v>
      </c>
      <c r="I32" s="267">
        <f>+I33+I41+I48+I66+I71</f>
        <v>44993253</v>
      </c>
      <c r="J32" s="267">
        <f>+J33+J41+J48+J66+J71</f>
        <v>65438408</v>
      </c>
      <c r="K32" s="308"/>
      <c r="L32" s="588">
        <f>+H32/C32</f>
        <v>0.49855692087822784</v>
      </c>
      <c r="M32" s="588">
        <f t="shared" si="14"/>
        <v>0.63041365540625749</v>
      </c>
      <c r="N32" s="588">
        <f t="shared" si="14"/>
        <v>0.91687671463199338</v>
      </c>
      <c r="O32" s="308"/>
      <c r="P32" s="308">
        <f t="shared" si="9"/>
        <v>0</v>
      </c>
      <c r="Q32" s="308">
        <f t="shared" si="10"/>
        <v>0</v>
      </c>
      <c r="R32" s="308">
        <f t="shared" si="11"/>
        <v>-2629000</v>
      </c>
      <c r="S32" s="308">
        <f t="shared" si="12"/>
        <v>-2629000</v>
      </c>
      <c r="T32" s="278">
        <f>IF('8. WAMKK'!C32=0,0,+S32/'8. WAMKK'!C32)</f>
        <v>-0.20080965475099297</v>
      </c>
      <c r="U32" s="120"/>
      <c r="V32" s="192">
        <f t="shared" si="4"/>
        <v>-2629000</v>
      </c>
    </row>
    <row r="33" spans="1:22" s="42" customFormat="1" ht="12.75" customHeight="1" x14ac:dyDescent="0.25">
      <c r="A33" s="38" t="s">
        <v>27</v>
      </c>
      <c r="B33" s="39" t="s">
        <v>28</v>
      </c>
      <c r="C33" s="271">
        <f>SUM(C34:C40)</f>
        <v>55006000</v>
      </c>
      <c r="D33" s="271">
        <f>SUM(D34:D40)</f>
        <v>55006000</v>
      </c>
      <c r="E33" s="271">
        <f>SUM(E34:E40)</f>
        <v>54955323</v>
      </c>
      <c r="F33" s="271">
        <f>SUM(F34:F40)</f>
        <v>53720037</v>
      </c>
      <c r="G33" s="552"/>
      <c r="H33" s="271">
        <f>SUM(H34:H40)</f>
        <v>28160870</v>
      </c>
      <c r="I33" s="271">
        <f>SUM(I34:I40)</f>
        <v>35172371</v>
      </c>
      <c r="J33" s="271">
        <f>SUM(J34:J40)</f>
        <v>51704312</v>
      </c>
      <c r="K33" s="552"/>
      <c r="L33" s="590">
        <f t="shared" ref="L33:L42" si="15">IF(H33&gt;0,H33/C33,0)</f>
        <v>0.51195996800349053</v>
      </c>
      <c r="M33" s="590">
        <f t="shared" ref="M33:M42" si="16">IF(I33&gt;0,I33/D33,0)</f>
        <v>0.63942789877467909</v>
      </c>
      <c r="N33" s="590">
        <f t="shared" ref="N33:N42" si="17">IF(J33&gt;0,J33/E33,0)</f>
        <v>0.94084265504180553</v>
      </c>
      <c r="O33" s="552"/>
      <c r="P33" s="552">
        <f t="shared" si="9"/>
        <v>0</v>
      </c>
      <c r="Q33" s="552">
        <f t="shared" si="10"/>
        <v>-50677</v>
      </c>
      <c r="R33" s="552">
        <f t="shared" si="11"/>
        <v>-1235286</v>
      </c>
      <c r="S33" s="552">
        <f t="shared" si="12"/>
        <v>-1285963</v>
      </c>
      <c r="T33" s="277">
        <f>IF('8. WAMKK'!C33=0,0,+S33/'8. WAMKK'!C33)</f>
        <v>-0.41482677419354841</v>
      </c>
      <c r="U33" s="121"/>
      <c r="V33" s="553">
        <f t="shared" si="4"/>
        <v>-1235286</v>
      </c>
    </row>
    <row r="34" spans="1:22" ht="12.75" customHeight="1" x14ac:dyDescent="0.25">
      <c r="A34" s="14" t="s">
        <v>29</v>
      </c>
      <c r="B34" s="20" t="s">
        <v>31</v>
      </c>
      <c r="C34" s="164">
        <v>6000</v>
      </c>
      <c r="D34" s="164">
        <v>6000</v>
      </c>
      <c r="E34" s="164">
        <v>6000</v>
      </c>
      <c r="F34" s="164">
        <v>6000</v>
      </c>
      <c r="G34" s="164"/>
      <c r="H34" s="164">
        <v>5619</v>
      </c>
      <c r="I34" s="164">
        <v>5619</v>
      </c>
      <c r="J34" s="164">
        <v>5619</v>
      </c>
      <c r="K34" s="164"/>
      <c r="L34" s="591">
        <f t="shared" si="15"/>
        <v>0.9365</v>
      </c>
      <c r="M34" s="591">
        <f t="shared" si="16"/>
        <v>0.9365</v>
      </c>
      <c r="N34" s="591">
        <f t="shared" si="17"/>
        <v>0.9365</v>
      </c>
      <c r="O34" s="164"/>
      <c r="P34" s="164">
        <f t="shared" si="9"/>
        <v>0</v>
      </c>
      <c r="Q34" s="164">
        <f t="shared" si="10"/>
        <v>0</v>
      </c>
      <c r="R34" s="164">
        <f t="shared" si="11"/>
        <v>0</v>
      </c>
      <c r="S34" s="164">
        <f t="shared" si="12"/>
        <v>0</v>
      </c>
      <c r="T34" s="277">
        <f>IF('8. WAMKK'!C34=0,0,+S34/'8. WAMKK'!C34)</f>
        <v>0</v>
      </c>
      <c r="U34" s="120"/>
      <c r="V34" s="192">
        <f t="shared" si="4"/>
        <v>0</v>
      </c>
    </row>
    <row r="35" spans="1:22" ht="12.75" customHeight="1" x14ac:dyDescent="0.25">
      <c r="A35" s="14"/>
      <c r="B35" s="20" t="s">
        <v>85</v>
      </c>
      <c r="C35" s="164"/>
      <c r="D35" s="164"/>
      <c r="E35" s="164"/>
      <c r="F35" s="164"/>
      <c r="G35" s="164"/>
      <c r="H35" s="164"/>
      <c r="I35" s="164"/>
      <c r="J35" s="164"/>
      <c r="K35" s="164"/>
      <c r="L35" s="591">
        <f t="shared" si="15"/>
        <v>0</v>
      </c>
      <c r="M35" s="591">
        <f t="shared" si="16"/>
        <v>0</v>
      </c>
      <c r="N35" s="591">
        <f t="shared" si="17"/>
        <v>0</v>
      </c>
      <c r="O35" s="164"/>
      <c r="P35" s="164">
        <f t="shared" si="9"/>
        <v>0</v>
      </c>
      <c r="Q35" s="164">
        <f t="shared" si="10"/>
        <v>0</v>
      </c>
      <c r="R35" s="164">
        <f t="shared" si="11"/>
        <v>0</v>
      </c>
      <c r="S35" s="164">
        <f t="shared" si="12"/>
        <v>0</v>
      </c>
      <c r="T35" s="277">
        <f>IF('8. WAMKK'!C35=0,0,+S35/'8. WAMKK'!C35)</f>
        <v>0</v>
      </c>
      <c r="U35" s="120"/>
      <c r="V35" s="192">
        <f t="shared" si="4"/>
        <v>0</v>
      </c>
    </row>
    <row r="36" spans="1:22" ht="12.75" customHeight="1" x14ac:dyDescent="0.25">
      <c r="A36" s="14" t="s">
        <v>30</v>
      </c>
      <c r="B36" s="20" t="s">
        <v>32</v>
      </c>
      <c r="C36" s="559">
        <v>55000000</v>
      </c>
      <c r="D36" s="550">
        <v>55000000</v>
      </c>
      <c r="E36" s="164">
        <v>54949323</v>
      </c>
      <c r="F36" s="164">
        <v>53714037</v>
      </c>
      <c r="G36" s="164"/>
      <c r="H36" s="164">
        <v>28155251</v>
      </c>
      <c r="I36" s="164">
        <v>35166752</v>
      </c>
      <c r="J36" s="164">
        <v>51698693</v>
      </c>
      <c r="K36" s="164"/>
      <c r="L36" s="591">
        <f t="shared" si="15"/>
        <v>0.51191365454545457</v>
      </c>
      <c r="M36" s="591">
        <f t="shared" si="16"/>
        <v>0.63939549090909087</v>
      </c>
      <c r="N36" s="591">
        <f t="shared" si="17"/>
        <v>0.94084312922290236</v>
      </c>
      <c r="O36" s="164"/>
      <c r="P36" s="164">
        <f t="shared" si="9"/>
        <v>0</v>
      </c>
      <c r="Q36" s="164">
        <f t="shared" si="10"/>
        <v>-50677</v>
      </c>
      <c r="R36" s="164">
        <f t="shared" si="11"/>
        <v>-1235286</v>
      </c>
      <c r="S36" s="164">
        <f t="shared" si="12"/>
        <v>-1285963</v>
      </c>
      <c r="T36" s="277">
        <f>IF('8. WAMKK'!C36=0,0,+S36/'8. WAMKK'!C36)</f>
        <v>-0.61236333333333337</v>
      </c>
      <c r="U36" s="120"/>
      <c r="V36" s="192">
        <f t="shared" si="4"/>
        <v>-1235286</v>
      </c>
    </row>
    <row r="37" spans="1:22" ht="12.75" customHeight="1" x14ac:dyDescent="0.25">
      <c r="A37" s="14"/>
      <c r="B37" s="20" t="s">
        <v>101</v>
      </c>
      <c r="C37" s="164"/>
      <c r="D37" s="164"/>
      <c r="E37" s="164"/>
      <c r="F37" s="164"/>
      <c r="G37" s="164"/>
      <c r="H37" s="164"/>
      <c r="I37" s="164"/>
      <c r="J37" s="164"/>
      <c r="K37" s="164"/>
      <c r="L37" s="591">
        <f t="shared" si="15"/>
        <v>0</v>
      </c>
      <c r="M37" s="591">
        <f t="shared" si="16"/>
        <v>0</v>
      </c>
      <c r="N37" s="591">
        <f t="shared" si="17"/>
        <v>0</v>
      </c>
      <c r="O37" s="164"/>
      <c r="P37" s="164">
        <f t="shared" si="9"/>
        <v>0</v>
      </c>
      <c r="Q37" s="164">
        <f t="shared" si="10"/>
        <v>0</v>
      </c>
      <c r="R37" s="164">
        <f t="shared" si="11"/>
        <v>0</v>
      </c>
      <c r="S37" s="164">
        <f t="shared" si="12"/>
        <v>0</v>
      </c>
      <c r="T37" s="277">
        <f>IF('8. WAMKK'!C37=0,0,+S37/'8. WAMKK'!C37)</f>
        <v>0</v>
      </c>
      <c r="U37" s="120"/>
      <c r="V37" s="192">
        <f t="shared" si="4"/>
        <v>0</v>
      </c>
    </row>
    <row r="38" spans="1:22" ht="12.75" customHeight="1" x14ac:dyDescent="0.25">
      <c r="A38" s="14"/>
      <c r="B38" s="20" t="s">
        <v>91</v>
      </c>
      <c r="C38" s="164"/>
      <c r="D38" s="164"/>
      <c r="E38" s="164"/>
      <c r="F38" s="164"/>
      <c r="G38" s="164"/>
      <c r="H38" s="164"/>
      <c r="I38" s="164"/>
      <c r="J38" s="164"/>
      <c r="K38" s="164"/>
      <c r="L38" s="591">
        <f t="shared" si="15"/>
        <v>0</v>
      </c>
      <c r="M38" s="591">
        <f t="shared" si="16"/>
        <v>0</v>
      </c>
      <c r="N38" s="591">
        <f t="shared" si="17"/>
        <v>0</v>
      </c>
      <c r="O38" s="164"/>
      <c r="P38" s="164">
        <f t="shared" si="9"/>
        <v>0</v>
      </c>
      <c r="Q38" s="164">
        <f t="shared" si="10"/>
        <v>0</v>
      </c>
      <c r="R38" s="164">
        <f t="shared" si="11"/>
        <v>0</v>
      </c>
      <c r="S38" s="164">
        <f t="shared" si="12"/>
        <v>0</v>
      </c>
      <c r="T38" s="277">
        <f>IF('8. WAMKK'!C38=0,0,+S38/'8. WAMKK'!C38)</f>
        <v>0</v>
      </c>
      <c r="U38" s="120"/>
      <c r="V38" s="192">
        <f t="shared" si="4"/>
        <v>0</v>
      </c>
    </row>
    <row r="39" spans="1:22" ht="12.75" customHeight="1" x14ac:dyDescent="0.25">
      <c r="A39" s="14"/>
      <c r="B39" s="20" t="s">
        <v>90</v>
      </c>
      <c r="C39" s="164"/>
      <c r="D39" s="164"/>
      <c r="E39" s="164"/>
      <c r="F39" s="164"/>
      <c r="G39" s="164"/>
      <c r="H39" s="164"/>
      <c r="I39" s="164"/>
      <c r="J39" s="164"/>
      <c r="K39" s="164"/>
      <c r="L39" s="591">
        <f t="shared" si="15"/>
        <v>0</v>
      </c>
      <c r="M39" s="591">
        <f t="shared" si="16"/>
        <v>0</v>
      </c>
      <c r="N39" s="591">
        <f t="shared" si="17"/>
        <v>0</v>
      </c>
      <c r="O39" s="164"/>
      <c r="P39" s="164">
        <f t="shared" si="9"/>
        <v>0</v>
      </c>
      <c r="Q39" s="164">
        <f t="shared" si="10"/>
        <v>0</v>
      </c>
      <c r="R39" s="164">
        <f t="shared" si="11"/>
        <v>0</v>
      </c>
      <c r="S39" s="164">
        <f t="shared" si="12"/>
        <v>0</v>
      </c>
      <c r="T39" s="277">
        <f>IF('8. WAMKK'!C39=0,0,+S39/'8. WAMKK'!C39)</f>
        <v>0</v>
      </c>
      <c r="U39" s="120"/>
      <c r="V39" s="192">
        <f t="shared" si="4"/>
        <v>0</v>
      </c>
    </row>
    <row r="40" spans="1:22" ht="12.75" customHeight="1" x14ac:dyDescent="0.25">
      <c r="A40" s="14"/>
      <c r="B40" s="20" t="s">
        <v>89</v>
      </c>
      <c r="C40" s="164"/>
      <c r="D40" s="164"/>
      <c r="E40" s="164"/>
      <c r="F40" s="164"/>
      <c r="G40" s="164"/>
      <c r="H40" s="164"/>
      <c r="I40" s="164"/>
      <c r="J40" s="164"/>
      <c r="K40" s="164"/>
      <c r="L40" s="591">
        <f t="shared" si="15"/>
        <v>0</v>
      </c>
      <c r="M40" s="591">
        <f t="shared" si="16"/>
        <v>0</v>
      </c>
      <c r="N40" s="591">
        <f t="shared" si="17"/>
        <v>0</v>
      </c>
      <c r="O40" s="164"/>
      <c r="P40" s="164">
        <f t="shared" si="9"/>
        <v>0</v>
      </c>
      <c r="Q40" s="164">
        <f t="shared" si="10"/>
        <v>0</v>
      </c>
      <c r="R40" s="164">
        <f t="shared" si="11"/>
        <v>0</v>
      </c>
      <c r="S40" s="164">
        <f t="shared" si="12"/>
        <v>0</v>
      </c>
      <c r="T40" s="277">
        <f>IF('8. WAMKK'!C40=0,0,+S40/'8. WAMKK'!C40)</f>
        <v>0</v>
      </c>
      <c r="U40" s="120"/>
      <c r="V40" s="192">
        <f t="shared" si="4"/>
        <v>0</v>
      </c>
    </row>
    <row r="41" spans="1:22" s="42" customFormat="1" ht="12.75" customHeight="1" x14ac:dyDescent="0.25">
      <c r="A41" s="38" t="s">
        <v>33</v>
      </c>
      <c r="B41" s="39" t="s">
        <v>34</v>
      </c>
      <c r="C41" s="271">
        <f>SUM(C42:C47)</f>
        <v>60000</v>
      </c>
      <c r="D41" s="271">
        <f>SUM(D42:D47)</f>
        <v>80630</v>
      </c>
      <c r="E41" s="271">
        <f>SUM(E42:E47)</f>
        <v>80630</v>
      </c>
      <c r="F41" s="271">
        <f>SUM(F42:F47)</f>
        <v>80630</v>
      </c>
      <c r="G41" s="552"/>
      <c r="H41" s="271">
        <f>SUM(H42:H47)</f>
        <v>46617</v>
      </c>
      <c r="I41" s="271">
        <f>SUM(I42:I47)</f>
        <v>57832</v>
      </c>
      <c r="J41" s="271">
        <f>SUM(J42:J47)</f>
        <v>68572</v>
      </c>
      <c r="K41" s="552"/>
      <c r="L41" s="592">
        <f t="shared" si="15"/>
        <v>0.77695000000000003</v>
      </c>
      <c r="M41" s="592">
        <f t="shared" si="16"/>
        <v>0.71725164330894209</v>
      </c>
      <c r="N41" s="592">
        <f t="shared" si="17"/>
        <v>0.85045268510479965</v>
      </c>
      <c r="O41" s="552"/>
      <c r="P41" s="552">
        <f t="shared" si="9"/>
        <v>20630</v>
      </c>
      <c r="Q41" s="552">
        <f t="shared" si="10"/>
        <v>0</v>
      </c>
      <c r="R41" s="552">
        <f t="shared" si="11"/>
        <v>0</v>
      </c>
      <c r="S41" s="552">
        <f t="shared" si="12"/>
        <v>20630</v>
      </c>
      <c r="T41" s="277">
        <f>IF('8. WAMKK'!C41=0,0,+S41/'8. WAMKK'!C41)</f>
        <v>0</v>
      </c>
      <c r="U41" s="121"/>
      <c r="V41" s="553">
        <f t="shared" si="4"/>
        <v>0</v>
      </c>
    </row>
    <row r="42" spans="1:22" ht="12.75" customHeight="1" x14ac:dyDescent="0.25">
      <c r="A42" s="14" t="s">
        <v>35</v>
      </c>
      <c r="B42" s="20" t="s">
        <v>36</v>
      </c>
      <c r="C42" s="164">
        <v>0</v>
      </c>
      <c r="D42" s="164">
        <v>20630</v>
      </c>
      <c r="E42" s="164">
        <v>20630</v>
      </c>
      <c r="F42" s="164">
        <v>20630</v>
      </c>
      <c r="G42" s="164"/>
      <c r="H42" s="164">
        <v>20630</v>
      </c>
      <c r="I42" s="164">
        <v>20630</v>
      </c>
      <c r="J42" s="164">
        <v>20630</v>
      </c>
      <c r="K42" s="164"/>
      <c r="L42" s="591" t="e">
        <f t="shared" si="15"/>
        <v>#DIV/0!</v>
      </c>
      <c r="M42" s="591">
        <f t="shared" si="16"/>
        <v>1</v>
      </c>
      <c r="N42" s="591">
        <f t="shared" si="17"/>
        <v>1</v>
      </c>
      <c r="O42" s="164"/>
      <c r="P42" s="164">
        <f t="shared" si="9"/>
        <v>20630</v>
      </c>
      <c r="Q42" s="164">
        <f t="shared" si="10"/>
        <v>0</v>
      </c>
      <c r="R42" s="164">
        <f t="shared" si="11"/>
        <v>0</v>
      </c>
      <c r="S42" s="164">
        <f t="shared" si="12"/>
        <v>20630</v>
      </c>
      <c r="T42" s="277">
        <f>IF('8. WAMKK'!C42=0,0,+S42/'8. WAMKK'!C42)</f>
        <v>0</v>
      </c>
      <c r="U42" s="120"/>
      <c r="V42" s="192">
        <f t="shared" si="4"/>
        <v>0</v>
      </c>
    </row>
    <row r="43" spans="1:22" ht="25.5" customHeight="1" x14ac:dyDescent="0.25">
      <c r="A43" s="14"/>
      <c r="B43" s="20" t="s">
        <v>37</v>
      </c>
      <c r="C43" s="164"/>
      <c r="D43" s="164"/>
      <c r="E43" s="164"/>
      <c r="F43" s="164"/>
      <c r="G43" s="164"/>
      <c r="H43" s="164"/>
      <c r="I43" s="164"/>
      <c r="J43" s="164"/>
      <c r="K43" s="164"/>
      <c r="L43" s="591">
        <f t="shared" ref="L43:L50" si="18">IF(H43&gt;0,H43/C43,0)</f>
        <v>0</v>
      </c>
      <c r="M43" s="591">
        <f t="shared" ref="M43:M50" si="19">IF(I43&gt;0,I43/D43,0)</f>
        <v>0</v>
      </c>
      <c r="N43" s="591">
        <f t="shared" ref="N43:N50" si="20">IF(J43&gt;0,J43/E43,0)</f>
        <v>0</v>
      </c>
      <c r="O43" s="164"/>
      <c r="P43" s="164">
        <f t="shared" si="9"/>
        <v>0</v>
      </c>
      <c r="Q43" s="164">
        <f t="shared" si="10"/>
        <v>0</v>
      </c>
      <c r="R43" s="164">
        <f t="shared" si="11"/>
        <v>0</v>
      </c>
      <c r="S43" s="164">
        <f t="shared" si="12"/>
        <v>0</v>
      </c>
      <c r="T43" s="277">
        <f>IF('8. WAMKK'!C43=0,0,+S43/'8. WAMKK'!C43)</f>
        <v>0</v>
      </c>
      <c r="U43" s="120"/>
      <c r="V43" s="192">
        <f t="shared" si="4"/>
        <v>0</v>
      </c>
    </row>
    <row r="44" spans="1:22" ht="12.75" customHeight="1" x14ac:dyDescent="0.25">
      <c r="A44" s="14"/>
      <c r="B44" s="20" t="s">
        <v>38</v>
      </c>
      <c r="C44" s="164"/>
      <c r="D44" s="164"/>
      <c r="E44" s="164"/>
      <c r="F44" s="164"/>
      <c r="G44" s="164"/>
      <c r="H44" s="164"/>
      <c r="I44" s="164"/>
      <c r="J44" s="164"/>
      <c r="K44" s="164"/>
      <c r="L44" s="591">
        <f t="shared" si="18"/>
        <v>0</v>
      </c>
      <c r="M44" s="591">
        <f t="shared" si="19"/>
        <v>0</v>
      </c>
      <c r="N44" s="591">
        <f t="shared" si="20"/>
        <v>0</v>
      </c>
      <c r="O44" s="164"/>
      <c r="P44" s="164">
        <f t="shared" si="9"/>
        <v>0</v>
      </c>
      <c r="Q44" s="164">
        <f t="shared" si="10"/>
        <v>0</v>
      </c>
      <c r="R44" s="164">
        <f t="shared" si="11"/>
        <v>0</v>
      </c>
      <c r="S44" s="164">
        <f t="shared" si="12"/>
        <v>0</v>
      </c>
      <c r="T44" s="277">
        <f>IF('8. WAMKK'!C44=0,0,+S44/'8. WAMKK'!C44)</f>
        <v>0</v>
      </c>
      <c r="U44" s="120"/>
      <c r="V44" s="192">
        <f t="shared" si="4"/>
        <v>0</v>
      </c>
    </row>
    <row r="45" spans="1:22" ht="12.75" customHeight="1" x14ac:dyDescent="0.25">
      <c r="A45" s="14"/>
      <c r="B45" s="20" t="s">
        <v>39</v>
      </c>
      <c r="C45" s="164"/>
      <c r="D45" s="164"/>
      <c r="E45" s="164"/>
      <c r="F45" s="164"/>
      <c r="G45" s="164"/>
      <c r="H45" s="164"/>
      <c r="I45" s="164"/>
      <c r="J45" s="164"/>
      <c r="K45" s="164"/>
      <c r="L45" s="591">
        <f t="shared" si="18"/>
        <v>0</v>
      </c>
      <c r="M45" s="591">
        <f t="shared" si="19"/>
        <v>0</v>
      </c>
      <c r="N45" s="591">
        <f t="shared" si="20"/>
        <v>0</v>
      </c>
      <c r="O45" s="164"/>
      <c r="P45" s="164">
        <f t="shared" si="9"/>
        <v>0</v>
      </c>
      <c r="Q45" s="164">
        <f t="shared" si="10"/>
        <v>0</v>
      </c>
      <c r="R45" s="164">
        <f t="shared" si="11"/>
        <v>0</v>
      </c>
      <c r="S45" s="164">
        <f t="shared" si="12"/>
        <v>0</v>
      </c>
      <c r="T45" s="277">
        <f>IF('8. WAMKK'!C45=0,0,+S45/'8. WAMKK'!C45)</f>
        <v>0</v>
      </c>
      <c r="U45" s="120"/>
      <c r="V45" s="192">
        <f t="shared" si="4"/>
        <v>0</v>
      </c>
    </row>
    <row r="46" spans="1:22" ht="12.75" customHeight="1" x14ac:dyDescent="0.25">
      <c r="A46" s="14" t="s">
        <v>40</v>
      </c>
      <c r="B46" s="20" t="s">
        <v>41</v>
      </c>
      <c r="C46" s="164">
        <v>60000</v>
      </c>
      <c r="D46" s="164">
        <v>60000</v>
      </c>
      <c r="E46" s="164">
        <v>60000</v>
      </c>
      <c r="F46" s="164">
        <v>60000</v>
      </c>
      <c r="G46" s="164"/>
      <c r="H46" s="164">
        <v>25987</v>
      </c>
      <c r="I46" s="164">
        <v>37202</v>
      </c>
      <c r="J46" s="164">
        <v>47942</v>
      </c>
      <c r="K46" s="164"/>
      <c r="L46" s="591">
        <f t="shared" si="18"/>
        <v>0.43311666666666665</v>
      </c>
      <c r="M46" s="591">
        <f t="shared" si="19"/>
        <v>0.62003333333333333</v>
      </c>
      <c r="N46" s="591">
        <f t="shared" si="20"/>
        <v>0.79903333333333337</v>
      </c>
      <c r="O46" s="164"/>
      <c r="P46" s="164">
        <f t="shared" si="9"/>
        <v>0</v>
      </c>
      <c r="Q46" s="164">
        <f t="shared" si="10"/>
        <v>0</v>
      </c>
      <c r="R46" s="164">
        <f t="shared" si="11"/>
        <v>0</v>
      </c>
      <c r="S46" s="164">
        <f t="shared" si="12"/>
        <v>0</v>
      </c>
      <c r="T46" s="277">
        <f>IF('8. WAMKK'!C46=0,0,+S46/'8. WAMKK'!C46)</f>
        <v>0</v>
      </c>
      <c r="U46" s="120"/>
      <c r="V46" s="192">
        <f t="shared" si="4"/>
        <v>0</v>
      </c>
    </row>
    <row r="47" spans="1:22" ht="12.75" customHeight="1" x14ac:dyDescent="0.25">
      <c r="A47" s="14"/>
      <c r="B47" s="20" t="s">
        <v>42</v>
      </c>
      <c r="C47" s="164"/>
      <c r="D47" s="164"/>
      <c r="E47" s="164"/>
      <c r="F47" s="164"/>
      <c r="G47" s="164"/>
      <c r="H47" s="164"/>
      <c r="I47" s="164"/>
      <c r="J47" s="164"/>
      <c r="K47" s="164"/>
      <c r="L47" s="591">
        <f t="shared" si="18"/>
        <v>0</v>
      </c>
      <c r="M47" s="591">
        <f t="shared" si="19"/>
        <v>0</v>
      </c>
      <c r="N47" s="591">
        <f t="shared" si="20"/>
        <v>0</v>
      </c>
      <c r="O47" s="164"/>
      <c r="P47" s="164">
        <f t="shared" si="9"/>
        <v>0</v>
      </c>
      <c r="Q47" s="164">
        <f t="shared" si="10"/>
        <v>0</v>
      </c>
      <c r="R47" s="164">
        <f t="shared" si="11"/>
        <v>0</v>
      </c>
      <c r="S47" s="164">
        <f t="shared" si="12"/>
        <v>0</v>
      </c>
      <c r="T47" s="277">
        <f>IF('8. WAMKK'!C47=0,0,+S47/'8. WAMKK'!C47)</f>
        <v>0</v>
      </c>
      <c r="U47" s="120"/>
      <c r="V47" s="192">
        <f t="shared" si="4"/>
        <v>0</v>
      </c>
    </row>
    <row r="48" spans="1:22" s="42" customFormat="1" ht="12.75" customHeight="1" x14ac:dyDescent="0.25">
      <c r="A48" s="38" t="s">
        <v>43</v>
      </c>
      <c r="B48" s="39" t="s">
        <v>44</v>
      </c>
      <c r="C48" s="271">
        <f>SUM(C49:C65)</f>
        <v>2500000</v>
      </c>
      <c r="D48" s="271">
        <f>SUM(D49:D65)</f>
        <v>2479370</v>
      </c>
      <c r="E48" s="271">
        <f>SUM(E49:E65)</f>
        <v>2530047</v>
      </c>
      <c r="F48" s="271">
        <f>SUM(F49:F65)</f>
        <v>2806333</v>
      </c>
      <c r="G48" s="552"/>
      <c r="H48" s="271">
        <f>SUM(H49:H65)</f>
        <v>1634529</v>
      </c>
      <c r="I48" s="271">
        <f>SUM(I49:I65)</f>
        <v>2225864</v>
      </c>
      <c r="J48" s="271">
        <f>SUM(J49:J65)</f>
        <v>2729201</v>
      </c>
      <c r="K48" s="552"/>
      <c r="L48" s="599">
        <f t="shared" si="18"/>
        <v>0.65381160000000005</v>
      </c>
      <c r="M48" s="599">
        <f t="shared" si="19"/>
        <v>0.89775386489309783</v>
      </c>
      <c r="N48" s="599">
        <f t="shared" si="20"/>
        <v>1.078715533743049</v>
      </c>
      <c r="O48" s="552"/>
      <c r="P48" s="552">
        <f>SUM(P49:P65)</f>
        <v>-20630</v>
      </c>
      <c r="Q48" s="552">
        <f>SUM(Q49:Q65)</f>
        <v>50677</v>
      </c>
      <c r="R48" s="552">
        <f>SUM(R49:R65)</f>
        <v>276286</v>
      </c>
      <c r="S48" s="552">
        <f t="shared" si="12"/>
        <v>306333</v>
      </c>
      <c r="T48" s="277">
        <f>IF('8. WAMKK'!C48=0,0,+S48/'8. WAMKK'!C48)</f>
        <v>3.6468214285714284E-2</v>
      </c>
      <c r="U48" s="121"/>
      <c r="V48" s="553">
        <f t="shared" si="4"/>
        <v>276286</v>
      </c>
    </row>
    <row r="49" spans="1:22" ht="12.75" customHeight="1" x14ac:dyDescent="0.25">
      <c r="A49" s="14" t="s">
        <v>45</v>
      </c>
      <c r="B49" s="20" t="s">
        <v>46</v>
      </c>
      <c r="C49" s="164">
        <v>700000</v>
      </c>
      <c r="D49" s="164">
        <v>700000</v>
      </c>
      <c r="E49" s="164">
        <v>700000</v>
      </c>
      <c r="F49" s="164">
        <v>770000</v>
      </c>
      <c r="G49" s="164"/>
      <c r="H49" s="164">
        <v>400604</v>
      </c>
      <c r="I49" s="164">
        <v>583040</v>
      </c>
      <c r="J49" s="164">
        <v>767395</v>
      </c>
      <c r="K49" s="164"/>
      <c r="L49" s="591">
        <f t="shared" si="18"/>
        <v>0.57229142857142856</v>
      </c>
      <c r="M49" s="591">
        <f t="shared" si="19"/>
        <v>0.83291428571428572</v>
      </c>
      <c r="N49" s="591">
        <f t="shared" si="20"/>
        <v>1.0962785714285714</v>
      </c>
      <c r="O49" s="164"/>
      <c r="P49" s="164">
        <f t="shared" si="9"/>
        <v>0</v>
      </c>
      <c r="Q49" s="164">
        <f t="shared" si="10"/>
        <v>0</v>
      </c>
      <c r="R49" s="164">
        <f t="shared" si="11"/>
        <v>70000</v>
      </c>
      <c r="S49" s="164">
        <f t="shared" si="12"/>
        <v>70000</v>
      </c>
      <c r="T49" s="277">
        <f>IF('8. WAMKK'!C49=0,0,+S49/'8. WAMKK'!C49)</f>
        <v>2.8000000000000001E-2</v>
      </c>
      <c r="U49" s="120"/>
      <c r="V49" s="192">
        <f t="shared" si="4"/>
        <v>70000</v>
      </c>
    </row>
    <row r="50" spans="1:22" ht="12.75" customHeight="1" x14ac:dyDescent="0.25">
      <c r="A50" s="14" t="s">
        <v>99</v>
      </c>
      <c r="B50" s="20" t="s">
        <v>93</v>
      </c>
      <c r="C50" s="164"/>
      <c r="D50" s="164"/>
      <c r="E50" s="164"/>
      <c r="F50" s="164"/>
      <c r="G50" s="164"/>
      <c r="H50" s="164"/>
      <c r="I50" s="164"/>
      <c r="J50" s="164"/>
      <c r="K50" s="164"/>
      <c r="L50" s="591">
        <f t="shared" si="18"/>
        <v>0</v>
      </c>
      <c r="M50" s="591">
        <f t="shared" si="19"/>
        <v>0</v>
      </c>
      <c r="N50" s="591">
        <f t="shared" si="20"/>
        <v>0</v>
      </c>
      <c r="O50" s="164"/>
      <c r="P50" s="164">
        <f t="shared" si="9"/>
        <v>0</v>
      </c>
      <c r="Q50" s="164">
        <f t="shared" si="10"/>
        <v>0</v>
      </c>
      <c r="R50" s="164">
        <f t="shared" si="11"/>
        <v>0</v>
      </c>
      <c r="S50" s="164">
        <f t="shared" si="12"/>
        <v>0</v>
      </c>
      <c r="T50" s="277">
        <f>IF('8. WAMKK'!C50=0,0,+S50/'8. WAMKK'!C50)</f>
        <v>0</v>
      </c>
      <c r="U50" s="120"/>
      <c r="V50" s="192">
        <f t="shared" si="4"/>
        <v>0</v>
      </c>
    </row>
    <row r="51" spans="1:22" ht="12.75" customHeight="1" x14ac:dyDescent="0.25">
      <c r="A51" s="14"/>
      <c r="B51" s="20" t="s">
        <v>94</v>
      </c>
      <c r="C51" s="164"/>
      <c r="D51" s="164"/>
      <c r="E51" s="164"/>
      <c r="F51" s="164"/>
      <c r="G51" s="164"/>
      <c r="H51" s="164"/>
      <c r="I51" s="164"/>
      <c r="J51" s="164"/>
      <c r="K51" s="164"/>
      <c r="L51" s="591">
        <f t="shared" ref="L51:L65" si="21">IF(H51&gt;0,H51/C51,0)</f>
        <v>0</v>
      </c>
      <c r="M51" s="591">
        <f t="shared" ref="M51:M65" si="22">IF(I51&gt;0,I51/D51,0)</f>
        <v>0</v>
      </c>
      <c r="N51" s="591">
        <f t="shared" ref="N51:N65" si="23">IF(J51&gt;0,J51/E51,0)</f>
        <v>0</v>
      </c>
      <c r="O51" s="164"/>
      <c r="P51" s="164">
        <f t="shared" si="9"/>
        <v>0</v>
      </c>
      <c r="Q51" s="164">
        <f t="shared" si="10"/>
        <v>0</v>
      </c>
      <c r="R51" s="164">
        <f t="shared" si="11"/>
        <v>0</v>
      </c>
      <c r="S51" s="164">
        <f t="shared" si="12"/>
        <v>0</v>
      </c>
      <c r="T51" s="277">
        <f>IF('8. WAMKK'!C51=0,0,+S51/'8. WAMKK'!C51)</f>
        <v>0</v>
      </c>
      <c r="U51" s="120"/>
      <c r="V51" s="192">
        <f t="shared" si="4"/>
        <v>0</v>
      </c>
    </row>
    <row r="52" spans="1:22" ht="12.75" customHeight="1" x14ac:dyDescent="0.25">
      <c r="A52" s="14"/>
      <c r="B52" s="20" t="s">
        <v>95</v>
      </c>
      <c r="C52" s="164"/>
      <c r="D52" s="164"/>
      <c r="E52" s="164"/>
      <c r="F52" s="164"/>
      <c r="G52" s="164"/>
      <c r="H52" s="164"/>
      <c r="I52" s="164"/>
      <c r="J52" s="164"/>
      <c r="K52" s="164"/>
      <c r="L52" s="591">
        <f t="shared" si="21"/>
        <v>0</v>
      </c>
      <c r="M52" s="591">
        <f t="shared" si="22"/>
        <v>0</v>
      </c>
      <c r="N52" s="591">
        <f t="shared" si="23"/>
        <v>0</v>
      </c>
      <c r="O52" s="164"/>
      <c r="P52" s="164">
        <f t="shared" si="9"/>
        <v>0</v>
      </c>
      <c r="Q52" s="164">
        <f t="shared" si="10"/>
        <v>0</v>
      </c>
      <c r="R52" s="164">
        <f t="shared" si="11"/>
        <v>0</v>
      </c>
      <c r="S52" s="164">
        <f t="shared" si="12"/>
        <v>0</v>
      </c>
      <c r="T52" s="277">
        <f>IF('8. WAMKK'!C52=0,0,+S52/'8. WAMKK'!C52)</f>
        <v>0</v>
      </c>
      <c r="U52" s="120"/>
      <c r="V52" s="192">
        <f t="shared" si="4"/>
        <v>0</v>
      </c>
    </row>
    <row r="53" spans="1:22" ht="12.75" customHeight="1" x14ac:dyDescent="0.25">
      <c r="A53" s="14" t="s">
        <v>47</v>
      </c>
      <c r="B53" s="20" t="s">
        <v>48</v>
      </c>
      <c r="C53" s="164">
        <v>0</v>
      </c>
      <c r="D53" s="164">
        <v>0</v>
      </c>
      <c r="E53" s="164">
        <v>0</v>
      </c>
      <c r="F53" s="164">
        <v>0</v>
      </c>
      <c r="G53" s="164"/>
      <c r="H53" s="164">
        <v>0</v>
      </c>
      <c r="I53" s="164">
        <v>0</v>
      </c>
      <c r="J53" s="164">
        <v>0</v>
      </c>
      <c r="K53" s="164"/>
      <c r="L53" s="591">
        <f t="shared" si="21"/>
        <v>0</v>
      </c>
      <c r="M53" s="591">
        <f t="shared" si="22"/>
        <v>0</v>
      </c>
      <c r="N53" s="591">
        <f t="shared" si="23"/>
        <v>0</v>
      </c>
      <c r="O53" s="164"/>
      <c r="P53" s="164">
        <f t="shared" si="9"/>
        <v>0</v>
      </c>
      <c r="Q53" s="164">
        <f t="shared" si="10"/>
        <v>0</v>
      </c>
      <c r="R53" s="164">
        <f t="shared" si="11"/>
        <v>0</v>
      </c>
      <c r="S53" s="164">
        <f t="shared" si="12"/>
        <v>0</v>
      </c>
      <c r="T53" s="277">
        <f>IF('8. WAMKK'!C53=0,0,+S53/'8. WAMKK'!C53)</f>
        <v>0</v>
      </c>
      <c r="U53" s="120"/>
      <c r="V53" s="192">
        <f t="shared" si="4"/>
        <v>0</v>
      </c>
    </row>
    <row r="54" spans="1:22" ht="12.75" customHeight="1" x14ac:dyDescent="0.25">
      <c r="A54" s="14"/>
      <c r="B54" s="20" t="s">
        <v>86</v>
      </c>
      <c r="C54" s="164"/>
      <c r="D54" s="164"/>
      <c r="E54" s="164"/>
      <c r="F54" s="164"/>
      <c r="G54" s="164"/>
      <c r="H54" s="164"/>
      <c r="I54" s="164"/>
      <c r="J54" s="164"/>
      <c r="K54" s="164"/>
      <c r="L54" s="591">
        <f t="shared" si="21"/>
        <v>0</v>
      </c>
      <c r="M54" s="591">
        <f t="shared" si="22"/>
        <v>0</v>
      </c>
      <c r="N54" s="591">
        <f t="shared" si="23"/>
        <v>0</v>
      </c>
      <c r="O54" s="164"/>
      <c r="P54" s="164">
        <f t="shared" si="9"/>
        <v>0</v>
      </c>
      <c r="Q54" s="164">
        <f t="shared" si="10"/>
        <v>0</v>
      </c>
      <c r="R54" s="164">
        <f t="shared" si="11"/>
        <v>0</v>
      </c>
      <c r="S54" s="164">
        <f t="shared" si="12"/>
        <v>0</v>
      </c>
      <c r="T54" s="277">
        <f>IF('8. WAMKK'!C54=0,0,+S54/'8. WAMKK'!C54)</f>
        <v>0</v>
      </c>
      <c r="U54" s="120"/>
      <c r="V54" s="192">
        <f t="shared" si="4"/>
        <v>0</v>
      </c>
    </row>
    <row r="55" spans="1:22" ht="12.75" customHeight="1" x14ac:dyDescent="0.25">
      <c r="A55" s="14"/>
      <c r="B55" s="20" t="s">
        <v>49</v>
      </c>
      <c r="C55" s="164"/>
      <c r="D55" s="164"/>
      <c r="E55" s="164"/>
      <c r="F55" s="164"/>
      <c r="G55" s="164"/>
      <c r="H55" s="164"/>
      <c r="I55" s="164"/>
      <c r="J55" s="164"/>
      <c r="K55" s="164"/>
      <c r="L55" s="591">
        <f t="shared" si="21"/>
        <v>0</v>
      </c>
      <c r="M55" s="591">
        <f t="shared" si="22"/>
        <v>0</v>
      </c>
      <c r="N55" s="591">
        <f t="shared" si="23"/>
        <v>0</v>
      </c>
      <c r="O55" s="164"/>
      <c r="P55" s="164">
        <f t="shared" si="9"/>
        <v>0</v>
      </c>
      <c r="Q55" s="164">
        <f t="shared" si="10"/>
        <v>0</v>
      </c>
      <c r="R55" s="164">
        <f t="shared" si="11"/>
        <v>0</v>
      </c>
      <c r="S55" s="164">
        <f t="shared" si="12"/>
        <v>0</v>
      </c>
      <c r="T55" s="277">
        <f>IF('8. WAMKK'!C55=0,0,+S55/'8. WAMKK'!C55)</f>
        <v>0</v>
      </c>
      <c r="U55" s="120"/>
      <c r="V55" s="192">
        <f t="shared" si="4"/>
        <v>0</v>
      </c>
    </row>
    <row r="56" spans="1:22" ht="12.75" customHeight="1" x14ac:dyDescent="0.25">
      <c r="A56" s="14" t="s">
        <v>50</v>
      </c>
      <c r="B56" s="20" t="s">
        <v>51</v>
      </c>
      <c r="C56" s="164">
        <v>0</v>
      </c>
      <c r="D56" s="164">
        <v>0</v>
      </c>
      <c r="E56" s="164">
        <v>0</v>
      </c>
      <c r="F56" s="164">
        <v>0</v>
      </c>
      <c r="G56" s="164"/>
      <c r="H56" s="164">
        <v>0</v>
      </c>
      <c r="I56" s="164">
        <v>0</v>
      </c>
      <c r="J56" s="164">
        <v>0</v>
      </c>
      <c r="K56" s="164"/>
      <c r="L56" s="591">
        <f t="shared" si="21"/>
        <v>0</v>
      </c>
      <c r="M56" s="591">
        <f t="shared" si="22"/>
        <v>0</v>
      </c>
      <c r="N56" s="591">
        <f t="shared" si="23"/>
        <v>0</v>
      </c>
      <c r="O56" s="164"/>
      <c r="P56" s="164">
        <f t="shared" si="9"/>
        <v>0</v>
      </c>
      <c r="Q56" s="164">
        <f t="shared" si="10"/>
        <v>0</v>
      </c>
      <c r="R56" s="164">
        <f t="shared" si="11"/>
        <v>0</v>
      </c>
      <c r="S56" s="164">
        <f t="shared" si="12"/>
        <v>0</v>
      </c>
      <c r="T56" s="277">
        <f>IF('8. WAMKK'!C56=0,0,+S56/'8. WAMKK'!C56)</f>
        <v>0</v>
      </c>
      <c r="U56" s="120"/>
      <c r="V56" s="192">
        <f t="shared" si="4"/>
        <v>0</v>
      </c>
    </row>
    <row r="57" spans="1:22" ht="12.75" customHeight="1" x14ac:dyDescent="0.25">
      <c r="A57" s="14"/>
      <c r="B57" s="20" t="s">
        <v>52</v>
      </c>
      <c r="C57" s="164"/>
      <c r="D57" s="164"/>
      <c r="E57" s="164"/>
      <c r="F57" s="164"/>
      <c r="G57" s="164"/>
      <c r="H57" s="164"/>
      <c r="I57" s="164"/>
      <c r="J57" s="164"/>
      <c r="K57" s="164"/>
      <c r="L57" s="591">
        <f t="shared" si="21"/>
        <v>0</v>
      </c>
      <c r="M57" s="591">
        <f t="shared" si="22"/>
        <v>0</v>
      </c>
      <c r="N57" s="591">
        <f t="shared" si="23"/>
        <v>0</v>
      </c>
      <c r="O57" s="164"/>
      <c r="P57" s="164">
        <f t="shared" si="9"/>
        <v>0</v>
      </c>
      <c r="Q57" s="164">
        <f t="shared" si="10"/>
        <v>0</v>
      </c>
      <c r="R57" s="164">
        <f t="shared" si="11"/>
        <v>0</v>
      </c>
      <c r="S57" s="164">
        <f t="shared" si="12"/>
        <v>0</v>
      </c>
      <c r="T57" s="277">
        <f>IF('8. WAMKK'!C57=0,0,+S57/'8. WAMKK'!C57)</f>
        <v>0</v>
      </c>
      <c r="U57" s="120"/>
      <c r="V57" s="192">
        <f t="shared" si="4"/>
        <v>0</v>
      </c>
    </row>
    <row r="58" spans="1:22" ht="12.75" customHeight="1" x14ac:dyDescent="0.25">
      <c r="A58" s="14" t="s">
        <v>53</v>
      </c>
      <c r="B58" s="20" t="s">
        <v>87</v>
      </c>
      <c r="C58" s="164">
        <v>500000</v>
      </c>
      <c r="D58" s="164">
        <v>500000</v>
      </c>
      <c r="E58" s="164">
        <v>500000</v>
      </c>
      <c r="F58" s="164">
        <v>484418</v>
      </c>
      <c r="G58" s="164"/>
      <c r="H58" s="164">
        <v>314302</v>
      </c>
      <c r="I58" s="164">
        <v>445874</v>
      </c>
      <c r="J58" s="164">
        <v>445874</v>
      </c>
      <c r="K58" s="164"/>
      <c r="L58" s="591">
        <f t="shared" si="21"/>
        <v>0.62860400000000005</v>
      </c>
      <c r="M58" s="591">
        <f t="shared" si="22"/>
        <v>0.89174799999999999</v>
      </c>
      <c r="N58" s="591">
        <f t="shared" si="23"/>
        <v>0.89174799999999999</v>
      </c>
      <c r="O58" s="164"/>
      <c r="P58" s="164">
        <f t="shared" si="9"/>
        <v>0</v>
      </c>
      <c r="Q58" s="164">
        <f t="shared" si="10"/>
        <v>0</v>
      </c>
      <c r="R58" s="164">
        <f t="shared" si="11"/>
        <v>-15582</v>
      </c>
      <c r="S58" s="164">
        <f t="shared" si="12"/>
        <v>-15582</v>
      </c>
      <c r="T58" s="277">
        <f>IF('8. WAMKK'!C58=0,0,+S58/'8. WAMKK'!C58)</f>
        <v>-0.10388</v>
      </c>
      <c r="U58" s="120"/>
      <c r="V58" s="192">
        <f t="shared" si="4"/>
        <v>-15582</v>
      </c>
    </row>
    <row r="59" spans="1:22" ht="12.75" customHeight="1" x14ac:dyDescent="0.25">
      <c r="A59" s="14"/>
      <c r="B59" s="20" t="s">
        <v>54</v>
      </c>
      <c r="C59" s="309"/>
      <c r="D59" s="164"/>
      <c r="E59" s="164"/>
      <c r="F59" s="164"/>
      <c r="G59" s="164"/>
      <c r="H59" s="164"/>
      <c r="I59" s="164"/>
      <c r="J59" s="164"/>
      <c r="K59" s="164"/>
      <c r="L59" s="591">
        <f t="shared" si="21"/>
        <v>0</v>
      </c>
      <c r="M59" s="591">
        <f t="shared" si="22"/>
        <v>0</v>
      </c>
      <c r="N59" s="591">
        <f t="shared" si="23"/>
        <v>0</v>
      </c>
      <c r="O59" s="164"/>
      <c r="P59" s="164">
        <f t="shared" si="9"/>
        <v>0</v>
      </c>
      <c r="Q59" s="164">
        <f t="shared" si="10"/>
        <v>0</v>
      </c>
      <c r="R59" s="164">
        <f t="shared" si="11"/>
        <v>0</v>
      </c>
      <c r="S59" s="164">
        <f t="shared" si="12"/>
        <v>0</v>
      </c>
      <c r="T59" s="277">
        <f>IF('8. WAMKK'!C59=0,0,+S59/'8. WAMKK'!C59)</f>
        <v>0</v>
      </c>
      <c r="U59" s="120"/>
      <c r="V59" s="192">
        <f t="shared" si="4"/>
        <v>0</v>
      </c>
    </row>
    <row r="60" spans="1:22" ht="12.75" customHeight="1" x14ac:dyDescent="0.25">
      <c r="A60" s="14" t="s">
        <v>55</v>
      </c>
      <c r="B60" s="20" t="s">
        <v>56</v>
      </c>
      <c r="C60" s="164"/>
      <c r="D60" s="164"/>
      <c r="E60" s="164"/>
      <c r="F60" s="164"/>
      <c r="G60" s="164"/>
      <c r="H60" s="164"/>
      <c r="I60" s="164"/>
      <c r="J60" s="164"/>
      <c r="K60" s="164"/>
      <c r="L60" s="591">
        <f t="shared" si="21"/>
        <v>0</v>
      </c>
      <c r="M60" s="591">
        <f t="shared" si="22"/>
        <v>0</v>
      </c>
      <c r="N60" s="591">
        <f t="shared" si="23"/>
        <v>0</v>
      </c>
      <c r="O60" s="164"/>
      <c r="P60" s="164">
        <f t="shared" si="9"/>
        <v>0</v>
      </c>
      <c r="Q60" s="164">
        <f t="shared" si="10"/>
        <v>0</v>
      </c>
      <c r="R60" s="164">
        <f t="shared" si="11"/>
        <v>0</v>
      </c>
      <c r="S60" s="164">
        <f t="shared" si="12"/>
        <v>0</v>
      </c>
      <c r="T60" s="277">
        <f>IF('8. WAMKK'!C60=0,0,+S60/'8. WAMKK'!C60)</f>
        <v>0</v>
      </c>
      <c r="U60" s="120"/>
      <c r="V60" s="192">
        <f t="shared" si="4"/>
        <v>0</v>
      </c>
    </row>
    <row r="61" spans="1:22" ht="24.75" customHeight="1" x14ac:dyDescent="0.25">
      <c r="A61" s="20"/>
      <c r="B61" s="20" t="s">
        <v>57</v>
      </c>
      <c r="C61" s="164"/>
      <c r="D61" s="164"/>
      <c r="E61" s="164"/>
      <c r="F61" s="164"/>
      <c r="G61" s="164"/>
      <c r="H61" s="164"/>
      <c r="I61" s="164"/>
      <c r="J61" s="164"/>
      <c r="K61" s="164"/>
      <c r="L61" s="591">
        <f t="shared" si="21"/>
        <v>0</v>
      </c>
      <c r="M61" s="591">
        <f t="shared" si="22"/>
        <v>0</v>
      </c>
      <c r="N61" s="591">
        <f t="shared" si="23"/>
        <v>0</v>
      </c>
      <c r="O61" s="164"/>
      <c r="P61" s="164">
        <f t="shared" si="9"/>
        <v>0</v>
      </c>
      <c r="Q61" s="164">
        <f t="shared" si="10"/>
        <v>0</v>
      </c>
      <c r="R61" s="164">
        <f t="shared" si="11"/>
        <v>0</v>
      </c>
      <c r="S61" s="164">
        <f t="shared" si="12"/>
        <v>0</v>
      </c>
      <c r="T61" s="277">
        <f>IF('8. WAMKK'!C61=0,0,+S61/'8. WAMKK'!C61)</f>
        <v>0</v>
      </c>
      <c r="U61" s="120"/>
      <c r="V61" s="192">
        <f t="shared" si="4"/>
        <v>0</v>
      </c>
    </row>
    <row r="62" spans="1:22" ht="12.75" customHeight="1" x14ac:dyDescent="0.25">
      <c r="A62" s="14" t="s">
        <v>58</v>
      </c>
      <c r="B62" s="479" t="s">
        <v>59</v>
      </c>
      <c r="C62" s="164">
        <v>300000</v>
      </c>
      <c r="D62" s="164">
        <v>300000</v>
      </c>
      <c r="E62" s="164">
        <v>300000</v>
      </c>
      <c r="F62" s="164">
        <v>284558</v>
      </c>
      <c r="G62" s="164"/>
      <c r="H62" s="164">
        <v>280700</v>
      </c>
      <c r="I62" s="164">
        <v>280700</v>
      </c>
      <c r="J62" s="164">
        <v>284558</v>
      </c>
      <c r="K62" s="164"/>
      <c r="L62" s="591">
        <f t="shared" si="21"/>
        <v>0.93566666666666665</v>
      </c>
      <c r="M62" s="591">
        <f t="shared" si="22"/>
        <v>0.93566666666666665</v>
      </c>
      <c r="N62" s="591">
        <f t="shared" si="23"/>
        <v>0.94852666666666663</v>
      </c>
      <c r="O62" s="164"/>
      <c r="P62" s="164">
        <f t="shared" si="9"/>
        <v>0</v>
      </c>
      <c r="Q62" s="164">
        <f t="shared" si="10"/>
        <v>0</v>
      </c>
      <c r="R62" s="164">
        <f t="shared" si="11"/>
        <v>-15442</v>
      </c>
      <c r="S62" s="164">
        <f t="shared" si="12"/>
        <v>-15442</v>
      </c>
      <c r="T62" s="277">
        <f>IF('8. WAMKK'!C62=0,0,+S62/'8. WAMKK'!C62)</f>
        <v>-0.30884</v>
      </c>
      <c r="U62" s="120"/>
      <c r="V62" s="192">
        <f t="shared" si="4"/>
        <v>-15442</v>
      </c>
    </row>
    <row r="63" spans="1:22" ht="39.75" customHeight="1" x14ac:dyDescent="0.25">
      <c r="A63" s="14"/>
      <c r="B63" s="20" t="s">
        <v>98</v>
      </c>
      <c r="C63" s="164"/>
      <c r="D63" s="164"/>
      <c r="E63" s="164"/>
      <c r="F63" s="164"/>
      <c r="G63" s="164"/>
      <c r="H63" s="164"/>
      <c r="I63" s="164"/>
      <c r="J63" s="164"/>
      <c r="K63" s="164"/>
      <c r="L63" s="591">
        <f t="shared" si="21"/>
        <v>0</v>
      </c>
      <c r="M63" s="591">
        <f t="shared" si="22"/>
        <v>0</v>
      </c>
      <c r="N63" s="591">
        <f t="shared" si="23"/>
        <v>0</v>
      </c>
      <c r="O63" s="164"/>
      <c r="P63" s="164">
        <f t="shared" si="9"/>
        <v>0</v>
      </c>
      <c r="Q63" s="164">
        <f t="shared" si="10"/>
        <v>0</v>
      </c>
      <c r="R63" s="164">
        <f t="shared" si="11"/>
        <v>0</v>
      </c>
      <c r="S63" s="164">
        <f t="shared" si="12"/>
        <v>0</v>
      </c>
      <c r="T63" s="277">
        <f>IF('8. WAMKK'!C63=0,0,+S63/'8. WAMKK'!C63)</f>
        <v>0</v>
      </c>
      <c r="U63" s="120"/>
      <c r="V63" s="192">
        <f t="shared" si="4"/>
        <v>0</v>
      </c>
    </row>
    <row r="64" spans="1:22" ht="12.75" customHeight="1" x14ac:dyDescent="0.25">
      <c r="A64" s="14" t="s">
        <v>60</v>
      </c>
      <c r="B64" s="20" t="s">
        <v>61</v>
      </c>
      <c r="C64" s="164">
        <v>1000000</v>
      </c>
      <c r="D64" s="164">
        <v>979370</v>
      </c>
      <c r="E64" s="164">
        <v>1030047</v>
      </c>
      <c r="F64" s="164">
        <v>1267357</v>
      </c>
      <c r="G64" s="164"/>
      <c r="H64" s="164">
        <v>638923</v>
      </c>
      <c r="I64" s="164">
        <v>916250</v>
      </c>
      <c r="J64" s="164">
        <v>1231374</v>
      </c>
      <c r="K64" s="164"/>
      <c r="L64" s="591">
        <f t="shared" si="21"/>
        <v>0.63892300000000002</v>
      </c>
      <c r="M64" s="591">
        <f t="shared" si="22"/>
        <v>0.93555040485209884</v>
      </c>
      <c r="N64" s="591">
        <f t="shared" si="23"/>
        <v>1.19545418801278</v>
      </c>
      <c r="O64" s="164"/>
      <c r="P64" s="164">
        <f t="shared" si="9"/>
        <v>-20630</v>
      </c>
      <c r="Q64" s="164">
        <f t="shared" si="10"/>
        <v>50677</v>
      </c>
      <c r="R64" s="164">
        <f t="shared" si="11"/>
        <v>237310</v>
      </c>
      <c r="S64" s="164">
        <f t="shared" si="12"/>
        <v>267357</v>
      </c>
      <c r="T64" s="277">
        <f>IF('8. WAMKK'!C64=0,0,+S64/'8. WAMKK'!C64)</f>
        <v>5.3471400000000002E-2</v>
      </c>
      <c r="U64" s="120"/>
      <c r="V64" s="192">
        <f t="shared" si="4"/>
        <v>237310</v>
      </c>
    </row>
    <row r="65" spans="1:22" ht="39" customHeight="1" x14ac:dyDescent="0.25">
      <c r="A65" s="14"/>
      <c r="B65" s="20" t="s">
        <v>62</v>
      </c>
      <c r="C65" s="164"/>
      <c r="D65" s="164"/>
      <c r="E65" s="164"/>
      <c r="F65" s="164"/>
      <c r="G65" s="164"/>
      <c r="H65" s="164"/>
      <c r="I65" s="164"/>
      <c r="J65" s="164"/>
      <c r="K65" s="164"/>
      <c r="L65" s="591">
        <f t="shared" si="21"/>
        <v>0</v>
      </c>
      <c r="M65" s="591">
        <f t="shared" si="22"/>
        <v>0</v>
      </c>
      <c r="N65" s="591">
        <f t="shared" si="23"/>
        <v>0</v>
      </c>
      <c r="O65" s="164"/>
      <c r="P65" s="164">
        <f t="shared" si="9"/>
        <v>0</v>
      </c>
      <c r="Q65" s="164">
        <f t="shared" si="10"/>
        <v>0</v>
      </c>
      <c r="R65" s="164">
        <f t="shared" si="11"/>
        <v>0</v>
      </c>
      <c r="S65" s="164">
        <f t="shared" si="12"/>
        <v>0</v>
      </c>
      <c r="T65" s="277">
        <f>IF('8. WAMKK'!C65=0,0,+S65/'8. WAMKK'!C65)</f>
        <v>0</v>
      </c>
      <c r="U65" s="120"/>
      <c r="V65" s="192">
        <f t="shared" si="4"/>
        <v>0</v>
      </c>
    </row>
    <row r="66" spans="1:22" s="42" customFormat="1" ht="12.75" customHeight="1" x14ac:dyDescent="0.25">
      <c r="A66" s="38" t="s">
        <v>63</v>
      </c>
      <c r="B66" s="39" t="s">
        <v>64</v>
      </c>
      <c r="C66" s="271">
        <f>+C67+C69</f>
        <v>250000</v>
      </c>
      <c r="D66" s="271">
        <f>+D67+D69</f>
        <v>250000</v>
      </c>
      <c r="E66" s="271">
        <f>+E67+E69</f>
        <v>250000</v>
      </c>
      <c r="F66" s="271">
        <f>+F67+F69</f>
        <v>250000</v>
      </c>
      <c r="G66" s="552"/>
      <c r="H66" s="271">
        <f>+H67+H69</f>
        <v>100035</v>
      </c>
      <c r="I66" s="271">
        <f>+I67+I69</f>
        <v>160090</v>
      </c>
      <c r="J66" s="271">
        <f>+J67+J69</f>
        <v>220180</v>
      </c>
      <c r="K66" s="552"/>
      <c r="L66" s="592">
        <f t="shared" ref="L66:N70" si="24">IF(H66&gt;0,H66/C66,0)</f>
        <v>0.40014</v>
      </c>
      <c r="M66" s="592">
        <f t="shared" si="24"/>
        <v>0.64036000000000004</v>
      </c>
      <c r="N66" s="592">
        <f t="shared" si="24"/>
        <v>0.88071999999999995</v>
      </c>
      <c r="O66" s="552"/>
      <c r="P66" s="552">
        <f>+P67+P69</f>
        <v>0</v>
      </c>
      <c r="Q66" s="552">
        <f>+Q67+Q69</f>
        <v>0</v>
      </c>
      <c r="R66" s="552">
        <f>+R67+R69</f>
        <v>0</v>
      </c>
      <c r="S66" s="552">
        <f t="shared" si="12"/>
        <v>0</v>
      </c>
      <c r="T66" s="277">
        <f>IF('8. WAMKK'!C66=0,0,+S66/'8. WAMKK'!C66)</f>
        <v>0</v>
      </c>
      <c r="U66" s="121"/>
      <c r="V66" s="553">
        <f t="shared" si="4"/>
        <v>0</v>
      </c>
    </row>
    <row r="67" spans="1:22" ht="12.75" customHeight="1" x14ac:dyDescent="0.25">
      <c r="A67" s="14" t="s">
        <v>65</v>
      </c>
      <c r="B67" s="20" t="s">
        <v>66</v>
      </c>
      <c r="C67" s="164">
        <v>250000</v>
      </c>
      <c r="D67" s="164">
        <v>250000</v>
      </c>
      <c r="E67" s="164">
        <v>250000</v>
      </c>
      <c r="F67" s="164">
        <v>250000</v>
      </c>
      <c r="G67" s="164"/>
      <c r="H67" s="164">
        <v>100035</v>
      </c>
      <c r="I67" s="164">
        <v>160090</v>
      </c>
      <c r="J67" s="164">
        <v>220180</v>
      </c>
      <c r="K67" s="164"/>
      <c r="L67" s="591">
        <f t="shared" si="24"/>
        <v>0.40014</v>
      </c>
      <c r="M67" s="591">
        <f t="shared" si="24"/>
        <v>0.64036000000000004</v>
      </c>
      <c r="N67" s="591">
        <f t="shared" si="24"/>
        <v>0.88071999999999995</v>
      </c>
      <c r="O67" s="164"/>
      <c r="P67" s="164">
        <f t="shared" si="9"/>
        <v>0</v>
      </c>
      <c r="Q67" s="164">
        <f t="shared" si="10"/>
        <v>0</v>
      </c>
      <c r="R67" s="164">
        <f t="shared" si="11"/>
        <v>0</v>
      </c>
      <c r="S67" s="164">
        <f t="shared" si="12"/>
        <v>0</v>
      </c>
      <c r="T67" s="277">
        <f>IF('8. WAMKK'!C67=0,0,+S67/'8. WAMKK'!C67)</f>
        <v>0</v>
      </c>
      <c r="U67" s="120"/>
      <c r="V67" s="192">
        <f t="shared" si="4"/>
        <v>0</v>
      </c>
    </row>
    <row r="68" spans="1:22" ht="12.75" customHeight="1" x14ac:dyDescent="0.25">
      <c r="A68" s="14"/>
      <c r="B68" s="20" t="s">
        <v>67</v>
      </c>
      <c r="C68" s="164"/>
      <c r="D68" s="164"/>
      <c r="E68" s="164"/>
      <c r="F68" s="164"/>
      <c r="G68" s="164"/>
      <c r="H68" s="164"/>
      <c r="I68" s="164"/>
      <c r="J68" s="164"/>
      <c r="K68" s="164"/>
      <c r="L68" s="591">
        <f t="shared" si="24"/>
        <v>0</v>
      </c>
      <c r="M68" s="591">
        <f t="shared" si="24"/>
        <v>0</v>
      </c>
      <c r="N68" s="591">
        <f t="shared" si="24"/>
        <v>0</v>
      </c>
      <c r="O68" s="164"/>
      <c r="P68" s="164">
        <f t="shared" si="9"/>
        <v>0</v>
      </c>
      <c r="Q68" s="164">
        <f t="shared" si="10"/>
        <v>0</v>
      </c>
      <c r="R68" s="164">
        <f t="shared" si="11"/>
        <v>0</v>
      </c>
      <c r="S68" s="164">
        <f t="shared" si="12"/>
        <v>0</v>
      </c>
      <c r="T68" s="277">
        <f>IF('8. WAMKK'!C68=0,0,+S68/'8. WAMKK'!C68)</f>
        <v>0</v>
      </c>
      <c r="U68" s="120"/>
      <c r="V68" s="192">
        <f t="shared" si="4"/>
        <v>0</v>
      </c>
    </row>
    <row r="69" spans="1:22" ht="12.75" customHeight="1" x14ac:dyDescent="0.25">
      <c r="A69" s="14" t="s">
        <v>68</v>
      </c>
      <c r="B69" s="20" t="s">
        <v>96</v>
      </c>
      <c r="C69" s="164"/>
      <c r="D69" s="164"/>
      <c r="E69" s="164"/>
      <c r="F69" s="164"/>
      <c r="G69" s="164"/>
      <c r="H69" s="164"/>
      <c r="I69" s="164"/>
      <c r="J69" s="164"/>
      <c r="K69" s="164"/>
      <c r="L69" s="591">
        <f t="shared" si="24"/>
        <v>0</v>
      </c>
      <c r="M69" s="591">
        <f t="shared" si="24"/>
        <v>0</v>
      </c>
      <c r="N69" s="591">
        <f t="shared" si="24"/>
        <v>0</v>
      </c>
      <c r="O69" s="164"/>
      <c r="P69" s="164">
        <f t="shared" si="9"/>
        <v>0</v>
      </c>
      <c r="Q69" s="164">
        <f t="shared" si="10"/>
        <v>0</v>
      </c>
      <c r="R69" s="164">
        <f t="shared" si="11"/>
        <v>0</v>
      </c>
      <c r="S69" s="164">
        <f t="shared" si="12"/>
        <v>0</v>
      </c>
      <c r="T69" s="277">
        <f>IF('8. WAMKK'!C69=0,0,+S69/'8. WAMKK'!C69)</f>
        <v>0</v>
      </c>
      <c r="U69" s="120"/>
      <c r="V69" s="192">
        <f t="shared" si="4"/>
        <v>0</v>
      </c>
    </row>
    <row r="70" spans="1:22" ht="12.75" customHeight="1" x14ac:dyDescent="0.25">
      <c r="A70" s="14"/>
      <c r="B70" s="20" t="s">
        <v>69</v>
      </c>
      <c r="C70" s="164"/>
      <c r="D70" s="164"/>
      <c r="E70" s="164"/>
      <c r="F70" s="164"/>
      <c r="G70" s="164"/>
      <c r="H70" s="164"/>
      <c r="I70" s="164"/>
      <c r="J70" s="164"/>
      <c r="K70" s="164"/>
      <c r="L70" s="591">
        <f t="shared" si="24"/>
        <v>0</v>
      </c>
      <c r="M70" s="591">
        <f t="shared" si="24"/>
        <v>0</v>
      </c>
      <c r="N70" s="591">
        <f t="shared" si="24"/>
        <v>0</v>
      </c>
      <c r="O70" s="164"/>
      <c r="P70" s="164">
        <f t="shared" si="9"/>
        <v>0</v>
      </c>
      <c r="Q70" s="164">
        <f t="shared" si="10"/>
        <v>0</v>
      </c>
      <c r="R70" s="164">
        <f t="shared" si="11"/>
        <v>0</v>
      </c>
      <c r="S70" s="164">
        <f t="shared" si="12"/>
        <v>0</v>
      </c>
      <c r="T70" s="277">
        <f>IF('8. WAMKK'!C70=0,0,+S70/'8. WAMKK'!C70)</f>
        <v>0</v>
      </c>
      <c r="U70" s="120"/>
      <c r="V70" s="192">
        <f t="shared" si="4"/>
        <v>0</v>
      </c>
    </row>
    <row r="71" spans="1:22" s="42" customFormat="1" ht="12.75" customHeight="1" x14ac:dyDescent="0.25">
      <c r="A71" s="38" t="s">
        <v>70</v>
      </c>
      <c r="B71" s="39" t="s">
        <v>71</v>
      </c>
      <c r="C71" s="271">
        <f>SUM(C72:C81)</f>
        <v>13555000.000000002</v>
      </c>
      <c r="D71" s="271">
        <f>SUM(D72:D81)</f>
        <v>13555000</v>
      </c>
      <c r="E71" s="271">
        <f>SUM(E72:E81)</f>
        <v>13555000</v>
      </c>
      <c r="F71" s="271">
        <f>SUM(F72:F81)</f>
        <v>11885000</v>
      </c>
      <c r="G71" s="552"/>
      <c r="H71" s="271">
        <f>SUM(H72:H81)</f>
        <v>5640455</v>
      </c>
      <c r="I71" s="271">
        <f>SUM(I72:I81)</f>
        <v>7377096</v>
      </c>
      <c r="J71" s="271">
        <f>SUM(J72:J81)</f>
        <v>10716143</v>
      </c>
      <c r="K71" s="552"/>
      <c r="L71" s="592">
        <f t="shared" ref="L71:L80" si="25">IF(H71&gt;0,H71/C71,0)</f>
        <v>0.41611619328661004</v>
      </c>
      <c r="M71" s="592">
        <f t="shared" ref="M71:M80" si="26">IF(I71&gt;0,I71/D71,0)</f>
        <v>0.5442343046846182</v>
      </c>
      <c r="N71" s="592">
        <f t="shared" ref="N71:N80" si="27">IF(J71&gt;0,J71/E71,0)</f>
        <v>0.79056753965326443</v>
      </c>
      <c r="O71" s="552"/>
      <c r="P71" s="552">
        <f>SUM(P72:P81)</f>
        <v>-1.862645149230957E-9</v>
      </c>
      <c r="Q71" s="552">
        <f>SUM(Q72:Q81)</f>
        <v>0</v>
      </c>
      <c r="R71" s="552">
        <f>SUM(R72:R81)</f>
        <v>-1670000</v>
      </c>
      <c r="S71" s="552">
        <f t="shared" si="12"/>
        <v>-1670000.0000000019</v>
      </c>
      <c r="T71" s="277">
        <f>IF('8. WAMKK'!C71=0,0,+S71/'8. WAMKK'!C71)</f>
        <v>-1.1008569545154923</v>
      </c>
      <c r="U71" s="121"/>
      <c r="V71" s="553">
        <f t="shared" si="4"/>
        <v>-1670000</v>
      </c>
    </row>
    <row r="72" spans="1:22" ht="12.75" customHeight="1" x14ac:dyDescent="0.25">
      <c r="A72" s="14" t="s">
        <v>72</v>
      </c>
      <c r="B72" s="20" t="s">
        <v>73</v>
      </c>
      <c r="C72" s="164">
        <f>10500000*1.1</f>
        <v>11550000.000000002</v>
      </c>
      <c r="D72" s="164">
        <v>11550000</v>
      </c>
      <c r="E72" s="164">
        <v>11550000</v>
      </c>
      <c r="F72" s="164">
        <v>11550000</v>
      </c>
      <c r="G72" s="164"/>
      <c r="H72" s="164">
        <v>5638496</v>
      </c>
      <c r="I72" s="164">
        <v>7120029</v>
      </c>
      <c r="J72" s="164">
        <v>10381742</v>
      </c>
      <c r="K72" s="164"/>
      <c r="L72" s="591">
        <f t="shared" si="25"/>
        <v>0.48818147186147176</v>
      </c>
      <c r="M72" s="591">
        <f t="shared" si="26"/>
        <v>0.61645272727272726</v>
      </c>
      <c r="N72" s="591">
        <f t="shared" si="27"/>
        <v>0.89885212121212121</v>
      </c>
      <c r="O72" s="164"/>
      <c r="P72" s="164">
        <f t="shared" si="9"/>
        <v>-1.862645149230957E-9</v>
      </c>
      <c r="Q72" s="164">
        <f t="shared" si="10"/>
        <v>0</v>
      </c>
      <c r="R72" s="164">
        <f t="shared" si="11"/>
        <v>0</v>
      </c>
      <c r="S72" s="164">
        <f t="shared" si="12"/>
        <v>-1.862645149230957E-9</v>
      </c>
      <c r="T72" s="277">
        <f>IF('8. WAMKK'!C72=0,0,+S72/'8. WAMKK'!C72)</f>
        <v>-1.2417634328206381E-15</v>
      </c>
      <c r="U72" s="120"/>
      <c r="V72" s="192">
        <f t="shared" ref="V72:V101" si="28">+S72-E72+C72</f>
        <v>0</v>
      </c>
    </row>
    <row r="73" spans="1:22" ht="12.75" customHeight="1" x14ac:dyDescent="0.25">
      <c r="A73" s="14"/>
      <c r="B73" s="20" t="s">
        <v>74</v>
      </c>
      <c r="C73" s="164">
        <v>0</v>
      </c>
      <c r="D73" s="164"/>
      <c r="E73" s="164"/>
      <c r="F73" s="164"/>
      <c r="G73" s="164"/>
      <c r="H73" s="164"/>
      <c r="I73" s="164"/>
      <c r="J73" s="164"/>
      <c r="K73" s="164"/>
      <c r="L73" s="591">
        <f t="shared" si="25"/>
        <v>0</v>
      </c>
      <c r="M73" s="591">
        <f t="shared" si="26"/>
        <v>0</v>
      </c>
      <c r="N73" s="591">
        <f t="shared" si="27"/>
        <v>0</v>
      </c>
      <c r="O73" s="164"/>
      <c r="P73" s="164">
        <f t="shared" si="9"/>
        <v>0</v>
      </c>
      <c r="Q73" s="164">
        <f t="shared" si="10"/>
        <v>0</v>
      </c>
      <c r="R73" s="164">
        <f t="shared" si="11"/>
        <v>0</v>
      </c>
      <c r="S73" s="164">
        <f t="shared" si="12"/>
        <v>0</v>
      </c>
      <c r="T73" s="277">
        <f>IF('8. WAMKK'!C73=0,0,+S73/'8. WAMKK'!C73)</f>
        <v>0</v>
      </c>
      <c r="U73" s="120"/>
      <c r="V73" s="192">
        <f t="shared" si="28"/>
        <v>0</v>
      </c>
    </row>
    <row r="74" spans="1:22" ht="12.75" customHeight="1" x14ac:dyDescent="0.25">
      <c r="A74" s="14" t="s">
        <v>75</v>
      </c>
      <c r="B74" s="20" t="s">
        <v>76</v>
      </c>
      <c r="C74" s="164">
        <v>2000000</v>
      </c>
      <c r="D74" s="164">
        <v>2000000</v>
      </c>
      <c r="E74" s="164">
        <v>2000000</v>
      </c>
      <c r="F74" s="164">
        <v>330000</v>
      </c>
      <c r="G74" s="164"/>
      <c r="H74" s="164">
        <v>0</v>
      </c>
      <c r="I74" s="164">
        <v>254000</v>
      </c>
      <c r="J74" s="164">
        <v>330000</v>
      </c>
      <c r="K74" s="164"/>
      <c r="L74" s="591">
        <f t="shared" si="25"/>
        <v>0</v>
      </c>
      <c r="M74" s="591">
        <f t="shared" si="26"/>
        <v>0.127</v>
      </c>
      <c r="N74" s="591">
        <f t="shared" si="27"/>
        <v>0.16500000000000001</v>
      </c>
      <c r="O74" s="164"/>
      <c r="P74" s="164">
        <f t="shared" si="9"/>
        <v>0</v>
      </c>
      <c r="Q74" s="164">
        <f t="shared" si="10"/>
        <v>0</v>
      </c>
      <c r="R74" s="164">
        <f t="shared" si="11"/>
        <v>-1670000</v>
      </c>
      <c r="S74" s="164">
        <f t="shared" si="12"/>
        <v>-1670000</v>
      </c>
      <c r="T74" s="277">
        <f>IF('8. WAMKK'!C74=0,0,+S74/'8. WAMKK'!C74)</f>
        <v>-139.16666666666666</v>
      </c>
      <c r="U74" s="120"/>
      <c r="V74" s="192">
        <f t="shared" si="28"/>
        <v>-1670000</v>
      </c>
    </row>
    <row r="75" spans="1:22" ht="12.75" customHeight="1" x14ac:dyDescent="0.25">
      <c r="A75" s="14"/>
      <c r="B75" s="20" t="s">
        <v>97</v>
      </c>
      <c r="C75" s="164"/>
      <c r="D75" s="164"/>
      <c r="E75" s="164"/>
      <c r="F75" s="164"/>
      <c r="G75" s="164"/>
      <c r="H75" s="164"/>
      <c r="I75" s="164"/>
      <c r="J75" s="164"/>
      <c r="K75" s="164"/>
      <c r="L75" s="591">
        <f t="shared" si="25"/>
        <v>0</v>
      </c>
      <c r="M75" s="591">
        <f t="shared" si="26"/>
        <v>0</v>
      </c>
      <c r="N75" s="591">
        <f t="shared" si="27"/>
        <v>0</v>
      </c>
      <c r="O75" s="164"/>
      <c r="P75" s="164">
        <f t="shared" si="9"/>
        <v>0</v>
      </c>
      <c r="Q75" s="164">
        <f t="shared" si="10"/>
        <v>0</v>
      </c>
      <c r="R75" s="164">
        <f t="shared" si="11"/>
        <v>0</v>
      </c>
      <c r="S75" s="164">
        <f t="shared" si="12"/>
        <v>0</v>
      </c>
      <c r="T75" s="277">
        <f>IF('8. WAMKK'!C75=0,0,+S75/'8. WAMKK'!C75)</f>
        <v>0</v>
      </c>
      <c r="U75" s="120"/>
      <c r="V75" s="192">
        <f t="shared" si="28"/>
        <v>0</v>
      </c>
    </row>
    <row r="76" spans="1:22" ht="12.75" customHeight="1" x14ac:dyDescent="0.25">
      <c r="A76" s="14" t="s">
        <v>77</v>
      </c>
      <c r="B76" s="20" t="s">
        <v>78</v>
      </c>
      <c r="C76" s="164">
        <v>0</v>
      </c>
      <c r="D76" s="164">
        <v>0</v>
      </c>
      <c r="E76" s="164">
        <v>0</v>
      </c>
      <c r="F76" s="164">
        <v>0</v>
      </c>
      <c r="G76" s="164"/>
      <c r="H76" s="164">
        <v>0</v>
      </c>
      <c r="I76" s="164">
        <v>0</v>
      </c>
      <c r="J76" s="164">
        <v>0</v>
      </c>
      <c r="K76" s="164"/>
      <c r="L76" s="591">
        <f t="shared" si="25"/>
        <v>0</v>
      </c>
      <c r="M76" s="591">
        <f t="shared" si="26"/>
        <v>0</v>
      </c>
      <c r="N76" s="591">
        <f t="shared" si="27"/>
        <v>0</v>
      </c>
      <c r="O76" s="164"/>
      <c r="P76" s="164">
        <f t="shared" si="9"/>
        <v>0</v>
      </c>
      <c r="Q76" s="164">
        <f t="shared" si="10"/>
        <v>0</v>
      </c>
      <c r="R76" s="164">
        <f t="shared" si="11"/>
        <v>0</v>
      </c>
      <c r="S76" s="164">
        <f t="shared" si="12"/>
        <v>0</v>
      </c>
      <c r="T76" s="277">
        <f>IF('8. WAMKK'!C76=0,0,+S76/'8. WAMKK'!C76)</f>
        <v>0</v>
      </c>
      <c r="U76" s="120"/>
      <c r="V76" s="192">
        <f t="shared" si="28"/>
        <v>0</v>
      </c>
    </row>
    <row r="77" spans="1:22" ht="12.75" customHeight="1" x14ac:dyDescent="0.25">
      <c r="A77" s="14"/>
      <c r="B77" s="20" t="s">
        <v>102</v>
      </c>
      <c r="C77" s="164"/>
      <c r="D77" s="164"/>
      <c r="E77" s="164"/>
      <c r="F77" s="164"/>
      <c r="G77" s="164"/>
      <c r="H77" s="164"/>
      <c r="I77" s="164"/>
      <c r="J77" s="164"/>
      <c r="K77" s="164"/>
      <c r="L77" s="591">
        <f t="shared" si="25"/>
        <v>0</v>
      </c>
      <c r="M77" s="591">
        <f t="shared" si="26"/>
        <v>0</v>
      </c>
      <c r="N77" s="591">
        <f t="shared" si="27"/>
        <v>0</v>
      </c>
      <c r="O77" s="164"/>
      <c r="P77" s="164">
        <f t="shared" si="9"/>
        <v>0</v>
      </c>
      <c r="Q77" s="164">
        <f t="shared" si="10"/>
        <v>0</v>
      </c>
      <c r="R77" s="164">
        <f t="shared" si="11"/>
        <v>0</v>
      </c>
      <c r="S77" s="164">
        <f t="shared" si="12"/>
        <v>0</v>
      </c>
      <c r="T77" s="277">
        <f>IF('8. WAMKK'!C77=0,0,+S77/'8. WAMKK'!C77)</f>
        <v>0</v>
      </c>
      <c r="U77" s="120"/>
      <c r="V77" s="192">
        <f t="shared" si="28"/>
        <v>0</v>
      </c>
    </row>
    <row r="78" spans="1:22" ht="12.75" customHeight="1" x14ac:dyDescent="0.25">
      <c r="A78" s="14" t="s">
        <v>80</v>
      </c>
      <c r="B78" s="20" t="s">
        <v>81</v>
      </c>
      <c r="C78" s="164">
        <v>0</v>
      </c>
      <c r="D78" s="164">
        <v>0</v>
      </c>
      <c r="E78" s="164">
        <v>0</v>
      </c>
      <c r="F78" s="164">
        <v>0</v>
      </c>
      <c r="G78" s="164"/>
      <c r="H78" s="164">
        <v>0</v>
      </c>
      <c r="I78" s="164">
        <v>0</v>
      </c>
      <c r="J78" s="164">
        <v>0</v>
      </c>
      <c r="K78" s="164"/>
      <c r="L78" s="591">
        <f t="shared" si="25"/>
        <v>0</v>
      </c>
      <c r="M78" s="591">
        <f t="shared" si="26"/>
        <v>0</v>
      </c>
      <c r="N78" s="591">
        <f t="shared" si="27"/>
        <v>0</v>
      </c>
      <c r="O78" s="164"/>
      <c r="P78" s="164">
        <f t="shared" si="9"/>
        <v>0</v>
      </c>
      <c r="Q78" s="164">
        <f t="shared" si="10"/>
        <v>0</v>
      </c>
      <c r="R78" s="164">
        <f t="shared" si="11"/>
        <v>0</v>
      </c>
      <c r="S78" s="164">
        <f t="shared" si="12"/>
        <v>0</v>
      </c>
      <c r="T78" s="277">
        <f>IF('8. WAMKK'!C78=0,0,+S78/'8. WAMKK'!C78)</f>
        <v>0</v>
      </c>
      <c r="U78" s="120"/>
      <c r="V78" s="192">
        <f t="shared" si="28"/>
        <v>0</v>
      </c>
    </row>
    <row r="79" spans="1:22" ht="12.75" customHeight="1" x14ac:dyDescent="0.25">
      <c r="A79" s="14"/>
      <c r="B79" s="20" t="s">
        <v>82</v>
      </c>
      <c r="C79" s="164"/>
      <c r="D79" s="164"/>
      <c r="E79" s="164"/>
      <c r="F79" s="164"/>
      <c r="G79" s="164"/>
      <c r="H79" s="164"/>
      <c r="I79" s="164"/>
      <c r="J79" s="164"/>
      <c r="K79" s="164"/>
      <c r="L79" s="591">
        <f t="shared" si="25"/>
        <v>0</v>
      </c>
      <c r="M79" s="591">
        <f t="shared" si="26"/>
        <v>0</v>
      </c>
      <c r="N79" s="591">
        <f t="shared" si="27"/>
        <v>0</v>
      </c>
      <c r="O79" s="164"/>
      <c r="P79" s="164">
        <f t="shared" si="9"/>
        <v>0</v>
      </c>
      <c r="Q79" s="164">
        <f t="shared" si="10"/>
        <v>0</v>
      </c>
      <c r="R79" s="164">
        <f t="shared" si="11"/>
        <v>0</v>
      </c>
      <c r="S79" s="164">
        <f t="shared" si="12"/>
        <v>0</v>
      </c>
      <c r="T79" s="277">
        <f>IF('8. WAMKK'!C79=0,0,+S79/'8. WAMKK'!C79)</f>
        <v>0</v>
      </c>
      <c r="U79" s="120"/>
      <c r="V79" s="192">
        <f t="shared" si="28"/>
        <v>0</v>
      </c>
    </row>
    <row r="80" spans="1:22" ht="12.75" customHeight="1" x14ac:dyDescent="0.25">
      <c r="A80" s="14" t="s">
        <v>83</v>
      </c>
      <c r="B80" s="20" t="s">
        <v>84</v>
      </c>
      <c r="C80" s="164">
        <v>5000</v>
      </c>
      <c r="D80" s="164">
        <v>5000</v>
      </c>
      <c r="E80" s="164">
        <v>5000</v>
      </c>
      <c r="F80" s="164">
        <v>5000</v>
      </c>
      <c r="G80" s="164"/>
      <c r="H80" s="164">
        <v>1959</v>
      </c>
      <c r="I80" s="164">
        <v>3067</v>
      </c>
      <c r="J80" s="164">
        <v>4401</v>
      </c>
      <c r="K80" s="164"/>
      <c r="L80" s="591">
        <f t="shared" si="25"/>
        <v>0.39179999999999998</v>
      </c>
      <c r="M80" s="591">
        <f t="shared" si="26"/>
        <v>0.61339999999999995</v>
      </c>
      <c r="N80" s="591">
        <f t="shared" si="27"/>
        <v>0.88019999999999998</v>
      </c>
      <c r="O80" s="164"/>
      <c r="P80" s="164">
        <f t="shared" ref="P80:P102" si="29">+(D80-C80)*P$10</f>
        <v>0</v>
      </c>
      <c r="Q80" s="164">
        <f t="shared" ref="Q80:Q102" si="30">+(E80-D80)*Q$10</f>
        <v>0</v>
      </c>
      <c r="R80" s="164">
        <f t="shared" ref="R80:R102" si="31">+(F80-E80)*R$10</f>
        <v>0</v>
      </c>
      <c r="S80" s="164">
        <f>+P80*P$10+Q80*Q$10+R80*R$10</f>
        <v>0</v>
      </c>
      <c r="T80" s="277">
        <f>IF('8. WAMKK'!C80=0,0,+S80/'8. WAMKK'!C80)</f>
        <v>0</v>
      </c>
      <c r="U80" s="120"/>
      <c r="V80" s="192">
        <f t="shared" si="28"/>
        <v>0</v>
      </c>
    </row>
    <row r="81" spans="1:24" ht="12.75" customHeight="1" x14ac:dyDescent="0.25">
      <c r="A81" s="14"/>
      <c r="B81" s="20" t="s">
        <v>88</v>
      </c>
      <c r="C81" s="164"/>
      <c r="D81" s="164"/>
      <c r="E81" s="164"/>
      <c r="F81" s="164"/>
      <c r="G81" s="164"/>
      <c r="H81" s="164"/>
      <c r="I81" s="164"/>
      <c r="J81" s="164"/>
      <c r="K81" s="164"/>
      <c r="L81" s="587"/>
      <c r="M81" s="587"/>
      <c r="N81" s="587"/>
      <c r="O81" s="164"/>
      <c r="P81" s="164">
        <f t="shared" si="29"/>
        <v>0</v>
      </c>
      <c r="Q81" s="164">
        <f t="shared" si="30"/>
        <v>0</v>
      </c>
      <c r="R81" s="164">
        <f t="shared" si="31"/>
        <v>0</v>
      </c>
      <c r="S81" s="164">
        <f>+P81*P$10+Q81*Q$10+R81*R$10</f>
        <v>0</v>
      </c>
      <c r="T81" s="277">
        <f>IF('8. WAMKK'!C81=0,0,+S81/'8. WAMKK'!C81)</f>
        <v>0</v>
      </c>
      <c r="U81" s="120"/>
      <c r="V81" s="192">
        <f t="shared" si="28"/>
        <v>0</v>
      </c>
    </row>
    <row r="82" spans="1:24" ht="12.75" customHeight="1" x14ac:dyDescent="0.25">
      <c r="A82" s="29"/>
      <c r="B82" s="21"/>
      <c r="C82" s="164"/>
      <c r="D82" s="164"/>
      <c r="E82" s="164"/>
      <c r="F82" s="164"/>
      <c r="G82" s="164"/>
      <c r="H82" s="164"/>
      <c r="I82" s="164"/>
      <c r="J82" s="164"/>
      <c r="K82" s="164"/>
      <c r="L82" s="590"/>
      <c r="M82" s="590"/>
      <c r="N82" s="590"/>
      <c r="O82" s="164"/>
      <c r="P82" s="164">
        <f t="shared" si="29"/>
        <v>0</v>
      </c>
      <c r="Q82" s="164">
        <f t="shared" si="30"/>
        <v>0</v>
      </c>
      <c r="R82" s="164">
        <f t="shared" si="31"/>
        <v>0</v>
      </c>
      <c r="S82" s="164">
        <f>+P82*P$10+Q82*Q$10+R82*R$10</f>
        <v>0</v>
      </c>
      <c r="T82" s="277">
        <f>IF('8. WAMKK'!C82=0,0,+S82/'8. WAMKK'!C82)</f>
        <v>0</v>
      </c>
      <c r="U82" s="120"/>
      <c r="V82" s="192">
        <f t="shared" si="28"/>
        <v>0</v>
      </c>
    </row>
    <row r="83" spans="1:24" s="42" customFormat="1" ht="12.75" customHeight="1" x14ac:dyDescent="0.25">
      <c r="A83" s="4" t="s">
        <v>154</v>
      </c>
      <c r="B83" s="48" t="s">
        <v>155</v>
      </c>
      <c r="C83" s="310">
        <f>SUM(C84:C85)</f>
        <v>0</v>
      </c>
      <c r="D83" s="310">
        <f>SUM(D84:D85)</f>
        <v>0</v>
      </c>
      <c r="E83" s="310">
        <f>SUM(E84:E85)</f>
        <v>0</v>
      </c>
      <c r="F83" s="310">
        <f>SUM(F84:F85)</f>
        <v>0</v>
      </c>
      <c r="G83" s="310"/>
      <c r="H83" s="310">
        <f>SUM(H84:H85)</f>
        <v>0</v>
      </c>
      <c r="I83" s="310">
        <f>SUM(I84:I85)</f>
        <v>0</v>
      </c>
      <c r="J83" s="310">
        <f>SUM(J84:J85)</f>
        <v>0</v>
      </c>
      <c r="K83" s="311"/>
      <c r="L83" s="588">
        <f t="shared" ref="L83:N84" si="32">IF(H83&gt;0,H83/C83,0)</f>
        <v>0</v>
      </c>
      <c r="M83" s="588">
        <f t="shared" si="32"/>
        <v>0</v>
      </c>
      <c r="N83" s="588">
        <f t="shared" si="32"/>
        <v>0</v>
      </c>
      <c r="O83" s="311"/>
      <c r="P83" s="311">
        <f t="shared" si="29"/>
        <v>0</v>
      </c>
      <c r="Q83" s="311">
        <f t="shared" si="30"/>
        <v>0</v>
      </c>
      <c r="R83" s="311">
        <f t="shared" si="31"/>
        <v>0</v>
      </c>
      <c r="S83" s="311">
        <f>+P83*P$10+Q83*Q$10+R83*R$10</f>
        <v>0</v>
      </c>
      <c r="T83" s="278">
        <f>IF('8. WAMKK'!C80=0,0,+S83/'8. WAMKK'!C80)</f>
        <v>0</v>
      </c>
      <c r="U83" s="120"/>
      <c r="V83" s="192">
        <f t="shared" si="28"/>
        <v>0</v>
      </c>
    </row>
    <row r="84" spans="1:24" ht="12.75" customHeight="1" x14ac:dyDescent="0.25">
      <c r="A84" s="43"/>
      <c r="B84" s="20"/>
      <c r="C84" s="164">
        <v>0</v>
      </c>
      <c r="D84" s="164">
        <v>0</v>
      </c>
      <c r="E84" s="164"/>
      <c r="F84" s="164"/>
      <c r="G84" s="164"/>
      <c r="H84" s="164">
        <v>0</v>
      </c>
      <c r="I84" s="164"/>
      <c r="J84" s="164"/>
      <c r="K84" s="312"/>
      <c r="L84" s="591">
        <f t="shared" si="32"/>
        <v>0</v>
      </c>
      <c r="M84" s="591">
        <f t="shared" si="32"/>
        <v>0</v>
      </c>
      <c r="N84" s="591">
        <f t="shared" si="32"/>
        <v>0</v>
      </c>
      <c r="O84" s="312"/>
      <c r="P84" s="164"/>
      <c r="Q84" s="164"/>
      <c r="R84" s="164"/>
      <c r="S84" s="164"/>
      <c r="T84" s="277"/>
      <c r="U84" s="120"/>
      <c r="V84" s="192"/>
      <c r="W84" s="2"/>
    </row>
    <row r="85" spans="1:24" ht="12.75" customHeight="1" x14ac:dyDescent="0.25">
      <c r="A85" s="14"/>
      <c r="B85" s="20"/>
      <c r="C85" s="312"/>
      <c r="D85" s="164"/>
      <c r="E85" s="164"/>
      <c r="F85" s="164"/>
      <c r="G85" s="164"/>
      <c r="H85" s="164"/>
      <c r="I85" s="164"/>
      <c r="J85" s="164"/>
      <c r="K85" s="164"/>
      <c r="L85" s="590"/>
      <c r="M85" s="590"/>
      <c r="N85" s="590"/>
      <c r="O85" s="164"/>
      <c r="P85" s="164">
        <f t="shared" si="29"/>
        <v>0</v>
      </c>
      <c r="Q85" s="164">
        <f t="shared" si="30"/>
        <v>0</v>
      </c>
      <c r="R85" s="164">
        <f t="shared" si="31"/>
        <v>0</v>
      </c>
      <c r="S85" s="164">
        <f>+P85*P$10+Q85*Q$10+R85*R$10</f>
        <v>0</v>
      </c>
      <c r="T85" s="277">
        <f>IF('8. WAMKK'!C82=0,0,+S85/'8. WAMKK'!C82)</f>
        <v>0</v>
      </c>
      <c r="U85" s="120"/>
      <c r="V85" s="192">
        <f t="shared" si="28"/>
        <v>0</v>
      </c>
    </row>
    <row r="86" spans="1:24" s="42" customFormat="1" ht="12.75" customHeight="1" x14ac:dyDescent="0.25">
      <c r="A86" s="4" t="s">
        <v>169</v>
      </c>
      <c r="B86" s="48" t="s">
        <v>170</v>
      </c>
      <c r="C86" s="310">
        <f>SUM(C87:C88)</f>
        <v>0</v>
      </c>
      <c r="D86" s="310">
        <f>SUM(D87:D88)</f>
        <v>0</v>
      </c>
      <c r="E86" s="310">
        <f>SUM(E87:E88)</f>
        <v>0</v>
      </c>
      <c r="F86" s="310">
        <f>SUM(F87:F88)</f>
        <v>0</v>
      </c>
      <c r="G86" s="310"/>
      <c r="H86" s="310">
        <f>SUM(H87:H88)</f>
        <v>0</v>
      </c>
      <c r="I86" s="310">
        <f>SUM(I87:I88)</f>
        <v>0</v>
      </c>
      <c r="J86" s="310">
        <f>SUM(J87:J88)</f>
        <v>0</v>
      </c>
      <c r="K86" s="311"/>
      <c r="L86" s="588">
        <f>IF(H86&gt;0,H86/C86,0)</f>
        <v>0</v>
      </c>
      <c r="M86" s="588">
        <f>IF(I86&gt;0,I86/D86,0)</f>
        <v>0</v>
      </c>
      <c r="N86" s="588">
        <f>IF(J86&gt;0,J86/E86,0)</f>
        <v>0</v>
      </c>
      <c r="O86" s="311"/>
      <c r="P86" s="311">
        <f>+(D86-C86)*P$10</f>
        <v>0</v>
      </c>
      <c r="Q86" s="311">
        <f>+(E86-D86)*Q$10</f>
        <v>0</v>
      </c>
      <c r="R86" s="311">
        <f>+(F86-E86)*R$10</f>
        <v>0</v>
      </c>
      <c r="S86" s="311">
        <f>+P86*P$10+Q86*Q$10+R86*R$10</f>
        <v>0</v>
      </c>
      <c r="T86" s="278">
        <f>IF('8. WAMKK'!C83=0,0,+S86/'8. WAMKK'!C83)</f>
        <v>0</v>
      </c>
      <c r="U86" s="120"/>
      <c r="V86" s="192">
        <f>+S86-E86+C86</f>
        <v>0</v>
      </c>
    </row>
    <row r="87" spans="1:24" ht="12.75" customHeight="1" x14ac:dyDescent="0.25">
      <c r="A87" s="43"/>
      <c r="B87" s="20"/>
      <c r="C87" s="312"/>
      <c r="D87" s="312"/>
      <c r="E87" s="312"/>
      <c r="F87" s="312"/>
      <c r="G87" s="312"/>
      <c r="H87" s="164"/>
      <c r="I87" s="164"/>
      <c r="J87" s="164"/>
      <c r="K87" s="312"/>
      <c r="L87" s="591"/>
      <c r="M87" s="591"/>
      <c r="N87" s="591"/>
      <c r="O87" s="312"/>
      <c r="P87" s="164"/>
      <c r="Q87" s="164"/>
      <c r="R87" s="164"/>
      <c r="S87" s="164"/>
      <c r="T87" s="277"/>
      <c r="U87" s="120"/>
      <c r="V87" s="192"/>
      <c r="W87" s="2"/>
    </row>
    <row r="88" spans="1:24" ht="12.75" hidden="1" customHeight="1" x14ac:dyDescent="0.25">
      <c r="A88" s="14"/>
      <c r="B88" s="20"/>
      <c r="C88" s="312"/>
      <c r="D88" s="164"/>
      <c r="E88" s="164"/>
      <c r="F88" s="164"/>
      <c r="G88" s="164"/>
      <c r="H88" s="164"/>
      <c r="I88" s="164"/>
      <c r="J88" s="164"/>
      <c r="K88" s="164"/>
      <c r="L88" s="590" t="e">
        <f>+H88/C88</f>
        <v>#DIV/0!</v>
      </c>
      <c r="M88" s="590" t="e">
        <f>+I88/D88</f>
        <v>#DIV/0!</v>
      </c>
      <c r="N88" s="590" t="e">
        <f>+J88/E88</f>
        <v>#DIV/0!</v>
      </c>
      <c r="O88" s="164"/>
      <c r="P88" s="164">
        <f>+(D88-C88)*P$10</f>
        <v>0</v>
      </c>
      <c r="Q88" s="164">
        <f>+(E88-D88)*Q$10</f>
        <v>0</v>
      </c>
      <c r="R88" s="164">
        <f>+(F88-E88)*R$10</f>
        <v>0</v>
      </c>
      <c r="S88" s="164">
        <f>SUM(P88:R88)</f>
        <v>0</v>
      </c>
      <c r="T88" s="277">
        <f>IF('8. WAMKK'!C85=0,0,+S88/'8. WAMKK'!C85)</f>
        <v>0</v>
      </c>
      <c r="U88" s="120"/>
      <c r="V88" s="192">
        <f>+S88-E88+C88</f>
        <v>0</v>
      </c>
    </row>
    <row r="89" spans="1:24" ht="17.25" customHeight="1" x14ac:dyDescent="0.25">
      <c r="A89" s="478"/>
      <c r="B89" s="468" t="s">
        <v>374</v>
      </c>
      <c r="C89" s="475">
        <f>C13+C29+C32+C83+C86</f>
        <v>106343000</v>
      </c>
      <c r="D89" s="475">
        <f t="shared" ref="D89:J89" si="33">D13+D29+D32+D83+D86</f>
        <v>106343000</v>
      </c>
      <c r="E89" s="475">
        <f t="shared" si="33"/>
        <v>106343000</v>
      </c>
      <c r="F89" s="475">
        <f t="shared" si="33"/>
        <v>106343000</v>
      </c>
      <c r="G89" s="475"/>
      <c r="H89" s="475">
        <f t="shared" si="33"/>
        <v>53458479</v>
      </c>
      <c r="I89" s="475">
        <f t="shared" si="33"/>
        <v>71780982</v>
      </c>
      <c r="J89" s="475">
        <f t="shared" si="33"/>
        <v>102230016</v>
      </c>
      <c r="K89" s="308"/>
      <c r="L89" s="594">
        <f>IF(H89&gt;0,H89/C89,0)</f>
        <v>0.50269861674017091</v>
      </c>
      <c r="M89" s="594">
        <f>IF(I89&gt;0,I89/D89,0)</f>
        <v>0.67499489388112055</v>
      </c>
      <c r="N89" s="594">
        <f>IF(J89&gt;0,J89/E89,0)</f>
        <v>0.96132341573963498</v>
      </c>
      <c r="O89" s="308"/>
      <c r="P89" s="475">
        <f t="shared" si="29"/>
        <v>0</v>
      </c>
      <c r="Q89" s="475">
        <f t="shared" si="30"/>
        <v>0</v>
      </c>
      <c r="R89" s="475">
        <f t="shared" si="31"/>
        <v>0</v>
      </c>
      <c r="S89" s="475">
        <f>+P89*P$10+Q89*Q$10+R89*R$10</f>
        <v>0</v>
      </c>
      <c r="T89" s="472">
        <f>IF('8. WAMKK'!C89=0,0,+S89/'8. WAMKK'!C89)</f>
        <v>0</v>
      </c>
      <c r="U89" s="120"/>
      <c r="V89" s="192">
        <f t="shared" si="28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595"/>
      <c r="M90" s="595"/>
      <c r="N90" s="595"/>
      <c r="O90" s="98"/>
      <c r="P90" s="98"/>
      <c r="Q90" s="98"/>
      <c r="R90" s="98"/>
      <c r="S90" s="98"/>
      <c r="T90" s="98"/>
      <c r="U90" s="22"/>
      <c r="V90" s="192">
        <f t="shared" si="28"/>
        <v>0</v>
      </c>
      <c r="W90" s="122"/>
      <c r="X90" s="122"/>
    </row>
    <row r="91" spans="1:24" ht="10.35" customHeight="1" x14ac:dyDescent="0.25">
      <c r="A91" s="463"/>
      <c r="B91" s="463"/>
      <c r="C91" s="464"/>
      <c r="D91" s="465"/>
      <c r="E91" s="465"/>
      <c r="F91" s="465"/>
      <c r="G91" s="465"/>
      <c r="H91" s="465"/>
      <c r="I91" s="465"/>
      <c r="J91" s="465"/>
      <c r="K91" s="465"/>
      <c r="L91" s="596"/>
      <c r="M91" s="596"/>
      <c r="N91" s="596"/>
      <c r="O91" s="465"/>
      <c r="P91" s="465"/>
      <c r="Q91" s="465"/>
      <c r="R91" s="465"/>
      <c r="S91" s="465"/>
      <c r="T91" s="465"/>
      <c r="U91" s="466"/>
      <c r="V91" s="467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595"/>
      <c r="M92" s="595"/>
      <c r="N92" s="595"/>
      <c r="O92" s="98"/>
      <c r="P92" s="98"/>
      <c r="Q92" s="98"/>
      <c r="R92" s="98"/>
      <c r="S92" s="98"/>
      <c r="T92" s="98"/>
      <c r="U92" s="22"/>
      <c r="V92" s="192"/>
      <c r="W92" s="122"/>
      <c r="X92" s="122"/>
    </row>
    <row r="93" spans="1:24" s="42" customFormat="1" ht="12.75" customHeight="1" x14ac:dyDescent="0.25">
      <c r="A93" s="4" t="s">
        <v>237</v>
      </c>
      <c r="B93" s="48" t="s">
        <v>238</v>
      </c>
      <c r="C93" s="310">
        <f>SUM(C94:C94)</f>
        <v>0</v>
      </c>
      <c r="D93" s="310">
        <f>SUM(D94:D94)</f>
        <v>0</v>
      </c>
      <c r="E93" s="310">
        <f>SUM(E94:E94)</f>
        <v>0</v>
      </c>
      <c r="F93" s="310">
        <f>SUM(F94:F94)</f>
        <v>774080</v>
      </c>
      <c r="G93" s="310"/>
      <c r="H93" s="310">
        <f>SUM(H94:H94)</f>
        <v>0</v>
      </c>
      <c r="I93" s="310">
        <f>SUM(I94:I94)</f>
        <v>388680</v>
      </c>
      <c r="J93" s="310">
        <f>SUM(J94:J94)</f>
        <v>774080</v>
      </c>
      <c r="K93" s="311"/>
      <c r="L93" s="588">
        <f>IF(H93&gt;0,H93/C93,0)</f>
        <v>0</v>
      </c>
      <c r="M93" s="588" t="e">
        <f>IF(I93&gt;0,I93/D93,0)</f>
        <v>#DIV/0!</v>
      </c>
      <c r="N93" s="588" t="e">
        <f>IF(J93&gt;0,J93/E93,0)</f>
        <v>#DIV/0!</v>
      </c>
      <c r="O93" s="311"/>
      <c r="P93" s="311">
        <f t="shared" ref="P93:R94" si="34">+(D93-C93)*P$10</f>
        <v>0</v>
      </c>
      <c r="Q93" s="311">
        <f t="shared" si="34"/>
        <v>0</v>
      </c>
      <c r="R93" s="311">
        <f t="shared" si="34"/>
        <v>774080</v>
      </c>
      <c r="S93" s="311">
        <f t="shared" ref="S93:S102" si="35">+P93*P$10+Q93*Q$10+R93*R$10</f>
        <v>774080</v>
      </c>
      <c r="T93" s="278">
        <f>IF('8. WAMKK'!C90=0,0,+S93/'8. WAMKK'!C90)</f>
        <v>0</v>
      </c>
      <c r="U93" s="120"/>
      <c r="V93" s="192">
        <f>+S93-E93+C93</f>
        <v>774080</v>
      </c>
    </row>
    <row r="94" spans="1:24" ht="12.75" customHeight="1" x14ac:dyDescent="0.25">
      <c r="A94" s="43"/>
      <c r="B94" s="20"/>
      <c r="C94" s="312"/>
      <c r="D94" s="312"/>
      <c r="E94" s="312"/>
      <c r="F94" s="312">
        <v>774080</v>
      </c>
      <c r="G94" s="312"/>
      <c r="H94" s="164"/>
      <c r="I94" s="164">
        <v>388680</v>
      </c>
      <c r="J94" s="164">
        <v>774080</v>
      </c>
      <c r="K94" s="312"/>
      <c r="L94" s="591"/>
      <c r="M94" s="591"/>
      <c r="N94" s="591"/>
      <c r="O94" s="312"/>
      <c r="P94" s="164">
        <f t="shared" si="34"/>
        <v>0</v>
      </c>
      <c r="Q94" s="164">
        <f t="shared" si="34"/>
        <v>0</v>
      </c>
      <c r="R94" s="164">
        <f t="shared" si="34"/>
        <v>774080</v>
      </c>
      <c r="S94" s="164">
        <f t="shared" si="35"/>
        <v>774080</v>
      </c>
      <c r="T94" s="277">
        <f>IF('8. WAMKK'!C91=0,0,+S94/'8. WAMKK'!C91)</f>
        <v>0</v>
      </c>
      <c r="U94" s="120"/>
      <c r="V94" s="192">
        <f>+S94-E94+C94</f>
        <v>774080</v>
      </c>
      <c r="W94" s="2"/>
    </row>
    <row r="95" spans="1:24" s="42" customFormat="1" ht="12.75" customHeight="1" x14ac:dyDescent="0.25">
      <c r="A95" s="4" t="s">
        <v>280</v>
      </c>
      <c r="B95" s="3" t="s">
        <v>281</v>
      </c>
      <c r="C95" s="310">
        <f>SUM(C96:C98)</f>
        <v>30135000</v>
      </c>
      <c r="D95" s="310">
        <f t="shared" ref="D95:J95" si="36">SUM(D96:D98)</f>
        <v>30135000</v>
      </c>
      <c r="E95" s="310">
        <f t="shared" si="36"/>
        <v>30135000</v>
      </c>
      <c r="F95" s="310">
        <f t="shared" si="36"/>
        <v>27998884</v>
      </c>
      <c r="G95" s="310"/>
      <c r="H95" s="310">
        <f t="shared" si="36"/>
        <v>13819359</v>
      </c>
      <c r="I95" s="310">
        <f t="shared" si="36"/>
        <v>18954964</v>
      </c>
      <c r="J95" s="310">
        <f t="shared" si="36"/>
        <v>28625524</v>
      </c>
      <c r="K95" s="311"/>
      <c r="L95" s="588">
        <f t="shared" ref="L95:L102" si="37">IF(H95&gt;0,H95/C95,0)</f>
        <v>0.45858168242906922</v>
      </c>
      <c r="M95" s="588">
        <f t="shared" ref="M95:M102" si="38">IF(I95&gt;0,I95/D95,0)</f>
        <v>0.6290016260162602</v>
      </c>
      <c r="N95" s="588">
        <f t="shared" ref="N95:N102" si="39">IF(J95&gt;0,J95/E95,0)</f>
        <v>0.94990954040152642</v>
      </c>
      <c r="O95" s="311"/>
      <c r="P95" s="311">
        <f t="shared" si="29"/>
        <v>0</v>
      </c>
      <c r="Q95" s="311">
        <f t="shared" si="30"/>
        <v>0</v>
      </c>
      <c r="R95" s="311">
        <f t="shared" si="31"/>
        <v>-2136116</v>
      </c>
      <c r="S95" s="311">
        <f t="shared" si="35"/>
        <v>-2136116</v>
      </c>
      <c r="T95" s="278">
        <f>IF('8. WAMKK'!C93=0,0,+S95/'8. WAMKK'!C93)</f>
        <v>0</v>
      </c>
      <c r="U95" s="120"/>
      <c r="V95" s="192">
        <f t="shared" si="28"/>
        <v>-2136116</v>
      </c>
    </row>
    <row r="96" spans="1:24" ht="12.75" customHeight="1" x14ac:dyDescent="0.25">
      <c r="A96" s="14" t="s">
        <v>291</v>
      </c>
      <c r="B96" s="20" t="s">
        <v>292</v>
      </c>
      <c r="C96" s="312">
        <v>24000000</v>
      </c>
      <c r="D96" s="312">
        <v>24000000</v>
      </c>
      <c r="E96" s="312">
        <v>24000000</v>
      </c>
      <c r="F96" s="164">
        <v>21908191</v>
      </c>
      <c r="G96" s="164"/>
      <c r="H96" s="164">
        <v>10878923</v>
      </c>
      <c r="I96" s="164">
        <v>14921645</v>
      </c>
      <c r="J96" s="164">
        <v>22535726</v>
      </c>
      <c r="K96" s="164"/>
      <c r="L96" s="591">
        <f t="shared" si="37"/>
        <v>0.45328845833333331</v>
      </c>
      <c r="M96" s="591">
        <f t="shared" si="38"/>
        <v>0.62173520833333329</v>
      </c>
      <c r="N96" s="591">
        <f t="shared" si="39"/>
        <v>0.93898858333333335</v>
      </c>
      <c r="O96" s="164"/>
      <c r="P96" s="164">
        <f t="shared" si="29"/>
        <v>0</v>
      </c>
      <c r="Q96" s="164">
        <f t="shared" si="30"/>
        <v>0</v>
      </c>
      <c r="R96" s="164">
        <f t="shared" si="31"/>
        <v>-2091809</v>
      </c>
      <c r="S96" s="164">
        <f t="shared" si="35"/>
        <v>-2091809</v>
      </c>
      <c r="T96" s="277">
        <f>IF('8. WAMKK'!C94=0,0,+S96/'8. WAMKK'!C94)</f>
        <v>0</v>
      </c>
      <c r="U96" s="120"/>
      <c r="V96" s="192">
        <f t="shared" si="28"/>
        <v>-2091809</v>
      </c>
    </row>
    <row r="97" spans="1:23" ht="12.75" customHeight="1" x14ac:dyDescent="0.25">
      <c r="A97" s="14" t="s">
        <v>294</v>
      </c>
      <c r="B97" s="20" t="s">
        <v>295</v>
      </c>
      <c r="C97" s="312">
        <v>6125000</v>
      </c>
      <c r="D97" s="312">
        <v>6125000</v>
      </c>
      <c r="E97" s="312">
        <v>6125000</v>
      </c>
      <c r="F97" s="164">
        <v>6084693</v>
      </c>
      <c r="G97" s="164"/>
      <c r="H97" s="164">
        <v>2937293</v>
      </c>
      <c r="I97" s="550">
        <v>4028836</v>
      </c>
      <c r="J97" s="164">
        <v>6084693</v>
      </c>
      <c r="K97" s="164"/>
      <c r="L97" s="591">
        <f t="shared" si="37"/>
        <v>0.47955804081632653</v>
      </c>
      <c r="M97" s="591">
        <f t="shared" si="38"/>
        <v>0.65776914285714283</v>
      </c>
      <c r="N97" s="591">
        <f t="shared" si="39"/>
        <v>0.99341926530612246</v>
      </c>
      <c r="O97" s="164"/>
      <c r="P97" s="164">
        <f t="shared" si="29"/>
        <v>0</v>
      </c>
      <c r="Q97" s="164">
        <f t="shared" si="30"/>
        <v>0</v>
      </c>
      <c r="R97" s="164">
        <f t="shared" si="31"/>
        <v>-40307</v>
      </c>
      <c r="S97" s="164">
        <f t="shared" si="35"/>
        <v>-40307</v>
      </c>
      <c r="T97" s="277">
        <f>IF('8. WAMKK'!C95=0,0,+S97/'8. WAMKK'!C95)</f>
        <v>-3.3011466011466012E-2</v>
      </c>
      <c r="U97" s="120"/>
      <c r="V97" s="192">
        <f t="shared" si="28"/>
        <v>-40307</v>
      </c>
    </row>
    <row r="98" spans="1:23" ht="12.75" customHeight="1" x14ac:dyDescent="0.25">
      <c r="A98" s="526" t="s">
        <v>458</v>
      </c>
      <c r="B98" s="479" t="s">
        <v>460</v>
      </c>
      <c r="C98" s="312">
        <v>10000</v>
      </c>
      <c r="D98" s="312">
        <v>10000</v>
      </c>
      <c r="E98" s="312">
        <v>10000</v>
      </c>
      <c r="F98" s="164">
        <v>6000</v>
      </c>
      <c r="G98" s="164"/>
      <c r="H98" s="164">
        <f>129+3014</f>
        <v>3143</v>
      </c>
      <c r="I98" s="164">
        <f>244+4239</f>
        <v>4483</v>
      </c>
      <c r="J98" s="164">
        <f>298+4807</f>
        <v>5105</v>
      </c>
      <c r="K98" s="164"/>
      <c r="L98" s="597">
        <f t="shared" si="37"/>
        <v>0.31430000000000002</v>
      </c>
      <c r="M98" s="597">
        <f t="shared" si="38"/>
        <v>0.44829999999999998</v>
      </c>
      <c r="N98" s="597">
        <f t="shared" si="39"/>
        <v>0.51049999999999995</v>
      </c>
      <c r="O98" s="164"/>
      <c r="P98" s="164">
        <f t="shared" si="29"/>
        <v>0</v>
      </c>
      <c r="Q98" s="164">
        <f t="shared" si="30"/>
        <v>0</v>
      </c>
      <c r="R98" s="164">
        <f t="shared" si="31"/>
        <v>-4000</v>
      </c>
      <c r="S98" s="164">
        <f t="shared" si="35"/>
        <v>-4000</v>
      </c>
      <c r="T98" s="277">
        <f>IF('8. WAMKK'!C96=0,0,+S98/'8. WAMKK'!C96)</f>
        <v>-3.3333333333333335E-3</v>
      </c>
      <c r="U98" s="120"/>
      <c r="V98" s="192">
        <f t="shared" si="28"/>
        <v>-4000</v>
      </c>
    </row>
    <row r="99" spans="1:23" s="42" customFormat="1" ht="12.75" customHeight="1" x14ac:dyDescent="0.25">
      <c r="A99" s="4" t="s">
        <v>329</v>
      </c>
      <c r="B99" s="3" t="s">
        <v>330</v>
      </c>
      <c r="C99" s="310">
        <f>SUM(C100:C101)</f>
        <v>76208000</v>
      </c>
      <c r="D99" s="310">
        <f t="shared" ref="D99:J99" si="40">SUM(D100:D101)</f>
        <v>76208000</v>
      </c>
      <c r="E99" s="310">
        <f t="shared" si="40"/>
        <v>76208000</v>
      </c>
      <c r="F99" s="310">
        <f t="shared" si="40"/>
        <v>77570036</v>
      </c>
      <c r="G99" s="310"/>
      <c r="H99" s="310">
        <f t="shared" si="40"/>
        <v>43371562</v>
      </c>
      <c r="I99" s="310">
        <f t="shared" si="40"/>
        <v>57187714</v>
      </c>
      <c r="J99" s="310">
        <f t="shared" si="40"/>
        <v>77570036</v>
      </c>
      <c r="K99" s="311"/>
      <c r="L99" s="588">
        <f t="shared" si="37"/>
        <v>0.56912085345370567</v>
      </c>
      <c r="M99" s="588">
        <f t="shared" si="38"/>
        <v>0.75041615053537691</v>
      </c>
      <c r="N99" s="588">
        <f t="shared" si="39"/>
        <v>1.0178726117992862</v>
      </c>
      <c r="O99" s="311"/>
      <c r="P99" s="311">
        <f t="shared" si="29"/>
        <v>0</v>
      </c>
      <c r="Q99" s="311">
        <f t="shared" si="30"/>
        <v>0</v>
      </c>
      <c r="R99" s="311">
        <f t="shared" si="31"/>
        <v>1362036</v>
      </c>
      <c r="S99" s="311">
        <f t="shared" si="35"/>
        <v>1362036</v>
      </c>
      <c r="T99" s="278">
        <f>IF('8. WAMKK'!C97=0,0,+S99/'8. WAMKK'!C97)</f>
        <v>123.82145454545454</v>
      </c>
      <c r="U99" s="120"/>
      <c r="V99" s="192">
        <f t="shared" si="28"/>
        <v>1362036</v>
      </c>
    </row>
    <row r="100" spans="1:23" ht="12.75" customHeight="1" x14ac:dyDescent="0.25">
      <c r="A100" s="43" t="s">
        <v>355</v>
      </c>
      <c r="B100" s="20" t="s">
        <v>383</v>
      </c>
      <c r="C100" s="312">
        <f>+C104</f>
        <v>71398746</v>
      </c>
      <c r="D100" s="312">
        <v>71398746</v>
      </c>
      <c r="E100" s="312">
        <v>71398746</v>
      </c>
      <c r="F100" s="312">
        <v>72760782</v>
      </c>
      <c r="G100" s="312"/>
      <c r="H100" s="164">
        <v>38562308</v>
      </c>
      <c r="I100" s="164">
        <v>52378460</v>
      </c>
      <c r="J100" s="164">
        <v>72760782</v>
      </c>
      <c r="K100" s="312"/>
      <c r="L100" s="591">
        <f t="shared" si="37"/>
        <v>0.54009783309079407</v>
      </c>
      <c r="M100" s="591">
        <f t="shared" si="38"/>
        <v>0.73360476106961314</v>
      </c>
      <c r="N100" s="591">
        <f t="shared" si="39"/>
        <v>1.0190764694942962</v>
      </c>
      <c r="O100" s="312"/>
      <c r="P100" s="164">
        <f t="shared" si="29"/>
        <v>0</v>
      </c>
      <c r="Q100" s="164">
        <f t="shared" si="30"/>
        <v>0</v>
      </c>
      <c r="R100" s="164">
        <f t="shared" si="31"/>
        <v>1362036</v>
      </c>
      <c r="S100" s="164">
        <f t="shared" si="35"/>
        <v>1362036</v>
      </c>
      <c r="T100" s="277">
        <f>IF('8. WAMKK'!C98=0,0,+S100/'8. WAMKK'!C98)</f>
        <v>136.20359999999999</v>
      </c>
      <c r="U100" s="120"/>
      <c r="V100" s="192">
        <f t="shared" si="28"/>
        <v>1362036</v>
      </c>
      <c r="W100" s="2"/>
    </row>
    <row r="101" spans="1:23" ht="12.75" customHeight="1" x14ac:dyDescent="0.25">
      <c r="A101" s="14" t="s">
        <v>343</v>
      </c>
      <c r="B101" s="20" t="s">
        <v>344</v>
      </c>
      <c r="C101" s="561">
        <v>4809254</v>
      </c>
      <c r="D101" s="164">
        <v>4809254</v>
      </c>
      <c r="E101" s="164">
        <v>4809254</v>
      </c>
      <c r="F101" s="164">
        <v>4809254</v>
      </c>
      <c r="G101" s="164"/>
      <c r="H101" s="164">
        <v>4809254</v>
      </c>
      <c r="I101" s="164">
        <v>4809254</v>
      </c>
      <c r="J101" s="164">
        <v>4809254</v>
      </c>
      <c r="K101" s="164"/>
      <c r="L101" s="590">
        <f t="shared" si="37"/>
        <v>1</v>
      </c>
      <c r="M101" s="590">
        <f t="shared" si="38"/>
        <v>1</v>
      </c>
      <c r="N101" s="590">
        <f t="shared" si="39"/>
        <v>1</v>
      </c>
      <c r="O101" s="164"/>
      <c r="P101" s="164">
        <f t="shared" si="29"/>
        <v>0</v>
      </c>
      <c r="Q101" s="164">
        <f t="shared" si="30"/>
        <v>0</v>
      </c>
      <c r="R101" s="164">
        <f t="shared" si="31"/>
        <v>0</v>
      </c>
      <c r="S101" s="164">
        <f t="shared" si="35"/>
        <v>0</v>
      </c>
      <c r="T101" s="277">
        <f>IF('8. WAMKK'!C99=0,0,+S101/'8. WAMKK'!C99)</f>
        <v>0</v>
      </c>
      <c r="U101" s="120"/>
      <c r="V101" s="192">
        <f t="shared" si="28"/>
        <v>0</v>
      </c>
    </row>
    <row r="102" spans="1:23" ht="21.75" customHeight="1" x14ac:dyDescent="0.25">
      <c r="A102" s="468"/>
      <c r="B102" s="468" t="s">
        <v>372</v>
      </c>
      <c r="C102" s="475">
        <f>+C95+C99+C93</f>
        <v>106343000</v>
      </c>
      <c r="D102" s="475">
        <f>+D95+D99+D93</f>
        <v>106343000</v>
      </c>
      <c r="E102" s="475">
        <f>+E95+E99+E93</f>
        <v>106343000</v>
      </c>
      <c r="F102" s="475">
        <f>+F95+F99+F93</f>
        <v>106343000</v>
      </c>
      <c r="G102" s="475"/>
      <c r="H102" s="475">
        <f>+H95+H99+H93</f>
        <v>57190921</v>
      </c>
      <c r="I102" s="475">
        <f>+I95+I99+I93</f>
        <v>76531358</v>
      </c>
      <c r="J102" s="475">
        <f>+J95+J99+J93</f>
        <v>106969640</v>
      </c>
      <c r="K102" s="308"/>
      <c r="L102" s="594">
        <f t="shared" si="37"/>
        <v>0.53779676142294275</v>
      </c>
      <c r="M102" s="594">
        <f t="shared" si="38"/>
        <v>0.71966521538794281</v>
      </c>
      <c r="N102" s="594">
        <f t="shared" si="39"/>
        <v>1.0058926304505234</v>
      </c>
      <c r="O102" s="308"/>
      <c r="P102" s="475">
        <f t="shared" si="29"/>
        <v>0</v>
      </c>
      <c r="Q102" s="475">
        <f t="shared" si="30"/>
        <v>0</v>
      </c>
      <c r="R102" s="475">
        <f t="shared" si="31"/>
        <v>0</v>
      </c>
      <c r="S102" s="475">
        <f t="shared" si="35"/>
        <v>0</v>
      </c>
      <c r="T102" s="472">
        <f>IF('8. WAMKK'!C100=0,0,+S102/'8. WAMKK'!C100)</f>
        <v>0</v>
      </c>
      <c r="U102" s="120"/>
      <c r="V102" s="192">
        <f>+S102-E102+C102</f>
        <v>0</v>
      </c>
    </row>
    <row r="103" spans="1:23" ht="12.75" customHeight="1" x14ac:dyDescent="0.25">
      <c r="C103" s="313"/>
      <c r="D103" s="313"/>
      <c r="E103" s="313"/>
      <c r="F103" s="313"/>
      <c r="G103" s="313"/>
      <c r="H103" s="313"/>
      <c r="I103" s="313"/>
      <c r="J103" s="313"/>
      <c r="K103" s="313"/>
      <c r="L103" s="598"/>
      <c r="M103" s="598"/>
      <c r="N103" s="598"/>
      <c r="O103" s="313"/>
      <c r="P103" s="313"/>
      <c r="Q103" s="313"/>
      <c r="R103" s="313"/>
      <c r="S103" s="313"/>
    </row>
    <row r="104" spans="1:23" ht="12.75" customHeight="1" x14ac:dyDescent="0.25">
      <c r="C104" s="313">
        <f>+C89-C95-C101</f>
        <v>71398746</v>
      </c>
      <c r="D104" s="313"/>
      <c r="E104" s="313"/>
      <c r="F104" s="313"/>
      <c r="G104" s="313"/>
      <c r="H104" s="313"/>
      <c r="I104" s="313"/>
      <c r="J104" s="313"/>
      <c r="K104" s="313"/>
      <c r="L104" s="598"/>
      <c r="M104" s="598"/>
      <c r="N104" s="598"/>
      <c r="O104" s="313"/>
      <c r="P104" s="313"/>
      <c r="Q104" s="313"/>
      <c r="R104" s="313"/>
      <c r="S104" s="313"/>
    </row>
    <row r="105" spans="1:23" ht="12.75" customHeight="1" x14ac:dyDescent="0.25">
      <c r="L105" s="598"/>
      <c r="M105" s="598"/>
      <c r="N105" s="598"/>
    </row>
    <row r="106" spans="1:23" ht="12.75" customHeight="1" x14ac:dyDescent="0.25">
      <c r="L106" s="598"/>
      <c r="M106" s="598"/>
      <c r="N106" s="598"/>
    </row>
    <row r="107" spans="1:23" ht="12.75" customHeight="1" x14ac:dyDescent="0.25">
      <c r="A107" s="59"/>
      <c r="B107" s="59" t="s">
        <v>468</v>
      </c>
      <c r="C107" s="17"/>
      <c r="D107" s="19"/>
      <c r="L107" s="598"/>
      <c r="M107" s="598"/>
      <c r="N107" s="598"/>
    </row>
  </sheetData>
  <mergeCells count="6">
    <mergeCell ref="C9:F9"/>
    <mergeCell ref="H9:N9"/>
    <mergeCell ref="P9:T9"/>
    <mergeCell ref="H10:J10"/>
    <mergeCell ref="L10:N10"/>
    <mergeCell ref="C10:F10"/>
  </mergeCells>
  <phoneticPr fontId="2" type="noConversion"/>
  <printOptions horizontalCentered="1"/>
  <pageMargins left="0" right="0" top="0.59055118110236227" bottom="0" header="0.51181102362204722" footer="0.51181102362204722"/>
  <pageSetup paperSize="9" scale="53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F4" sqref="F4"/>
    </sheetView>
  </sheetViews>
  <sheetFormatPr defaultRowHeight="13.2" x14ac:dyDescent="0.25"/>
  <cols>
    <col min="1" max="1" width="8.21875" customWidth="1"/>
    <col min="2" max="2" width="41" customWidth="1"/>
    <col min="3" max="6" width="32.77734375" customWidth="1"/>
    <col min="257" max="257" width="8.21875" customWidth="1"/>
    <col min="258" max="258" width="41" customWidth="1"/>
    <col min="259" max="262" width="32.77734375" customWidth="1"/>
    <col min="513" max="513" width="8.21875" customWidth="1"/>
    <col min="514" max="514" width="41" customWidth="1"/>
    <col min="515" max="518" width="32.77734375" customWidth="1"/>
    <col min="769" max="769" width="8.21875" customWidth="1"/>
    <col min="770" max="770" width="41" customWidth="1"/>
    <col min="771" max="774" width="32.77734375" customWidth="1"/>
    <col min="1025" max="1025" width="8.21875" customWidth="1"/>
    <col min="1026" max="1026" width="41" customWidth="1"/>
    <col min="1027" max="1030" width="32.77734375" customWidth="1"/>
    <col min="1281" max="1281" width="8.21875" customWidth="1"/>
    <col min="1282" max="1282" width="41" customWidth="1"/>
    <col min="1283" max="1286" width="32.77734375" customWidth="1"/>
    <col min="1537" max="1537" width="8.21875" customWidth="1"/>
    <col min="1538" max="1538" width="41" customWidth="1"/>
    <col min="1539" max="1542" width="32.77734375" customWidth="1"/>
    <col min="1793" max="1793" width="8.21875" customWidth="1"/>
    <col min="1794" max="1794" width="41" customWidth="1"/>
    <col min="1795" max="1798" width="32.77734375" customWidth="1"/>
    <col min="2049" max="2049" width="8.21875" customWidth="1"/>
    <col min="2050" max="2050" width="41" customWidth="1"/>
    <col min="2051" max="2054" width="32.77734375" customWidth="1"/>
    <col min="2305" max="2305" width="8.21875" customWidth="1"/>
    <col min="2306" max="2306" width="41" customWidth="1"/>
    <col min="2307" max="2310" width="32.77734375" customWidth="1"/>
    <col min="2561" max="2561" width="8.21875" customWidth="1"/>
    <col min="2562" max="2562" width="41" customWidth="1"/>
    <col min="2563" max="2566" width="32.77734375" customWidth="1"/>
    <col min="2817" max="2817" width="8.21875" customWidth="1"/>
    <col min="2818" max="2818" width="41" customWidth="1"/>
    <col min="2819" max="2822" width="32.77734375" customWidth="1"/>
    <col min="3073" max="3073" width="8.21875" customWidth="1"/>
    <col min="3074" max="3074" width="41" customWidth="1"/>
    <col min="3075" max="3078" width="32.77734375" customWidth="1"/>
    <col min="3329" max="3329" width="8.21875" customWidth="1"/>
    <col min="3330" max="3330" width="41" customWidth="1"/>
    <col min="3331" max="3334" width="32.77734375" customWidth="1"/>
    <col min="3585" max="3585" width="8.21875" customWidth="1"/>
    <col min="3586" max="3586" width="41" customWidth="1"/>
    <col min="3587" max="3590" width="32.77734375" customWidth="1"/>
    <col min="3841" max="3841" width="8.21875" customWidth="1"/>
    <col min="3842" max="3842" width="41" customWidth="1"/>
    <col min="3843" max="3846" width="32.77734375" customWidth="1"/>
    <col min="4097" max="4097" width="8.21875" customWidth="1"/>
    <col min="4098" max="4098" width="41" customWidth="1"/>
    <col min="4099" max="4102" width="32.77734375" customWidth="1"/>
    <col min="4353" max="4353" width="8.21875" customWidth="1"/>
    <col min="4354" max="4354" width="41" customWidth="1"/>
    <col min="4355" max="4358" width="32.77734375" customWidth="1"/>
    <col min="4609" max="4609" width="8.21875" customWidth="1"/>
    <col min="4610" max="4610" width="41" customWidth="1"/>
    <col min="4611" max="4614" width="32.77734375" customWidth="1"/>
    <col min="4865" max="4865" width="8.21875" customWidth="1"/>
    <col min="4866" max="4866" width="41" customWidth="1"/>
    <col min="4867" max="4870" width="32.77734375" customWidth="1"/>
    <col min="5121" max="5121" width="8.21875" customWidth="1"/>
    <col min="5122" max="5122" width="41" customWidth="1"/>
    <col min="5123" max="5126" width="32.77734375" customWidth="1"/>
    <col min="5377" max="5377" width="8.21875" customWidth="1"/>
    <col min="5378" max="5378" width="41" customWidth="1"/>
    <col min="5379" max="5382" width="32.77734375" customWidth="1"/>
    <col min="5633" max="5633" width="8.21875" customWidth="1"/>
    <col min="5634" max="5634" width="41" customWidth="1"/>
    <col min="5635" max="5638" width="32.77734375" customWidth="1"/>
    <col min="5889" max="5889" width="8.21875" customWidth="1"/>
    <col min="5890" max="5890" width="41" customWidth="1"/>
    <col min="5891" max="5894" width="32.77734375" customWidth="1"/>
    <col min="6145" max="6145" width="8.21875" customWidth="1"/>
    <col min="6146" max="6146" width="41" customWidth="1"/>
    <col min="6147" max="6150" width="32.77734375" customWidth="1"/>
    <col min="6401" max="6401" width="8.21875" customWidth="1"/>
    <col min="6402" max="6402" width="41" customWidth="1"/>
    <col min="6403" max="6406" width="32.77734375" customWidth="1"/>
    <col min="6657" max="6657" width="8.21875" customWidth="1"/>
    <col min="6658" max="6658" width="41" customWidth="1"/>
    <col min="6659" max="6662" width="32.77734375" customWidth="1"/>
    <col min="6913" max="6913" width="8.21875" customWidth="1"/>
    <col min="6914" max="6914" width="41" customWidth="1"/>
    <col min="6915" max="6918" width="32.77734375" customWidth="1"/>
    <col min="7169" max="7169" width="8.21875" customWidth="1"/>
    <col min="7170" max="7170" width="41" customWidth="1"/>
    <col min="7171" max="7174" width="32.77734375" customWidth="1"/>
    <col min="7425" max="7425" width="8.21875" customWidth="1"/>
    <col min="7426" max="7426" width="41" customWidth="1"/>
    <col min="7427" max="7430" width="32.77734375" customWidth="1"/>
    <col min="7681" max="7681" width="8.21875" customWidth="1"/>
    <col min="7682" max="7682" width="41" customWidth="1"/>
    <col min="7683" max="7686" width="32.77734375" customWidth="1"/>
    <col min="7937" max="7937" width="8.21875" customWidth="1"/>
    <col min="7938" max="7938" width="41" customWidth="1"/>
    <col min="7939" max="7942" width="32.77734375" customWidth="1"/>
    <col min="8193" max="8193" width="8.21875" customWidth="1"/>
    <col min="8194" max="8194" width="41" customWidth="1"/>
    <col min="8195" max="8198" width="32.77734375" customWidth="1"/>
    <col min="8449" max="8449" width="8.21875" customWidth="1"/>
    <col min="8450" max="8450" width="41" customWidth="1"/>
    <col min="8451" max="8454" width="32.77734375" customWidth="1"/>
    <col min="8705" max="8705" width="8.21875" customWidth="1"/>
    <col min="8706" max="8706" width="41" customWidth="1"/>
    <col min="8707" max="8710" width="32.77734375" customWidth="1"/>
    <col min="8961" max="8961" width="8.21875" customWidth="1"/>
    <col min="8962" max="8962" width="41" customWidth="1"/>
    <col min="8963" max="8966" width="32.77734375" customWidth="1"/>
    <col min="9217" max="9217" width="8.21875" customWidth="1"/>
    <col min="9218" max="9218" width="41" customWidth="1"/>
    <col min="9219" max="9222" width="32.77734375" customWidth="1"/>
    <col min="9473" max="9473" width="8.21875" customWidth="1"/>
    <col min="9474" max="9474" width="41" customWidth="1"/>
    <col min="9475" max="9478" width="32.77734375" customWidth="1"/>
    <col min="9729" max="9729" width="8.21875" customWidth="1"/>
    <col min="9730" max="9730" width="41" customWidth="1"/>
    <col min="9731" max="9734" width="32.77734375" customWidth="1"/>
    <col min="9985" max="9985" width="8.21875" customWidth="1"/>
    <col min="9986" max="9986" width="41" customWidth="1"/>
    <col min="9987" max="9990" width="32.77734375" customWidth="1"/>
    <col min="10241" max="10241" width="8.21875" customWidth="1"/>
    <col min="10242" max="10242" width="41" customWidth="1"/>
    <col min="10243" max="10246" width="32.77734375" customWidth="1"/>
    <col min="10497" max="10497" width="8.21875" customWidth="1"/>
    <col min="10498" max="10498" width="41" customWidth="1"/>
    <col min="10499" max="10502" width="32.77734375" customWidth="1"/>
    <col min="10753" max="10753" width="8.21875" customWidth="1"/>
    <col min="10754" max="10754" width="41" customWidth="1"/>
    <col min="10755" max="10758" width="32.77734375" customWidth="1"/>
    <col min="11009" max="11009" width="8.21875" customWidth="1"/>
    <col min="11010" max="11010" width="41" customWidth="1"/>
    <col min="11011" max="11014" width="32.77734375" customWidth="1"/>
    <col min="11265" max="11265" width="8.21875" customWidth="1"/>
    <col min="11266" max="11266" width="41" customWidth="1"/>
    <col min="11267" max="11270" width="32.77734375" customWidth="1"/>
    <col min="11521" max="11521" width="8.21875" customWidth="1"/>
    <col min="11522" max="11522" width="41" customWidth="1"/>
    <col min="11523" max="11526" width="32.77734375" customWidth="1"/>
    <col min="11777" max="11777" width="8.21875" customWidth="1"/>
    <col min="11778" max="11778" width="41" customWidth="1"/>
    <col min="11779" max="11782" width="32.77734375" customWidth="1"/>
    <col min="12033" max="12033" width="8.21875" customWidth="1"/>
    <col min="12034" max="12034" width="41" customWidth="1"/>
    <col min="12035" max="12038" width="32.77734375" customWidth="1"/>
    <col min="12289" max="12289" width="8.21875" customWidth="1"/>
    <col min="12290" max="12290" width="41" customWidth="1"/>
    <col min="12291" max="12294" width="32.77734375" customWidth="1"/>
    <col min="12545" max="12545" width="8.21875" customWidth="1"/>
    <col min="12546" max="12546" width="41" customWidth="1"/>
    <col min="12547" max="12550" width="32.77734375" customWidth="1"/>
    <col min="12801" max="12801" width="8.21875" customWidth="1"/>
    <col min="12802" max="12802" width="41" customWidth="1"/>
    <col min="12803" max="12806" width="32.77734375" customWidth="1"/>
    <col min="13057" max="13057" width="8.21875" customWidth="1"/>
    <col min="13058" max="13058" width="41" customWidth="1"/>
    <col min="13059" max="13062" width="32.77734375" customWidth="1"/>
    <col min="13313" max="13313" width="8.21875" customWidth="1"/>
    <col min="13314" max="13314" width="41" customWidth="1"/>
    <col min="13315" max="13318" width="32.77734375" customWidth="1"/>
    <col min="13569" max="13569" width="8.21875" customWidth="1"/>
    <col min="13570" max="13570" width="41" customWidth="1"/>
    <col min="13571" max="13574" width="32.77734375" customWidth="1"/>
    <col min="13825" max="13825" width="8.21875" customWidth="1"/>
    <col min="13826" max="13826" width="41" customWidth="1"/>
    <col min="13827" max="13830" width="32.77734375" customWidth="1"/>
    <col min="14081" max="14081" width="8.21875" customWidth="1"/>
    <col min="14082" max="14082" width="41" customWidth="1"/>
    <col min="14083" max="14086" width="32.77734375" customWidth="1"/>
    <col min="14337" max="14337" width="8.21875" customWidth="1"/>
    <col min="14338" max="14338" width="41" customWidth="1"/>
    <col min="14339" max="14342" width="32.77734375" customWidth="1"/>
    <col min="14593" max="14593" width="8.21875" customWidth="1"/>
    <col min="14594" max="14594" width="41" customWidth="1"/>
    <col min="14595" max="14598" width="32.77734375" customWidth="1"/>
    <col min="14849" max="14849" width="8.21875" customWidth="1"/>
    <col min="14850" max="14850" width="41" customWidth="1"/>
    <col min="14851" max="14854" width="32.77734375" customWidth="1"/>
    <col min="15105" max="15105" width="8.21875" customWidth="1"/>
    <col min="15106" max="15106" width="41" customWidth="1"/>
    <col min="15107" max="15110" width="32.77734375" customWidth="1"/>
    <col min="15361" max="15361" width="8.21875" customWidth="1"/>
    <col min="15362" max="15362" width="41" customWidth="1"/>
    <col min="15363" max="15366" width="32.77734375" customWidth="1"/>
    <col min="15617" max="15617" width="8.21875" customWidth="1"/>
    <col min="15618" max="15618" width="41" customWidth="1"/>
    <col min="15619" max="15622" width="32.77734375" customWidth="1"/>
    <col min="15873" max="15873" width="8.21875" customWidth="1"/>
    <col min="15874" max="15874" width="41" customWidth="1"/>
    <col min="15875" max="15878" width="32.77734375" customWidth="1"/>
    <col min="16129" max="16129" width="8.21875" customWidth="1"/>
    <col min="16130" max="16130" width="41" customWidth="1"/>
    <col min="16131" max="16134" width="32.77734375" customWidth="1"/>
  </cols>
  <sheetData>
    <row r="1" spans="1:6" ht="21" customHeight="1" x14ac:dyDescent="0.25">
      <c r="A1" s="1455" t="s">
        <v>467</v>
      </c>
      <c r="B1" s="1455"/>
      <c r="C1" s="1455"/>
      <c r="D1" s="1455"/>
      <c r="E1" s="1455"/>
      <c r="F1" s="1455"/>
    </row>
    <row r="2" spans="1:6" ht="19.8" customHeight="1" x14ac:dyDescent="0.25">
      <c r="A2" s="1455" t="s">
        <v>561</v>
      </c>
      <c r="B2" s="1455"/>
      <c r="C2" s="1455"/>
      <c r="D2" s="1455"/>
      <c r="E2" s="1455"/>
      <c r="F2" s="1455"/>
    </row>
    <row r="3" spans="1:6" ht="18.600000000000001" customHeight="1" x14ac:dyDescent="0.25">
      <c r="A3" s="1455" t="s">
        <v>560</v>
      </c>
      <c r="B3" s="1455"/>
      <c r="C3" s="1455"/>
      <c r="D3" s="1455"/>
      <c r="E3" s="1455"/>
      <c r="F3" s="1455"/>
    </row>
    <row r="4" spans="1:6" ht="13.8" thickBot="1" x14ac:dyDescent="0.3">
      <c r="A4" s="42"/>
      <c r="F4" s="832" t="s">
        <v>1113</v>
      </c>
    </row>
    <row r="5" spans="1:6" ht="20.399999999999999" customHeight="1" thickBot="1" x14ac:dyDescent="0.3">
      <c r="A5" s="1452" t="s">
        <v>558</v>
      </c>
      <c r="B5" s="1453"/>
      <c r="C5" s="1453"/>
      <c r="D5" s="1453"/>
      <c r="E5" s="1453"/>
      <c r="F5" s="1454"/>
    </row>
    <row r="6" spans="1:6" ht="60" x14ac:dyDescent="0.25">
      <c r="A6" s="735"/>
      <c r="B6" s="736" t="s">
        <v>366</v>
      </c>
      <c r="C6" s="736" t="s">
        <v>524</v>
      </c>
      <c r="D6" s="736" t="s">
        <v>525</v>
      </c>
      <c r="E6" s="736" t="s">
        <v>526</v>
      </c>
      <c r="F6" s="737" t="s">
        <v>527</v>
      </c>
    </row>
    <row r="7" spans="1:6" ht="15.6" thickBot="1" x14ac:dyDescent="0.3">
      <c r="A7" s="738">
        <v>1</v>
      </c>
      <c r="B7" s="739">
        <v>2</v>
      </c>
      <c r="C7" s="739">
        <v>3</v>
      </c>
      <c r="D7" s="739">
        <v>4</v>
      </c>
      <c r="E7" s="739">
        <v>5</v>
      </c>
      <c r="F7" s="740">
        <v>6</v>
      </c>
    </row>
    <row r="8" spans="1:6" ht="39.6" x14ac:dyDescent="0.25">
      <c r="A8" s="731" t="s">
        <v>528</v>
      </c>
      <c r="B8" s="732" t="s">
        <v>529</v>
      </c>
      <c r="C8" s="733">
        <v>425442</v>
      </c>
      <c r="D8" s="733">
        <v>425442</v>
      </c>
      <c r="E8" s="733">
        <v>0</v>
      </c>
      <c r="F8" s="734">
        <v>0</v>
      </c>
    </row>
    <row r="9" spans="1:6" ht="26.4" x14ac:dyDescent="0.25">
      <c r="A9" s="723" t="s">
        <v>530</v>
      </c>
      <c r="B9" s="720" t="s">
        <v>531</v>
      </c>
      <c r="C9" s="717">
        <v>1681600</v>
      </c>
      <c r="D9" s="717">
        <v>1681600</v>
      </c>
      <c r="E9" s="717">
        <v>0</v>
      </c>
      <c r="F9" s="724">
        <v>0</v>
      </c>
    </row>
    <row r="10" spans="1:6" ht="26.4" x14ac:dyDescent="0.25">
      <c r="A10" s="723" t="s">
        <v>532</v>
      </c>
      <c r="B10" s="720" t="s">
        <v>533</v>
      </c>
      <c r="C10" s="717">
        <v>4916199</v>
      </c>
      <c r="D10" s="717">
        <v>4916199</v>
      </c>
      <c r="E10" s="717">
        <v>0</v>
      </c>
      <c r="F10" s="724">
        <v>0</v>
      </c>
    </row>
    <row r="11" spans="1:6" ht="26.4" x14ac:dyDescent="0.25">
      <c r="A11" s="723" t="s">
        <v>534</v>
      </c>
      <c r="B11" s="720" t="s">
        <v>535</v>
      </c>
      <c r="C11" s="717">
        <v>38368240</v>
      </c>
      <c r="D11" s="717">
        <v>38368240</v>
      </c>
      <c r="E11" s="717">
        <v>0</v>
      </c>
      <c r="F11" s="724">
        <v>0</v>
      </c>
    </row>
    <row r="12" spans="1:6" ht="39.6" x14ac:dyDescent="0.25">
      <c r="A12" s="723" t="s">
        <v>536</v>
      </c>
      <c r="B12" s="720" t="s">
        <v>537</v>
      </c>
      <c r="C12" s="717">
        <v>10194250</v>
      </c>
      <c r="D12" s="717">
        <v>10194250</v>
      </c>
      <c r="E12" s="717">
        <v>0</v>
      </c>
      <c r="F12" s="724">
        <v>0</v>
      </c>
    </row>
    <row r="13" spans="1:6" ht="26.4" x14ac:dyDescent="0.25">
      <c r="A13" s="725" t="s">
        <v>538</v>
      </c>
      <c r="B13" s="721" t="s">
        <v>539</v>
      </c>
      <c r="C13" s="722">
        <v>10194250</v>
      </c>
      <c r="D13" s="722">
        <v>10194250</v>
      </c>
      <c r="E13" s="722">
        <v>0</v>
      </c>
      <c r="F13" s="726">
        <v>0</v>
      </c>
    </row>
    <row r="14" spans="1:6" x14ac:dyDescent="0.25">
      <c r="A14" s="723" t="s">
        <v>540</v>
      </c>
      <c r="B14" s="720" t="s">
        <v>541</v>
      </c>
      <c r="C14" s="717">
        <v>1080272</v>
      </c>
      <c r="D14" s="717">
        <v>1080272</v>
      </c>
      <c r="E14" s="717">
        <v>0</v>
      </c>
      <c r="F14" s="724">
        <v>0</v>
      </c>
    </row>
    <row r="15" spans="1:6" x14ac:dyDescent="0.25">
      <c r="A15" s="723" t="s">
        <v>542</v>
      </c>
      <c r="B15" s="720" t="s">
        <v>543</v>
      </c>
      <c r="C15" s="717">
        <v>9516000</v>
      </c>
      <c r="D15" s="717">
        <v>9516000</v>
      </c>
      <c r="E15" s="717">
        <v>0</v>
      </c>
      <c r="F15" s="724">
        <v>0</v>
      </c>
    </row>
    <row r="16" spans="1:6" ht="39.6" x14ac:dyDescent="0.25">
      <c r="A16" s="725" t="s">
        <v>544</v>
      </c>
      <c r="B16" s="721" t="s">
        <v>545</v>
      </c>
      <c r="C16" s="722">
        <v>9516000</v>
      </c>
      <c r="D16" s="722">
        <v>9516000</v>
      </c>
      <c r="E16" s="722">
        <v>0</v>
      </c>
      <c r="F16" s="726">
        <v>0</v>
      </c>
    </row>
    <row r="17" spans="1:6" ht="26.4" x14ac:dyDescent="0.25">
      <c r="A17" s="723" t="s">
        <v>546</v>
      </c>
      <c r="B17" s="720" t="s">
        <v>547</v>
      </c>
      <c r="C17" s="717">
        <v>15000000</v>
      </c>
      <c r="D17" s="717">
        <v>0</v>
      </c>
      <c r="E17" s="717">
        <v>15000000</v>
      </c>
      <c r="F17" s="724">
        <v>0</v>
      </c>
    </row>
    <row r="18" spans="1:6" ht="26.4" x14ac:dyDescent="0.25">
      <c r="A18" s="723" t="s">
        <v>548</v>
      </c>
      <c r="B18" s="720" t="s">
        <v>549</v>
      </c>
      <c r="C18" s="717">
        <v>1668000</v>
      </c>
      <c r="D18" s="717">
        <v>0</v>
      </c>
      <c r="E18" s="717">
        <v>1668000</v>
      </c>
      <c r="F18" s="724">
        <v>0</v>
      </c>
    </row>
    <row r="19" spans="1:6" ht="26.4" x14ac:dyDescent="0.25">
      <c r="A19" s="723" t="s">
        <v>550</v>
      </c>
      <c r="B19" s="720" t="s">
        <v>551</v>
      </c>
      <c r="C19" s="717">
        <v>1300000</v>
      </c>
      <c r="D19" s="717">
        <v>0</v>
      </c>
      <c r="E19" s="717">
        <v>1300000</v>
      </c>
      <c r="F19" s="724">
        <v>0</v>
      </c>
    </row>
    <row r="20" spans="1:6" ht="39.6" x14ac:dyDescent="0.25">
      <c r="A20" s="725" t="s">
        <v>552</v>
      </c>
      <c r="B20" s="721" t="s">
        <v>553</v>
      </c>
      <c r="C20" s="722">
        <v>17968000</v>
      </c>
      <c r="D20" s="722">
        <v>0</v>
      </c>
      <c r="E20" s="722">
        <v>17968000</v>
      </c>
      <c r="F20" s="726">
        <v>0</v>
      </c>
    </row>
    <row r="21" spans="1:6" ht="26.4" x14ac:dyDescent="0.25">
      <c r="A21" s="723" t="s">
        <v>554</v>
      </c>
      <c r="B21" s="720" t="s">
        <v>555</v>
      </c>
      <c r="C21" s="717">
        <v>12075000</v>
      </c>
      <c r="D21" s="717">
        <v>12075000</v>
      </c>
      <c r="E21" s="717">
        <v>0</v>
      </c>
      <c r="F21" s="724">
        <v>0</v>
      </c>
    </row>
    <row r="22" spans="1:6" ht="27" thickBot="1" x14ac:dyDescent="0.3">
      <c r="A22" s="727" t="s">
        <v>556</v>
      </c>
      <c r="B22" s="728" t="s">
        <v>557</v>
      </c>
      <c r="C22" s="729">
        <v>96225003</v>
      </c>
      <c r="D22" s="729">
        <v>78257003</v>
      </c>
      <c r="E22" s="729">
        <v>17968000</v>
      </c>
      <c r="F22" s="730">
        <v>0</v>
      </c>
    </row>
  </sheetData>
  <mergeCells count="4">
    <mergeCell ref="A5:F5"/>
    <mergeCell ref="A1:F1"/>
    <mergeCell ref="A2:F2"/>
    <mergeCell ref="A3:F3"/>
  </mergeCells>
  <pageMargins left="0.7" right="0.7" top="0.75" bottom="0.75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opLeftCell="J1" zoomScale="75" zoomScaleNormal="75" workbookViewId="0">
      <selection activeCell="Q4" sqref="Q4"/>
    </sheetView>
  </sheetViews>
  <sheetFormatPr defaultRowHeight="13.2" x14ac:dyDescent="0.25"/>
  <cols>
    <col min="1" max="1" width="8.21875" customWidth="1"/>
    <col min="2" max="2" width="41" customWidth="1"/>
    <col min="3" max="17" width="32.77734375" customWidth="1"/>
    <col min="257" max="257" width="8.21875" customWidth="1"/>
    <col min="258" max="258" width="41" customWidth="1"/>
    <col min="259" max="273" width="32.77734375" customWidth="1"/>
    <col min="513" max="513" width="8.21875" customWidth="1"/>
    <col min="514" max="514" width="41" customWidth="1"/>
    <col min="515" max="529" width="32.77734375" customWidth="1"/>
    <col min="769" max="769" width="8.21875" customWidth="1"/>
    <col min="770" max="770" width="41" customWidth="1"/>
    <col min="771" max="785" width="32.77734375" customWidth="1"/>
    <col min="1025" max="1025" width="8.21875" customWidth="1"/>
    <col min="1026" max="1026" width="41" customWidth="1"/>
    <col min="1027" max="1041" width="32.77734375" customWidth="1"/>
    <col min="1281" max="1281" width="8.21875" customWidth="1"/>
    <col min="1282" max="1282" width="41" customWidth="1"/>
    <col min="1283" max="1297" width="32.77734375" customWidth="1"/>
    <col min="1537" max="1537" width="8.21875" customWidth="1"/>
    <col min="1538" max="1538" width="41" customWidth="1"/>
    <col min="1539" max="1553" width="32.77734375" customWidth="1"/>
    <col min="1793" max="1793" width="8.21875" customWidth="1"/>
    <col min="1794" max="1794" width="41" customWidth="1"/>
    <col min="1795" max="1809" width="32.77734375" customWidth="1"/>
    <col min="2049" max="2049" width="8.21875" customWidth="1"/>
    <col min="2050" max="2050" width="41" customWidth="1"/>
    <col min="2051" max="2065" width="32.77734375" customWidth="1"/>
    <col min="2305" max="2305" width="8.21875" customWidth="1"/>
    <col min="2306" max="2306" width="41" customWidth="1"/>
    <col min="2307" max="2321" width="32.77734375" customWidth="1"/>
    <col min="2561" max="2561" width="8.21875" customWidth="1"/>
    <col min="2562" max="2562" width="41" customWidth="1"/>
    <col min="2563" max="2577" width="32.77734375" customWidth="1"/>
    <col min="2817" max="2817" width="8.21875" customWidth="1"/>
    <col min="2818" max="2818" width="41" customWidth="1"/>
    <col min="2819" max="2833" width="32.77734375" customWidth="1"/>
    <col min="3073" max="3073" width="8.21875" customWidth="1"/>
    <col min="3074" max="3074" width="41" customWidth="1"/>
    <col min="3075" max="3089" width="32.77734375" customWidth="1"/>
    <col min="3329" max="3329" width="8.21875" customWidth="1"/>
    <col min="3330" max="3330" width="41" customWidth="1"/>
    <col min="3331" max="3345" width="32.77734375" customWidth="1"/>
    <col min="3585" max="3585" width="8.21875" customWidth="1"/>
    <col min="3586" max="3586" width="41" customWidth="1"/>
    <col min="3587" max="3601" width="32.77734375" customWidth="1"/>
    <col min="3841" max="3841" width="8.21875" customWidth="1"/>
    <col min="3842" max="3842" width="41" customWidth="1"/>
    <col min="3843" max="3857" width="32.77734375" customWidth="1"/>
    <col min="4097" max="4097" width="8.21875" customWidth="1"/>
    <col min="4098" max="4098" width="41" customWidth="1"/>
    <col min="4099" max="4113" width="32.77734375" customWidth="1"/>
    <col min="4353" max="4353" width="8.21875" customWidth="1"/>
    <col min="4354" max="4354" width="41" customWidth="1"/>
    <col min="4355" max="4369" width="32.77734375" customWidth="1"/>
    <col min="4609" max="4609" width="8.21875" customWidth="1"/>
    <col min="4610" max="4610" width="41" customWidth="1"/>
    <col min="4611" max="4625" width="32.77734375" customWidth="1"/>
    <col min="4865" max="4865" width="8.21875" customWidth="1"/>
    <col min="4866" max="4866" width="41" customWidth="1"/>
    <col min="4867" max="4881" width="32.77734375" customWidth="1"/>
    <col min="5121" max="5121" width="8.21875" customWidth="1"/>
    <col min="5122" max="5122" width="41" customWidth="1"/>
    <col min="5123" max="5137" width="32.77734375" customWidth="1"/>
    <col min="5377" max="5377" width="8.21875" customWidth="1"/>
    <col min="5378" max="5378" width="41" customWidth="1"/>
    <col min="5379" max="5393" width="32.77734375" customWidth="1"/>
    <col min="5633" max="5633" width="8.21875" customWidth="1"/>
    <col min="5634" max="5634" width="41" customWidth="1"/>
    <col min="5635" max="5649" width="32.77734375" customWidth="1"/>
    <col min="5889" max="5889" width="8.21875" customWidth="1"/>
    <col min="5890" max="5890" width="41" customWidth="1"/>
    <col min="5891" max="5905" width="32.77734375" customWidth="1"/>
    <col min="6145" max="6145" width="8.21875" customWidth="1"/>
    <col min="6146" max="6146" width="41" customWidth="1"/>
    <col min="6147" max="6161" width="32.77734375" customWidth="1"/>
    <col min="6401" max="6401" width="8.21875" customWidth="1"/>
    <col min="6402" max="6402" width="41" customWidth="1"/>
    <col min="6403" max="6417" width="32.77734375" customWidth="1"/>
    <col min="6657" max="6657" width="8.21875" customWidth="1"/>
    <col min="6658" max="6658" width="41" customWidth="1"/>
    <col min="6659" max="6673" width="32.77734375" customWidth="1"/>
    <col min="6913" max="6913" width="8.21875" customWidth="1"/>
    <col min="6914" max="6914" width="41" customWidth="1"/>
    <col min="6915" max="6929" width="32.77734375" customWidth="1"/>
    <col min="7169" max="7169" width="8.21875" customWidth="1"/>
    <col min="7170" max="7170" width="41" customWidth="1"/>
    <col min="7171" max="7185" width="32.77734375" customWidth="1"/>
    <col min="7425" max="7425" width="8.21875" customWidth="1"/>
    <col min="7426" max="7426" width="41" customWidth="1"/>
    <col min="7427" max="7441" width="32.77734375" customWidth="1"/>
    <col min="7681" max="7681" width="8.21875" customWidth="1"/>
    <col min="7682" max="7682" width="41" customWidth="1"/>
    <col min="7683" max="7697" width="32.77734375" customWidth="1"/>
    <col min="7937" max="7937" width="8.21875" customWidth="1"/>
    <col min="7938" max="7938" width="41" customWidth="1"/>
    <col min="7939" max="7953" width="32.77734375" customWidth="1"/>
    <col min="8193" max="8193" width="8.21875" customWidth="1"/>
    <col min="8194" max="8194" width="41" customWidth="1"/>
    <col min="8195" max="8209" width="32.77734375" customWidth="1"/>
    <col min="8449" max="8449" width="8.21875" customWidth="1"/>
    <col min="8450" max="8450" width="41" customWidth="1"/>
    <col min="8451" max="8465" width="32.77734375" customWidth="1"/>
    <col min="8705" max="8705" width="8.21875" customWidth="1"/>
    <col min="8706" max="8706" width="41" customWidth="1"/>
    <col min="8707" max="8721" width="32.77734375" customWidth="1"/>
    <col min="8961" max="8961" width="8.21875" customWidth="1"/>
    <col min="8962" max="8962" width="41" customWidth="1"/>
    <col min="8963" max="8977" width="32.77734375" customWidth="1"/>
    <col min="9217" max="9217" width="8.21875" customWidth="1"/>
    <col min="9218" max="9218" width="41" customWidth="1"/>
    <col min="9219" max="9233" width="32.77734375" customWidth="1"/>
    <col min="9473" max="9473" width="8.21875" customWidth="1"/>
    <col min="9474" max="9474" width="41" customWidth="1"/>
    <col min="9475" max="9489" width="32.77734375" customWidth="1"/>
    <col min="9729" max="9729" width="8.21875" customWidth="1"/>
    <col min="9730" max="9730" width="41" customWidth="1"/>
    <col min="9731" max="9745" width="32.77734375" customWidth="1"/>
    <col min="9985" max="9985" width="8.21875" customWidth="1"/>
    <col min="9986" max="9986" width="41" customWidth="1"/>
    <col min="9987" max="10001" width="32.77734375" customWidth="1"/>
    <col min="10241" max="10241" width="8.21875" customWidth="1"/>
    <col min="10242" max="10242" width="41" customWidth="1"/>
    <col min="10243" max="10257" width="32.77734375" customWidth="1"/>
    <col min="10497" max="10497" width="8.21875" customWidth="1"/>
    <col min="10498" max="10498" width="41" customWidth="1"/>
    <col min="10499" max="10513" width="32.77734375" customWidth="1"/>
    <col min="10753" max="10753" width="8.21875" customWidth="1"/>
    <col min="10754" max="10754" width="41" customWidth="1"/>
    <col min="10755" max="10769" width="32.77734375" customWidth="1"/>
    <col min="11009" max="11009" width="8.21875" customWidth="1"/>
    <col min="11010" max="11010" width="41" customWidth="1"/>
    <col min="11011" max="11025" width="32.77734375" customWidth="1"/>
    <col min="11265" max="11265" width="8.21875" customWidth="1"/>
    <col min="11266" max="11266" width="41" customWidth="1"/>
    <col min="11267" max="11281" width="32.77734375" customWidth="1"/>
    <col min="11521" max="11521" width="8.21875" customWidth="1"/>
    <col min="11522" max="11522" width="41" customWidth="1"/>
    <col min="11523" max="11537" width="32.77734375" customWidth="1"/>
    <col min="11777" max="11777" width="8.21875" customWidth="1"/>
    <col min="11778" max="11778" width="41" customWidth="1"/>
    <col min="11779" max="11793" width="32.77734375" customWidth="1"/>
    <col min="12033" max="12033" width="8.21875" customWidth="1"/>
    <col min="12034" max="12034" width="41" customWidth="1"/>
    <col min="12035" max="12049" width="32.77734375" customWidth="1"/>
    <col min="12289" max="12289" width="8.21875" customWidth="1"/>
    <col min="12290" max="12290" width="41" customWidth="1"/>
    <col min="12291" max="12305" width="32.77734375" customWidth="1"/>
    <col min="12545" max="12545" width="8.21875" customWidth="1"/>
    <col min="12546" max="12546" width="41" customWidth="1"/>
    <col min="12547" max="12561" width="32.77734375" customWidth="1"/>
    <col min="12801" max="12801" width="8.21875" customWidth="1"/>
    <col min="12802" max="12802" width="41" customWidth="1"/>
    <col min="12803" max="12817" width="32.77734375" customWidth="1"/>
    <col min="13057" max="13057" width="8.21875" customWidth="1"/>
    <col min="13058" max="13058" width="41" customWidth="1"/>
    <col min="13059" max="13073" width="32.77734375" customWidth="1"/>
    <col min="13313" max="13313" width="8.21875" customWidth="1"/>
    <col min="13314" max="13314" width="41" customWidth="1"/>
    <col min="13315" max="13329" width="32.77734375" customWidth="1"/>
    <col min="13569" max="13569" width="8.21875" customWidth="1"/>
    <col min="13570" max="13570" width="41" customWidth="1"/>
    <col min="13571" max="13585" width="32.77734375" customWidth="1"/>
    <col min="13825" max="13825" width="8.21875" customWidth="1"/>
    <col min="13826" max="13826" width="41" customWidth="1"/>
    <col min="13827" max="13841" width="32.77734375" customWidth="1"/>
    <col min="14081" max="14081" width="8.21875" customWidth="1"/>
    <col min="14082" max="14082" width="41" customWidth="1"/>
    <col min="14083" max="14097" width="32.77734375" customWidth="1"/>
    <col min="14337" max="14337" width="8.21875" customWidth="1"/>
    <col min="14338" max="14338" width="41" customWidth="1"/>
    <col min="14339" max="14353" width="32.77734375" customWidth="1"/>
    <col min="14593" max="14593" width="8.21875" customWidth="1"/>
    <col min="14594" max="14594" width="41" customWidth="1"/>
    <col min="14595" max="14609" width="32.77734375" customWidth="1"/>
    <col min="14849" max="14849" width="8.21875" customWidth="1"/>
    <col min="14850" max="14850" width="41" customWidth="1"/>
    <col min="14851" max="14865" width="32.77734375" customWidth="1"/>
    <col min="15105" max="15105" width="8.21875" customWidth="1"/>
    <col min="15106" max="15106" width="41" customWidth="1"/>
    <col min="15107" max="15121" width="32.77734375" customWidth="1"/>
    <col min="15361" max="15361" width="8.21875" customWidth="1"/>
    <col min="15362" max="15362" width="41" customWidth="1"/>
    <col min="15363" max="15377" width="32.77734375" customWidth="1"/>
    <col min="15617" max="15617" width="8.21875" customWidth="1"/>
    <col min="15618" max="15618" width="41" customWidth="1"/>
    <col min="15619" max="15633" width="32.77734375" customWidth="1"/>
    <col min="15873" max="15873" width="8.21875" customWidth="1"/>
    <col min="15874" max="15874" width="41" customWidth="1"/>
    <col min="15875" max="15889" width="32.77734375" customWidth="1"/>
    <col min="16129" max="16129" width="8.21875" customWidth="1"/>
    <col min="16130" max="16130" width="41" customWidth="1"/>
    <col min="16131" max="16145" width="32.77734375" customWidth="1"/>
  </cols>
  <sheetData>
    <row r="1" spans="1:17" ht="15.6" customHeight="1" x14ac:dyDescent="0.25">
      <c r="A1" s="1459" t="s">
        <v>467</v>
      </c>
      <c r="B1" s="1459"/>
      <c r="C1" s="1459"/>
      <c r="D1" s="1459"/>
      <c r="E1" s="1459"/>
      <c r="F1" s="1459"/>
      <c r="G1" s="1459"/>
      <c r="H1" s="1459"/>
      <c r="I1" s="1459"/>
      <c r="J1" s="1459"/>
      <c r="K1" s="1459"/>
      <c r="L1" s="1459"/>
      <c r="M1" s="1459"/>
      <c r="N1" s="1459"/>
      <c r="O1" s="1459"/>
      <c r="P1" s="1459"/>
      <c r="Q1" s="1459"/>
    </row>
    <row r="2" spans="1:17" ht="15.6" customHeight="1" x14ac:dyDescent="0.25">
      <c r="A2" s="1459" t="s">
        <v>561</v>
      </c>
      <c r="B2" s="1459"/>
      <c r="C2" s="1459"/>
      <c r="D2" s="1459"/>
      <c r="E2" s="1459"/>
      <c r="F2" s="1459"/>
      <c r="G2" s="1459"/>
      <c r="H2" s="1459"/>
      <c r="I2" s="1459"/>
      <c r="J2" s="1459"/>
      <c r="K2" s="1459"/>
      <c r="L2" s="1459"/>
      <c r="M2" s="1459"/>
      <c r="N2" s="1459"/>
      <c r="O2" s="1459"/>
      <c r="P2" s="1459"/>
      <c r="Q2" s="1459"/>
    </row>
    <row r="3" spans="1:17" ht="15.6" customHeight="1" x14ac:dyDescent="0.25">
      <c r="A3" s="1459" t="s">
        <v>593</v>
      </c>
      <c r="B3" s="1459"/>
      <c r="C3" s="1459"/>
      <c r="D3" s="1459"/>
      <c r="E3" s="1459"/>
      <c r="F3" s="1459"/>
      <c r="G3" s="1459"/>
      <c r="H3" s="1459"/>
      <c r="I3" s="1459"/>
      <c r="J3" s="1459"/>
      <c r="K3" s="1459"/>
      <c r="L3" s="1459"/>
      <c r="M3" s="1459"/>
      <c r="N3" s="1459"/>
      <c r="O3" s="1459"/>
      <c r="P3" s="1459"/>
      <c r="Q3" s="1459"/>
    </row>
    <row r="4" spans="1:17" ht="17.399999999999999" thickBot="1" x14ac:dyDescent="0.35">
      <c r="A4" s="763"/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832" t="s">
        <v>1113</v>
      </c>
    </row>
    <row r="5" spans="1:17" ht="24" customHeight="1" thickBot="1" x14ac:dyDescent="0.35">
      <c r="A5" s="1456" t="s">
        <v>594</v>
      </c>
      <c r="B5" s="1457"/>
      <c r="C5" s="1457"/>
      <c r="D5" s="1457"/>
      <c r="E5" s="1457"/>
      <c r="F5" s="1457"/>
      <c r="G5" s="1457"/>
      <c r="H5" s="1457"/>
      <c r="I5" s="1457"/>
      <c r="J5" s="1457"/>
      <c r="K5" s="1457"/>
      <c r="L5" s="1457"/>
      <c r="M5" s="1457"/>
      <c r="N5" s="1457"/>
      <c r="O5" s="1457"/>
      <c r="P5" s="1457"/>
      <c r="Q5" s="1458"/>
    </row>
    <row r="6" spans="1:17" s="767" customFormat="1" ht="75.599999999999994" thickBot="1" x14ac:dyDescent="0.3">
      <c r="A6" s="764"/>
      <c r="B6" s="765" t="s">
        <v>366</v>
      </c>
      <c r="C6" s="765" t="s">
        <v>562</v>
      </c>
      <c r="D6" s="765" t="s">
        <v>563</v>
      </c>
      <c r="E6" s="765" t="s">
        <v>564</v>
      </c>
      <c r="F6" s="765" t="s">
        <v>565</v>
      </c>
      <c r="G6" s="765" t="s">
        <v>566</v>
      </c>
      <c r="H6" s="765" t="s">
        <v>567</v>
      </c>
      <c r="I6" s="765" t="s">
        <v>568</v>
      </c>
      <c r="J6" s="765" t="s">
        <v>569</v>
      </c>
      <c r="K6" s="765" t="s">
        <v>570</v>
      </c>
      <c r="L6" s="765" t="s">
        <v>571</v>
      </c>
      <c r="M6" s="765" t="s">
        <v>572</v>
      </c>
      <c r="N6" s="765" t="s">
        <v>573</v>
      </c>
      <c r="O6" s="765" t="s">
        <v>574</v>
      </c>
      <c r="P6" s="765" t="s">
        <v>575</v>
      </c>
      <c r="Q6" s="766" t="s">
        <v>576</v>
      </c>
    </row>
    <row r="7" spans="1:17" ht="15" x14ac:dyDescent="0.25">
      <c r="A7" s="756">
        <v>1</v>
      </c>
      <c r="B7" s="757">
        <v>2</v>
      </c>
      <c r="C7" s="757">
        <v>3</v>
      </c>
      <c r="D7" s="757">
        <v>4</v>
      </c>
      <c r="E7" s="757">
        <v>5</v>
      </c>
      <c r="F7" s="757">
        <v>6</v>
      </c>
      <c r="G7" s="757">
        <v>7</v>
      </c>
      <c r="H7" s="757">
        <v>8</v>
      </c>
      <c r="I7" s="757">
        <v>9</v>
      </c>
      <c r="J7" s="757">
        <v>10</v>
      </c>
      <c r="K7" s="757">
        <v>11</v>
      </c>
      <c r="L7" s="757">
        <v>12</v>
      </c>
      <c r="M7" s="757">
        <v>13</v>
      </c>
      <c r="N7" s="757">
        <v>14</v>
      </c>
      <c r="O7" s="757">
        <v>15</v>
      </c>
      <c r="P7" s="757">
        <v>16</v>
      </c>
      <c r="Q7" s="758">
        <v>17</v>
      </c>
    </row>
    <row r="8" spans="1:17" ht="26.4" x14ac:dyDescent="0.25">
      <c r="A8" s="750" t="s">
        <v>528</v>
      </c>
      <c r="B8" s="744" t="s">
        <v>577</v>
      </c>
      <c r="C8" s="745">
        <v>160914005</v>
      </c>
      <c r="D8" s="745">
        <v>0</v>
      </c>
      <c r="E8" s="745">
        <v>0</v>
      </c>
      <c r="F8" s="745">
        <v>160914005</v>
      </c>
      <c r="G8" s="745">
        <v>0</v>
      </c>
      <c r="H8" s="745">
        <v>922351613</v>
      </c>
      <c r="I8" s="745">
        <v>160914005</v>
      </c>
      <c r="J8" s="745">
        <v>0</v>
      </c>
      <c r="K8" s="745">
        <v>0</v>
      </c>
      <c r="L8" s="745">
        <v>3093000</v>
      </c>
      <c r="M8" s="745">
        <v>3093000</v>
      </c>
      <c r="N8" s="745">
        <v>0</v>
      </c>
      <c r="O8" s="745">
        <v>0</v>
      </c>
      <c r="P8" s="745">
        <v>0</v>
      </c>
      <c r="Q8" s="751">
        <v>0</v>
      </c>
    </row>
    <row r="9" spans="1:17" ht="26.4" x14ac:dyDescent="0.25">
      <c r="A9" s="750" t="s">
        <v>532</v>
      </c>
      <c r="B9" s="744" t="s">
        <v>578</v>
      </c>
      <c r="C9" s="745">
        <v>0</v>
      </c>
      <c r="D9" s="745">
        <v>0</v>
      </c>
      <c r="E9" s="745">
        <v>0</v>
      </c>
      <c r="F9" s="745">
        <v>0</v>
      </c>
      <c r="G9" s="745">
        <v>0</v>
      </c>
      <c r="H9" s="745">
        <v>43603814</v>
      </c>
      <c r="I9" s="745">
        <v>0</v>
      </c>
      <c r="J9" s="745">
        <v>0</v>
      </c>
      <c r="K9" s="745">
        <v>0</v>
      </c>
      <c r="L9" s="745">
        <v>0</v>
      </c>
      <c r="M9" s="745">
        <v>0</v>
      </c>
      <c r="N9" s="745">
        <v>0</v>
      </c>
      <c r="O9" s="745">
        <v>0</v>
      </c>
      <c r="P9" s="745">
        <v>0</v>
      </c>
      <c r="Q9" s="751">
        <v>0</v>
      </c>
    </row>
    <row r="10" spans="1:17" ht="39.6" x14ac:dyDescent="0.25">
      <c r="A10" s="750" t="s">
        <v>579</v>
      </c>
      <c r="B10" s="744" t="s">
        <v>580</v>
      </c>
      <c r="C10" s="745">
        <v>192807166</v>
      </c>
      <c r="D10" s="745">
        <v>2899251</v>
      </c>
      <c r="E10" s="745">
        <v>-4487050</v>
      </c>
      <c r="F10" s="745">
        <v>193276783</v>
      </c>
      <c r="G10" s="745">
        <v>2057416</v>
      </c>
      <c r="H10" s="745">
        <v>198758849</v>
      </c>
      <c r="I10" s="745">
        <v>193276783</v>
      </c>
      <c r="J10" s="745">
        <v>2057416</v>
      </c>
      <c r="K10" s="745">
        <v>0</v>
      </c>
      <c r="L10" s="745">
        <v>3315000</v>
      </c>
      <c r="M10" s="745">
        <v>3315000</v>
      </c>
      <c r="N10" s="745">
        <v>0</v>
      </c>
      <c r="O10" s="745">
        <v>0</v>
      </c>
      <c r="P10" s="745">
        <v>0</v>
      </c>
      <c r="Q10" s="751">
        <v>0</v>
      </c>
    </row>
    <row r="11" spans="1:17" ht="39.6" x14ac:dyDescent="0.25">
      <c r="A11" s="750" t="s">
        <v>581</v>
      </c>
      <c r="B11" s="744" t="s">
        <v>582</v>
      </c>
      <c r="C11" s="745">
        <v>5440000</v>
      </c>
      <c r="D11" s="745">
        <v>0</v>
      </c>
      <c r="E11" s="745">
        <v>0</v>
      </c>
      <c r="F11" s="745">
        <v>5440000</v>
      </c>
      <c r="G11" s="745">
        <v>0</v>
      </c>
      <c r="H11" s="745">
        <v>11281078</v>
      </c>
      <c r="I11" s="745">
        <v>5440000</v>
      </c>
      <c r="J11" s="745">
        <v>0</v>
      </c>
      <c r="K11" s="745">
        <v>0</v>
      </c>
      <c r="L11" s="745">
        <v>608000</v>
      </c>
      <c r="M11" s="745">
        <v>608000</v>
      </c>
      <c r="N11" s="745">
        <v>0</v>
      </c>
      <c r="O11" s="745">
        <v>0</v>
      </c>
      <c r="P11" s="745">
        <v>0</v>
      </c>
      <c r="Q11" s="751">
        <v>0</v>
      </c>
    </row>
    <row r="12" spans="1:17" ht="39.6" x14ac:dyDescent="0.25">
      <c r="A12" s="750" t="s">
        <v>583</v>
      </c>
      <c r="B12" s="744" t="s">
        <v>584</v>
      </c>
      <c r="C12" s="745">
        <v>9675920</v>
      </c>
      <c r="D12" s="745">
        <v>-576880</v>
      </c>
      <c r="E12" s="745">
        <v>-53640</v>
      </c>
      <c r="F12" s="745">
        <v>8219320</v>
      </c>
      <c r="G12" s="745">
        <v>-826080</v>
      </c>
      <c r="H12" s="745">
        <v>28771724</v>
      </c>
      <c r="I12" s="745">
        <v>8219320</v>
      </c>
      <c r="J12" s="745">
        <v>0</v>
      </c>
      <c r="K12" s="745">
        <v>826080</v>
      </c>
      <c r="L12" s="745">
        <v>1766000</v>
      </c>
      <c r="M12" s="745">
        <v>1766000</v>
      </c>
      <c r="N12" s="745">
        <v>0</v>
      </c>
      <c r="O12" s="745">
        <v>0</v>
      </c>
      <c r="P12" s="745">
        <v>0</v>
      </c>
      <c r="Q12" s="751">
        <v>0</v>
      </c>
    </row>
    <row r="13" spans="1:17" ht="26.4" x14ac:dyDescent="0.25">
      <c r="A13" s="750" t="s">
        <v>585</v>
      </c>
      <c r="B13" s="744" t="s">
        <v>586</v>
      </c>
      <c r="C13" s="745">
        <v>60759848</v>
      </c>
      <c r="D13" s="745">
        <v>1233944</v>
      </c>
      <c r="E13" s="745">
        <v>1105835</v>
      </c>
      <c r="F13" s="745">
        <v>64163627</v>
      </c>
      <c r="G13" s="745">
        <v>1064000</v>
      </c>
      <c r="H13" s="745">
        <v>77487228</v>
      </c>
      <c r="I13" s="745">
        <v>64163627</v>
      </c>
      <c r="J13" s="745">
        <v>1064000</v>
      </c>
      <c r="K13" s="745">
        <v>0</v>
      </c>
      <c r="L13" s="745">
        <v>2948000</v>
      </c>
      <c r="M13" s="745">
        <v>2948000</v>
      </c>
      <c r="N13" s="745">
        <v>0</v>
      </c>
      <c r="O13" s="745">
        <v>0</v>
      </c>
      <c r="P13" s="745">
        <v>0</v>
      </c>
      <c r="Q13" s="751">
        <v>0</v>
      </c>
    </row>
    <row r="14" spans="1:17" ht="26.4" x14ac:dyDescent="0.25">
      <c r="A14" s="750" t="s">
        <v>587</v>
      </c>
      <c r="B14" s="744" t="s">
        <v>588</v>
      </c>
      <c r="C14" s="745">
        <v>1138860</v>
      </c>
      <c r="D14" s="745">
        <v>41040</v>
      </c>
      <c r="E14" s="745">
        <v>-203490</v>
      </c>
      <c r="F14" s="745">
        <v>817950</v>
      </c>
      <c r="G14" s="745">
        <v>-158460</v>
      </c>
      <c r="H14" s="745">
        <v>887568</v>
      </c>
      <c r="I14" s="745">
        <v>817950</v>
      </c>
      <c r="J14" s="745">
        <v>0</v>
      </c>
      <c r="K14" s="745">
        <v>158460</v>
      </c>
      <c r="L14" s="745">
        <v>0</v>
      </c>
      <c r="M14" s="745">
        <v>0</v>
      </c>
      <c r="N14" s="745">
        <v>0</v>
      </c>
      <c r="O14" s="745">
        <v>0</v>
      </c>
      <c r="P14" s="745">
        <v>0</v>
      </c>
      <c r="Q14" s="751">
        <v>0</v>
      </c>
    </row>
    <row r="15" spans="1:17" ht="26.4" x14ac:dyDescent="0.25">
      <c r="A15" s="750" t="s">
        <v>589</v>
      </c>
      <c r="B15" s="744" t="s">
        <v>590</v>
      </c>
      <c r="C15" s="745">
        <v>32201000</v>
      </c>
      <c r="D15" s="745">
        <v>-1331000</v>
      </c>
      <c r="E15" s="745">
        <v>3434000</v>
      </c>
      <c r="F15" s="745">
        <v>42983700</v>
      </c>
      <c r="G15" s="745">
        <v>8679700</v>
      </c>
      <c r="H15" s="745">
        <v>46985466</v>
      </c>
      <c r="I15" s="745">
        <v>42983700</v>
      </c>
      <c r="J15" s="745">
        <v>8679700</v>
      </c>
      <c r="K15" s="745">
        <v>0</v>
      </c>
      <c r="L15" s="745">
        <v>0</v>
      </c>
      <c r="M15" s="745">
        <v>0</v>
      </c>
      <c r="N15" s="745">
        <v>0</v>
      </c>
      <c r="O15" s="745">
        <v>0</v>
      </c>
      <c r="P15" s="745">
        <v>0</v>
      </c>
      <c r="Q15" s="751">
        <v>0</v>
      </c>
    </row>
    <row r="16" spans="1:17" ht="13.8" thickBot="1" x14ac:dyDescent="0.3">
      <c r="A16" s="752" t="s">
        <v>591</v>
      </c>
      <c r="B16" s="753" t="s">
        <v>592</v>
      </c>
      <c r="C16" s="754">
        <v>462936799</v>
      </c>
      <c r="D16" s="754">
        <v>2266355</v>
      </c>
      <c r="E16" s="754">
        <v>-204345</v>
      </c>
      <c r="F16" s="754">
        <v>475815385</v>
      </c>
      <c r="G16" s="754">
        <v>10816576</v>
      </c>
      <c r="H16" s="754">
        <v>1330127340</v>
      </c>
      <c r="I16" s="754">
        <v>475815385</v>
      </c>
      <c r="J16" s="754">
        <v>11801116</v>
      </c>
      <c r="K16" s="754">
        <v>984540</v>
      </c>
      <c r="L16" s="754">
        <v>11730000</v>
      </c>
      <c r="M16" s="754">
        <v>11730000</v>
      </c>
      <c r="N16" s="754">
        <v>0</v>
      </c>
      <c r="O16" s="754">
        <v>0</v>
      </c>
      <c r="P16" s="754">
        <v>0</v>
      </c>
      <c r="Q16" s="755">
        <v>0</v>
      </c>
    </row>
  </sheetData>
  <mergeCells count="4">
    <mergeCell ref="A5:Q5"/>
    <mergeCell ref="A1:Q1"/>
    <mergeCell ref="A2:Q2"/>
    <mergeCell ref="A3:Q3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workbookViewId="0">
      <selection activeCell="E3" sqref="E3"/>
    </sheetView>
  </sheetViews>
  <sheetFormatPr defaultRowHeight="13.2" x14ac:dyDescent="0.25"/>
  <cols>
    <col min="1" max="1" width="8.21875" customWidth="1"/>
    <col min="2" max="2" width="41" customWidth="1"/>
    <col min="3" max="5" width="32.77734375" customWidth="1"/>
    <col min="257" max="257" width="8.21875" customWidth="1"/>
    <col min="258" max="258" width="41" customWidth="1"/>
    <col min="259" max="261" width="32.77734375" customWidth="1"/>
    <col min="513" max="513" width="8.21875" customWidth="1"/>
    <col min="514" max="514" width="41" customWidth="1"/>
    <col min="515" max="517" width="32.77734375" customWidth="1"/>
    <col min="769" max="769" width="8.21875" customWidth="1"/>
    <col min="770" max="770" width="41" customWidth="1"/>
    <col min="771" max="773" width="32.77734375" customWidth="1"/>
    <col min="1025" max="1025" width="8.21875" customWidth="1"/>
    <col min="1026" max="1026" width="41" customWidth="1"/>
    <col min="1027" max="1029" width="32.77734375" customWidth="1"/>
    <col min="1281" max="1281" width="8.21875" customWidth="1"/>
    <col min="1282" max="1282" width="41" customWidth="1"/>
    <col min="1283" max="1285" width="32.77734375" customWidth="1"/>
    <col min="1537" max="1537" width="8.21875" customWidth="1"/>
    <col min="1538" max="1538" width="41" customWidth="1"/>
    <col min="1539" max="1541" width="32.77734375" customWidth="1"/>
    <col min="1793" max="1793" width="8.21875" customWidth="1"/>
    <col min="1794" max="1794" width="41" customWidth="1"/>
    <col min="1795" max="1797" width="32.77734375" customWidth="1"/>
    <col min="2049" max="2049" width="8.21875" customWidth="1"/>
    <col min="2050" max="2050" width="41" customWidth="1"/>
    <col min="2051" max="2053" width="32.77734375" customWidth="1"/>
    <col min="2305" max="2305" width="8.21875" customWidth="1"/>
    <col min="2306" max="2306" width="41" customWidth="1"/>
    <col min="2307" max="2309" width="32.77734375" customWidth="1"/>
    <col min="2561" max="2561" width="8.21875" customWidth="1"/>
    <col min="2562" max="2562" width="41" customWidth="1"/>
    <col min="2563" max="2565" width="32.77734375" customWidth="1"/>
    <col min="2817" max="2817" width="8.21875" customWidth="1"/>
    <col min="2818" max="2818" width="41" customWidth="1"/>
    <col min="2819" max="2821" width="32.77734375" customWidth="1"/>
    <col min="3073" max="3073" width="8.21875" customWidth="1"/>
    <col min="3074" max="3074" width="41" customWidth="1"/>
    <col min="3075" max="3077" width="32.77734375" customWidth="1"/>
    <col min="3329" max="3329" width="8.21875" customWidth="1"/>
    <col min="3330" max="3330" width="41" customWidth="1"/>
    <col min="3331" max="3333" width="32.77734375" customWidth="1"/>
    <col min="3585" max="3585" width="8.21875" customWidth="1"/>
    <col min="3586" max="3586" width="41" customWidth="1"/>
    <col min="3587" max="3589" width="32.77734375" customWidth="1"/>
    <col min="3841" max="3841" width="8.21875" customWidth="1"/>
    <col min="3842" max="3842" width="41" customWidth="1"/>
    <col min="3843" max="3845" width="32.77734375" customWidth="1"/>
    <col min="4097" max="4097" width="8.21875" customWidth="1"/>
    <col min="4098" max="4098" width="41" customWidth="1"/>
    <col min="4099" max="4101" width="32.77734375" customWidth="1"/>
    <col min="4353" max="4353" width="8.21875" customWidth="1"/>
    <col min="4354" max="4354" width="41" customWidth="1"/>
    <col min="4355" max="4357" width="32.77734375" customWidth="1"/>
    <col min="4609" max="4609" width="8.21875" customWidth="1"/>
    <col min="4610" max="4610" width="41" customWidth="1"/>
    <col min="4611" max="4613" width="32.77734375" customWidth="1"/>
    <col min="4865" max="4865" width="8.21875" customWidth="1"/>
    <col min="4866" max="4866" width="41" customWidth="1"/>
    <col min="4867" max="4869" width="32.77734375" customWidth="1"/>
    <col min="5121" max="5121" width="8.21875" customWidth="1"/>
    <col min="5122" max="5122" width="41" customWidth="1"/>
    <col min="5123" max="5125" width="32.77734375" customWidth="1"/>
    <col min="5377" max="5377" width="8.21875" customWidth="1"/>
    <col min="5378" max="5378" width="41" customWidth="1"/>
    <col min="5379" max="5381" width="32.77734375" customWidth="1"/>
    <col min="5633" max="5633" width="8.21875" customWidth="1"/>
    <col min="5634" max="5634" width="41" customWidth="1"/>
    <col min="5635" max="5637" width="32.77734375" customWidth="1"/>
    <col min="5889" max="5889" width="8.21875" customWidth="1"/>
    <col min="5890" max="5890" width="41" customWidth="1"/>
    <col min="5891" max="5893" width="32.77734375" customWidth="1"/>
    <col min="6145" max="6145" width="8.21875" customWidth="1"/>
    <col min="6146" max="6146" width="41" customWidth="1"/>
    <col min="6147" max="6149" width="32.77734375" customWidth="1"/>
    <col min="6401" max="6401" width="8.21875" customWidth="1"/>
    <col min="6402" max="6402" width="41" customWidth="1"/>
    <col min="6403" max="6405" width="32.77734375" customWidth="1"/>
    <col min="6657" max="6657" width="8.21875" customWidth="1"/>
    <col min="6658" max="6658" width="41" customWidth="1"/>
    <col min="6659" max="6661" width="32.77734375" customWidth="1"/>
    <col min="6913" max="6913" width="8.21875" customWidth="1"/>
    <col min="6914" max="6914" width="41" customWidth="1"/>
    <col min="6915" max="6917" width="32.77734375" customWidth="1"/>
    <col min="7169" max="7169" width="8.21875" customWidth="1"/>
    <col min="7170" max="7170" width="41" customWidth="1"/>
    <col min="7171" max="7173" width="32.77734375" customWidth="1"/>
    <col min="7425" max="7425" width="8.21875" customWidth="1"/>
    <col min="7426" max="7426" width="41" customWidth="1"/>
    <col min="7427" max="7429" width="32.77734375" customWidth="1"/>
    <col min="7681" max="7681" width="8.21875" customWidth="1"/>
    <col min="7682" max="7682" width="41" customWidth="1"/>
    <col min="7683" max="7685" width="32.77734375" customWidth="1"/>
    <col min="7937" max="7937" width="8.21875" customWidth="1"/>
    <col min="7938" max="7938" width="41" customWidth="1"/>
    <col min="7939" max="7941" width="32.77734375" customWidth="1"/>
    <col min="8193" max="8193" width="8.21875" customWidth="1"/>
    <col min="8194" max="8194" width="41" customWidth="1"/>
    <col min="8195" max="8197" width="32.77734375" customWidth="1"/>
    <col min="8449" max="8449" width="8.21875" customWidth="1"/>
    <col min="8450" max="8450" width="41" customWidth="1"/>
    <col min="8451" max="8453" width="32.77734375" customWidth="1"/>
    <col min="8705" max="8705" width="8.21875" customWidth="1"/>
    <col min="8706" max="8706" width="41" customWidth="1"/>
    <col min="8707" max="8709" width="32.77734375" customWidth="1"/>
    <col min="8961" max="8961" width="8.21875" customWidth="1"/>
    <col min="8962" max="8962" width="41" customWidth="1"/>
    <col min="8963" max="8965" width="32.77734375" customWidth="1"/>
    <col min="9217" max="9217" width="8.21875" customWidth="1"/>
    <col min="9218" max="9218" width="41" customWidth="1"/>
    <col min="9219" max="9221" width="32.77734375" customWidth="1"/>
    <col min="9473" max="9473" width="8.21875" customWidth="1"/>
    <col min="9474" max="9474" width="41" customWidth="1"/>
    <col min="9475" max="9477" width="32.77734375" customWidth="1"/>
    <col min="9729" max="9729" width="8.21875" customWidth="1"/>
    <col min="9730" max="9730" width="41" customWidth="1"/>
    <col min="9731" max="9733" width="32.77734375" customWidth="1"/>
    <col min="9985" max="9985" width="8.21875" customWidth="1"/>
    <col min="9986" max="9986" width="41" customWidth="1"/>
    <col min="9987" max="9989" width="32.77734375" customWidth="1"/>
    <col min="10241" max="10241" width="8.21875" customWidth="1"/>
    <col min="10242" max="10242" width="41" customWidth="1"/>
    <col min="10243" max="10245" width="32.77734375" customWidth="1"/>
    <col min="10497" max="10497" width="8.21875" customWidth="1"/>
    <col min="10498" max="10498" width="41" customWidth="1"/>
    <col min="10499" max="10501" width="32.77734375" customWidth="1"/>
    <col min="10753" max="10753" width="8.21875" customWidth="1"/>
    <col min="10754" max="10754" width="41" customWidth="1"/>
    <col min="10755" max="10757" width="32.77734375" customWidth="1"/>
    <col min="11009" max="11009" width="8.21875" customWidth="1"/>
    <col min="11010" max="11010" width="41" customWidth="1"/>
    <col min="11011" max="11013" width="32.77734375" customWidth="1"/>
    <col min="11265" max="11265" width="8.21875" customWidth="1"/>
    <col min="11266" max="11266" width="41" customWidth="1"/>
    <col min="11267" max="11269" width="32.77734375" customWidth="1"/>
    <col min="11521" max="11521" width="8.21875" customWidth="1"/>
    <col min="11522" max="11522" width="41" customWidth="1"/>
    <col min="11523" max="11525" width="32.77734375" customWidth="1"/>
    <col min="11777" max="11777" width="8.21875" customWidth="1"/>
    <col min="11778" max="11778" width="41" customWidth="1"/>
    <col min="11779" max="11781" width="32.77734375" customWidth="1"/>
    <col min="12033" max="12033" width="8.21875" customWidth="1"/>
    <col min="12034" max="12034" width="41" customWidth="1"/>
    <col min="12035" max="12037" width="32.77734375" customWidth="1"/>
    <col min="12289" max="12289" width="8.21875" customWidth="1"/>
    <col min="12290" max="12290" width="41" customWidth="1"/>
    <col min="12291" max="12293" width="32.77734375" customWidth="1"/>
    <col min="12545" max="12545" width="8.21875" customWidth="1"/>
    <col min="12546" max="12546" width="41" customWidth="1"/>
    <col min="12547" max="12549" width="32.77734375" customWidth="1"/>
    <col min="12801" max="12801" width="8.21875" customWidth="1"/>
    <col min="12802" max="12802" width="41" customWidth="1"/>
    <col min="12803" max="12805" width="32.77734375" customWidth="1"/>
    <col min="13057" max="13057" width="8.21875" customWidth="1"/>
    <col min="13058" max="13058" width="41" customWidth="1"/>
    <col min="13059" max="13061" width="32.77734375" customWidth="1"/>
    <col min="13313" max="13313" width="8.21875" customWidth="1"/>
    <col min="13314" max="13314" width="41" customWidth="1"/>
    <col min="13315" max="13317" width="32.77734375" customWidth="1"/>
    <col min="13569" max="13569" width="8.21875" customWidth="1"/>
    <col min="13570" max="13570" width="41" customWidth="1"/>
    <col min="13571" max="13573" width="32.77734375" customWidth="1"/>
    <col min="13825" max="13825" width="8.21875" customWidth="1"/>
    <col min="13826" max="13826" width="41" customWidth="1"/>
    <col min="13827" max="13829" width="32.77734375" customWidth="1"/>
    <col min="14081" max="14081" width="8.21875" customWidth="1"/>
    <col min="14082" max="14082" width="41" customWidth="1"/>
    <col min="14083" max="14085" width="32.77734375" customWidth="1"/>
    <col min="14337" max="14337" width="8.21875" customWidth="1"/>
    <col min="14338" max="14338" width="41" customWidth="1"/>
    <col min="14339" max="14341" width="32.77734375" customWidth="1"/>
    <col min="14593" max="14593" width="8.21875" customWidth="1"/>
    <col min="14594" max="14594" width="41" customWidth="1"/>
    <col min="14595" max="14597" width="32.77734375" customWidth="1"/>
    <col min="14849" max="14849" width="8.21875" customWidth="1"/>
    <col min="14850" max="14850" width="41" customWidth="1"/>
    <col min="14851" max="14853" width="32.77734375" customWidth="1"/>
    <col min="15105" max="15105" width="8.21875" customWidth="1"/>
    <col min="15106" max="15106" width="41" customWidth="1"/>
    <col min="15107" max="15109" width="32.77734375" customWidth="1"/>
    <col min="15361" max="15361" width="8.21875" customWidth="1"/>
    <col min="15362" max="15362" width="41" customWidth="1"/>
    <col min="15363" max="15365" width="32.77734375" customWidth="1"/>
    <col min="15617" max="15617" width="8.21875" customWidth="1"/>
    <col min="15618" max="15618" width="41" customWidth="1"/>
    <col min="15619" max="15621" width="32.77734375" customWidth="1"/>
    <col min="15873" max="15873" width="8.21875" customWidth="1"/>
    <col min="15874" max="15874" width="41" customWidth="1"/>
    <col min="15875" max="15877" width="32.77734375" customWidth="1"/>
    <col min="16129" max="16129" width="8.21875" customWidth="1"/>
    <col min="16130" max="16130" width="41" customWidth="1"/>
    <col min="16131" max="16133" width="32.77734375" customWidth="1"/>
  </cols>
  <sheetData>
    <row r="1" spans="1:5" ht="23.4" customHeight="1" x14ac:dyDescent="0.25">
      <c r="A1" s="1460" t="s">
        <v>735</v>
      </c>
      <c r="B1" s="1461"/>
      <c r="C1" s="1461"/>
      <c r="D1" s="1461"/>
      <c r="E1" s="1461"/>
    </row>
    <row r="2" spans="1:5" ht="23.4" customHeight="1" x14ac:dyDescent="0.25">
      <c r="A2" s="1460" t="s">
        <v>736</v>
      </c>
      <c r="B2" s="1461"/>
      <c r="C2" s="1461"/>
      <c r="D2" s="1461"/>
      <c r="E2" s="1461"/>
    </row>
    <row r="3" spans="1:5" ht="23.4" customHeight="1" thickBot="1" x14ac:dyDescent="0.3">
      <c r="A3" s="762"/>
      <c r="B3" s="845"/>
      <c r="C3" s="845"/>
      <c r="D3" s="845"/>
      <c r="E3" s="832" t="s">
        <v>1113</v>
      </c>
    </row>
    <row r="4" spans="1:5" ht="21" customHeight="1" x14ac:dyDescent="0.25">
      <c r="A4" s="846"/>
      <c r="B4" s="847" t="s">
        <v>366</v>
      </c>
      <c r="C4" s="847" t="s">
        <v>595</v>
      </c>
      <c r="D4" s="847" t="s">
        <v>596</v>
      </c>
      <c r="E4" s="848" t="s">
        <v>597</v>
      </c>
    </row>
    <row r="5" spans="1:5" ht="15.6" thickBot="1" x14ac:dyDescent="0.3">
      <c r="A5" s="783">
        <v>1</v>
      </c>
      <c r="B5" s="784">
        <v>2</v>
      </c>
      <c r="C5" s="784">
        <v>3</v>
      </c>
      <c r="D5" s="784">
        <v>4</v>
      </c>
      <c r="E5" s="785">
        <v>5</v>
      </c>
    </row>
    <row r="6" spans="1:5" x14ac:dyDescent="0.25">
      <c r="A6" s="779" t="s">
        <v>530</v>
      </c>
      <c r="B6" s="780" t="s">
        <v>598</v>
      </c>
      <c r="C6" s="781">
        <v>2059760</v>
      </c>
      <c r="D6" s="781">
        <v>0</v>
      </c>
      <c r="E6" s="782">
        <v>1151602</v>
      </c>
    </row>
    <row r="7" spans="1:5" x14ac:dyDescent="0.25">
      <c r="A7" s="777" t="s">
        <v>534</v>
      </c>
      <c r="B7" s="773" t="s">
        <v>599</v>
      </c>
      <c r="C7" s="774">
        <v>2059760</v>
      </c>
      <c r="D7" s="774">
        <v>0</v>
      </c>
      <c r="E7" s="778">
        <v>1151602</v>
      </c>
    </row>
    <row r="8" spans="1:5" ht="26.4" x14ac:dyDescent="0.25">
      <c r="A8" s="775" t="s">
        <v>579</v>
      </c>
      <c r="B8" s="770" t="s">
        <v>600</v>
      </c>
      <c r="C8" s="771">
        <v>6171845127</v>
      </c>
      <c r="D8" s="771">
        <v>0</v>
      </c>
      <c r="E8" s="776">
        <v>6272066011</v>
      </c>
    </row>
    <row r="9" spans="1:5" ht="26.4" x14ac:dyDescent="0.25">
      <c r="A9" s="775" t="s">
        <v>581</v>
      </c>
      <c r="B9" s="770" t="s">
        <v>601</v>
      </c>
      <c r="C9" s="771">
        <v>184135926</v>
      </c>
      <c r="D9" s="771">
        <v>0</v>
      </c>
      <c r="E9" s="776">
        <v>139907327</v>
      </c>
    </row>
    <row r="10" spans="1:5" x14ac:dyDescent="0.25">
      <c r="A10" s="775" t="s">
        <v>536</v>
      </c>
      <c r="B10" s="770" t="s">
        <v>602</v>
      </c>
      <c r="C10" s="771">
        <v>67450829</v>
      </c>
      <c r="D10" s="771">
        <v>0</v>
      </c>
      <c r="E10" s="776">
        <v>230454129</v>
      </c>
    </row>
    <row r="11" spans="1:5" x14ac:dyDescent="0.25">
      <c r="A11" s="777" t="s">
        <v>587</v>
      </c>
      <c r="B11" s="773" t="s">
        <v>603</v>
      </c>
      <c r="C11" s="774">
        <v>6423431882</v>
      </c>
      <c r="D11" s="774">
        <v>0</v>
      </c>
      <c r="E11" s="778">
        <v>6642427467</v>
      </c>
    </row>
    <row r="12" spans="1:5" ht="26.4" x14ac:dyDescent="0.25">
      <c r="A12" s="775" t="s">
        <v>589</v>
      </c>
      <c r="B12" s="770" t="s">
        <v>604</v>
      </c>
      <c r="C12" s="771">
        <v>17679040</v>
      </c>
      <c r="D12" s="771">
        <v>0</v>
      </c>
      <c r="E12" s="776">
        <v>17679040</v>
      </c>
    </row>
    <row r="13" spans="1:5" x14ac:dyDescent="0.25">
      <c r="A13" s="775" t="s">
        <v>605</v>
      </c>
      <c r="B13" s="770" t="s">
        <v>606</v>
      </c>
      <c r="C13" s="771">
        <v>17679040</v>
      </c>
      <c r="D13" s="771">
        <v>0</v>
      </c>
      <c r="E13" s="776">
        <v>17679040</v>
      </c>
    </row>
    <row r="14" spans="1:5" ht="26.4" x14ac:dyDescent="0.25">
      <c r="A14" s="777" t="s">
        <v>607</v>
      </c>
      <c r="B14" s="773" t="s">
        <v>608</v>
      </c>
      <c r="C14" s="774">
        <v>17679040</v>
      </c>
      <c r="D14" s="774">
        <v>0</v>
      </c>
      <c r="E14" s="778">
        <v>17679040</v>
      </c>
    </row>
    <row r="15" spans="1:5" ht="39.6" x14ac:dyDescent="0.25">
      <c r="A15" s="777" t="s">
        <v>609</v>
      </c>
      <c r="B15" s="773" t="s">
        <v>610</v>
      </c>
      <c r="C15" s="774">
        <v>6443170682</v>
      </c>
      <c r="D15" s="774">
        <v>0</v>
      </c>
      <c r="E15" s="778">
        <v>6661258109</v>
      </c>
    </row>
    <row r="16" spans="1:5" x14ac:dyDescent="0.25">
      <c r="A16" s="775" t="s">
        <v>611</v>
      </c>
      <c r="B16" s="770" t="s">
        <v>612</v>
      </c>
      <c r="C16" s="771">
        <v>169603939</v>
      </c>
      <c r="D16" s="771">
        <v>0</v>
      </c>
      <c r="E16" s="776">
        <v>53520</v>
      </c>
    </row>
    <row r="17" spans="1:5" ht="26.4" x14ac:dyDescent="0.25">
      <c r="A17" s="775" t="s">
        <v>613</v>
      </c>
      <c r="B17" s="770" t="s">
        <v>614</v>
      </c>
      <c r="C17" s="771">
        <v>5980139</v>
      </c>
      <c r="D17" s="771">
        <v>0</v>
      </c>
      <c r="E17" s="776">
        <v>2055627</v>
      </c>
    </row>
    <row r="18" spans="1:5" x14ac:dyDescent="0.25">
      <c r="A18" s="777" t="s">
        <v>542</v>
      </c>
      <c r="B18" s="773" t="s">
        <v>615</v>
      </c>
      <c r="C18" s="774">
        <v>175584078</v>
      </c>
      <c r="D18" s="774">
        <v>0</v>
      </c>
      <c r="E18" s="778">
        <v>2109147</v>
      </c>
    </row>
    <row r="19" spans="1:5" ht="26.4" x14ac:dyDescent="0.25">
      <c r="A19" s="777" t="s">
        <v>550</v>
      </c>
      <c r="B19" s="773" t="s">
        <v>616</v>
      </c>
      <c r="C19" s="774">
        <v>175584078</v>
      </c>
      <c r="D19" s="774">
        <v>0</v>
      </c>
      <c r="E19" s="778">
        <v>2109147</v>
      </c>
    </row>
    <row r="20" spans="1:5" x14ac:dyDescent="0.25">
      <c r="A20" s="775" t="s">
        <v>617</v>
      </c>
      <c r="B20" s="770" t="s">
        <v>618</v>
      </c>
      <c r="C20" s="771">
        <v>619720</v>
      </c>
      <c r="D20" s="771">
        <v>0</v>
      </c>
      <c r="E20" s="776">
        <v>1094585</v>
      </c>
    </row>
    <row r="21" spans="1:5" ht="26.4" x14ac:dyDescent="0.25">
      <c r="A21" s="777" t="s">
        <v>619</v>
      </c>
      <c r="B21" s="773" t="s">
        <v>620</v>
      </c>
      <c r="C21" s="774">
        <v>619720</v>
      </c>
      <c r="D21" s="774">
        <v>0</v>
      </c>
      <c r="E21" s="778">
        <v>1094585</v>
      </c>
    </row>
    <row r="22" spans="1:5" x14ac:dyDescent="0.25">
      <c r="A22" s="775" t="s">
        <v>621</v>
      </c>
      <c r="B22" s="770" t="s">
        <v>622</v>
      </c>
      <c r="C22" s="771">
        <v>183014518</v>
      </c>
      <c r="D22" s="771">
        <v>0</v>
      </c>
      <c r="E22" s="776">
        <v>246215932</v>
      </c>
    </row>
    <row r="23" spans="1:5" x14ac:dyDescent="0.25">
      <c r="A23" s="775" t="s">
        <v>623</v>
      </c>
      <c r="B23" s="770" t="s">
        <v>624</v>
      </c>
      <c r="C23" s="771">
        <v>299624307</v>
      </c>
      <c r="D23" s="771">
        <v>0</v>
      </c>
      <c r="E23" s="776">
        <v>256018653</v>
      </c>
    </row>
    <row r="24" spans="1:5" x14ac:dyDescent="0.25">
      <c r="A24" s="777" t="s">
        <v>625</v>
      </c>
      <c r="B24" s="773" t="s">
        <v>626</v>
      </c>
      <c r="C24" s="774">
        <v>482638825</v>
      </c>
      <c r="D24" s="774">
        <v>0</v>
      </c>
      <c r="E24" s="778">
        <v>502234585</v>
      </c>
    </row>
    <row r="25" spans="1:5" x14ac:dyDescent="0.25">
      <c r="A25" s="777" t="s">
        <v>627</v>
      </c>
      <c r="B25" s="773" t="s">
        <v>628</v>
      </c>
      <c r="C25" s="774">
        <v>483258545</v>
      </c>
      <c r="D25" s="774">
        <v>0</v>
      </c>
      <c r="E25" s="778">
        <v>503329170</v>
      </c>
    </row>
    <row r="26" spans="1:5" ht="26.4" x14ac:dyDescent="0.25">
      <c r="A26" s="775" t="s">
        <v>629</v>
      </c>
      <c r="B26" s="770" t="s">
        <v>630</v>
      </c>
      <c r="C26" s="771">
        <v>13779768</v>
      </c>
      <c r="D26" s="771">
        <v>0</v>
      </c>
      <c r="E26" s="776">
        <v>18342691</v>
      </c>
    </row>
    <row r="27" spans="1:5" ht="26.4" x14ac:dyDescent="0.25">
      <c r="A27" s="775" t="s">
        <v>631</v>
      </c>
      <c r="B27" s="770" t="s">
        <v>632</v>
      </c>
      <c r="C27" s="771">
        <v>2997065</v>
      </c>
      <c r="D27" s="771">
        <v>0</v>
      </c>
      <c r="E27" s="776">
        <v>2863068</v>
      </c>
    </row>
    <row r="28" spans="1:5" ht="26.4" x14ac:dyDescent="0.25">
      <c r="A28" s="775" t="s">
        <v>633</v>
      </c>
      <c r="B28" s="770" t="s">
        <v>634</v>
      </c>
      <c r="C28" s="771">
        <v>7744627</v>
      </c>
      <c r="D28" s="771">
        <v>0</v>
      </c>
      <c r="E28" s="776">
        <v>11724946</v>
      </c>
    </row>
    <row r="29" spans="1:5" ht="26.4" x14ac:dyDescent="0.25">
      <c r="A29" s="775" t="s">
        <v>635</v>
      </c>
      <c r="B29" s="770" t="s">
        <v>636</v>
      </c>
      <c r="C29" s="771">
        <v>3038076</v>
      </c>
      <c r="D29" s="771">
        <v>0</v>
      </c>
      <c r="E29" s="776">
        <v>3754677</v>
      </c>
    </row>
    <row r="30" spans="1:5" ht="26.4" x14ac:dyDescent="0.25">
      <c r="A30" s="775" t="s">
        <v>637</v>
      </c>
      <c r="B30" s="770" t="s">
        <v>638</v>
      </c>
      <c r="C30" s="771">
        <v>81331159</v>
      </c>
      <c r="D30" s="771">
        <v>0</v>
      </c>
      <c r="E30" s="776">
        <v>32720343</v>
      </c>
    </row>
    <row r="31" spans="1:5" ht="52.8" x14ac:dyDescent="0.25">
      <c r="A31" s="775" t="s">
        <v>639</v>
      </c>
      <c r="B31" s="770" t="s">
        <v>640</v>
      </c>
      <c r="C31" s="771">
        <v>25508987</v>
      </c>
      <c r="D31" s="771">
        <v>0</v>
      </c>
      <c r="E31" s="776">
        <v>26921997</v>
      </c>
    </row>
    <row r="32" spans="1:5" ht="26.4" x14ac:dyDescent="0.25">
      <c r="A32" s="775" t="s">
        <v>641</v>
      </c>
      <c r="B32" s="770" t="s">
        <v>642</v>
      </c>
      <c r="C32" s="771">
        <v>5815593</v>
      </c>
      <c r="D32" s="771">
        <v>0</v>
      </c>
      <c r="E32" s="776">
        <v>5791767</v>
      </c>
    </row>
    <row r="33" spans="1:5" ht="26.4" x14ac:dyDescent="0.25">
      <c r="A33" s="775" t="s">
        <v>643</v>
      </c>
      <c r="B33" s="770" t="s">
        <v>644</v>
      </c>
      <c r="C33" s="771">
        <v>50006579</v>
      </c>
      <c r="D33" s="771">
        <v>0</v>
      </c>
      <c r="E33" s="776">
        <v>6579</v>
      </c>
    </row>
    <row r="34" spans="1:5" ht="26.4" x14ac:dyDescent="0.25">
      <c r="A34" s="775" t="s">
        <v>645</v>
      </c>
      <c r="B34" s="770" t="s">
        <v>646</v>
      </c>
      <c r="C34" s="771">
        <v>7217628</v>
      </c>
      <c r="D34" s="771">
        <v>0</v>
      </c>
      <c r="E34" s="776">
        <v>5670439</v>
      </c>
    </row>
    <row r="35" spans="1:5" ht="26.4" x14ac:dyDescent="0.25">
      <c r="A35" s="775" t="s">
        <v>647</v>
      </c>
      <c r="B35" s="770" t="s">
        <v>648</v>
      </c>
      <c r="C35" s="771">
        <v>7217628</v>
      </c>
      <c r="D35" s="771">
        <v>0</v>
      </c>
      <c r="E35" s="776">
        <v>5670439</v>
      </c>
    </row>
    <row r="36" spans="1:5" ht="39.6" x14ac:dyDescent="0.25">
      <c r="A36" s="775" t="s">
        <v>649</v>
      </c>
      <c r="B36" s="770" t="s">
        <v>650</v>
      </c>
      <c r="C36" s="771">
        <v>3994082</v>
      </c>
      <c r="D36" s="771">
        <v>0</v>
      </c>
      <c r="E36" s="776">
        <v>16032029</v>
      </c>
    </row>
    <row r="37" spans="1:5" ht="52.8" x14ac:dyDescent="0.25">
      <c r="A37" s="775" t="s">
        <v>651</v>
      </c>
      <c r="B37" s="770" t="s">
        <v>652</v>
      </c>
      <c r="C37" s="771">
        <v>3994082</v>
      </c>
      <c r="D37" s="771">
        <v>0</v>
      </c>
      <c r="E37" s="776">
        <v>16032029</v>
      </c>
    </row>
    <row r="38" spans="1:5" ht="39.6" x14ac:dyDescent="0.25">
      <c r="A38" s="775" t="s">
        <v>653</v>
      </c>
      <c r="B38" s="770" t="s">
        <v>654</v>
      </c>
      <c r="C38" s="771">
        <v>3111089</v>
      </c>
      <c r="D38" s="771">
        <v>0</v>
      </c>
      <c r="E38" s="776">
        <v>3272106</v>
      </c>
    </row>
    <row r="39" spans="1:5" ht="52.8" x14ac:dyDescent="0.25">
      <c r="A39" s="775" t="s">
        <v>554</v>
      </c>
      <c r="B39" s="770" t="s">
        <v>655</v>
      </c>
      <c r="C39" s="771">
        <v>3111089</v>
      </c>
      <c r="D39" s="771">
        <v>0</v>
      </c>
      <c r="E39" s="776">
        <v>3272106</v>
      </c>
    </row>
    <row r="40" spans="1:5" ht="26.4" x14ac:dyDescent="0.25">
      <c r="A40" s="777" t="s">
        <v>656</v>
      </c>
      <c r="B40" s="773" t="s">
        <v>657</v>
      </c>
      <c r="C40" s="774">
        <v>109433726</v>
      </c>
      <c r="D40" s="774">
        <v>0</v>
      </c>
      <c r="E40" s="778">
        <v>76037608</v>
      </c>
    </row>
    <row r="41" spans="1:5" ht="39.6" x14ac:dyDescent="0.25">
      <c r="A41" s="775" t="s">
        <v>556</v>
      </c>
      <c r="B41" s="770" t="s">
        <v>658</v>
      </c>
      <c r="C41" s="771">
        <v>82435948</v>
      </c>
      <c r="D41" s="771">
        <v>0</v>
      </c>
      <c r="E41" s="776">
        <v>95975910</v>
      </c>
    </row>
    <row r="42" spans="1:5" ht="26.4" x14ac:dyDescent="0.25">
      <c r="A42" s="775" t="s">
        <v>659</v>
      </c>
      <c r="B42" s="770" t="s">
        <v>660</v>
      </c>
      <c r="C42" s="771">
        <v>5000</v>
      </c>
      <c r="D42" s="771">
        <v>0</v>
      </c>
      <c r="E42" s="776">
        <v>0</v>
      </c>
    </row>
    <row r="43" spans="1:5" ht="39.6" x14ac:dyDescent="0.25">
      <c r="A43" s="775" t="s">
        <v>661</v>
      </c>
      <c r="B43" s="770" t="s">
        <v>662</v>
      </c>
      <c r="C43" s="771">
        <v>82430948</v>
      </c>
      <c r="D43" s="771">
        <v>0</v>
      </c>
      <c r="E43" s="776">
        <v>95975910</v>
      </c>
    </row>
    <row r="44" spans="1:5" ht="26.4" x14ac:dyDescent="0.25">
      <c r="A44" s="777" t="s">
        <v>663</v>
      </c>
      <c r="B44" s="773" t="s">
        <v>664</v>
      </c>
      <c r="C44" s="774">
        <v>82435948</v>
      </c>
      <c r="D44" s="774">
        <v>0</v>
      </c>
      <c r="E44" s="778">
        <v>95975910</v>
      </c>
    </row>
    <row r="45" spans="1:5" x14ac:dyDescent="0.25">
      <c r="A45" s="775" t="s">
        <v>665</v>
      </c>
      <c r="B45" s="770" t="s">
        <v>666</v>
      </c>
      <c r="C45" s="771">
        <v>7673734</v>
      </c>
      <c r="D45" s="771">
        <v>0</v>
      </c>
      <c r="E45" s="776">
        <v>0</v>
      </c>
    </row>
    <row r="46" spans="1:5" ht="26.4" x14ac:dyDescent="0.25">
      <c r="A46" s="775" t="s">
        <v>667</v>
      </c>
      <c r="B46" s="770" t="s">
        <v>668</v>
      </c>
      <c r="C46" s="771">
        <v>7673734</v>
      </c>
      <c r="D46" s="771">
        <v>0</v>
      </c>
      <c r="E46" s="776">
        <v>0</v>
      </c>
    </row>
    <row r="47" spans="1:5" x14ac:dyDescent="0.25">
      <c r="A47" s="775" t="s">
        <v>669</v>
      </c>
      <c r="B47" s="770" t="s">
        <v>670</v>
      </c>
      <c r="C47" s="771">
        <v>350000</v>
      </c>
      <c r="D47" s="771">
        <v>0</v>
      </c>
      <c r="E47" s="776">
        <v>350000</v>
      </c>
    </row>
    <row r="48" spans="1:5" ht="26.4" x14ac:dyDescent="0.25">
      <c r="A48" s="777" t="s">
        <v>671</v>
      </c>
      <c r="B48" s="773" t="s">
        <v>672</v>
      </c>
      <c r="C48" s="774">
        <v>8023734</v>
      </c>
      <c r="D48" s="774">
        <v>0</v>
      </c>
      <c r="E48" s="778">
        <v>350000</v>
      </c>
    </row>
    <row r="49" spans="1:5" x14ac:dyDescent="0.25">
      <c r="A49" s="777" t="s">
        <v>673</v>
      </c>
      <c r="B49" s="773" t="s">
        <v>674</v>
      </c>
      <c r="C49" s="774">
        <v>199893408</v>
      </c>
      <c r="D49" s="774">
        <v>0</v>
      </c>
      <c r="E49" s="778">
        <v>172363518</v>
      </c>
    </row>
    <row r="50" spans="1:5" ht="26.4" x14ac:dyDescent="0.25">
      <c r="A50" s="775" t="s">
        <v>675</v>
      </c>
      <c r="B50" s="770" t="s">
        <v>676</v>
      </c>
      <c r="C50" s="771">
        <v>1192171</v>
      </c>
      <c r="D50" s="771">
        <v>0</v>
      </c>
      <c r="E50" s="776">
        <v>358457</v>
      </c>
    </row>
    <row r="51" spans="1:5" ht="26.4" x14ac:dyDescent="0.25">
      <c r="A51" s="777" t="s">
        <v>677</v>
      </c>
      <c r="B51" s="773" t="s">
        <v>678</v>
      </c>
      <c r="C51" s="774">
        <v>1192171</v>
      </c>
      <c r="D51" s="774">
        <v>0</v>
      </c>
      <c r="E51" s="778">
        <v>358457</v>
      </c>
    </row>
    <row r="52" spans="1:5" x14ac:dyDescent="0.25">
      <c r="A52" s="775" t="s">
        <v>679</v>
      </c>
      <c r="B52" s="770" t="s">
        <v>680</v>
      </c>
      <c r="C52" s="771">
        <v>-988239</v>
      </c>
      <c r="D52" s="771">
        <v>0</v>
      </c>
      <c r="E52" s="776">
        <v>-61180</v>
      </c>
    </row>
    <row r="53" spans="1:5" ht="26.4" x14ac:dyDescent="0.25">
      <c r="A53" s="777" t="s">
        <v>681</v>
      </c>
      <c r="B53" s="773" t="s">
        <v>682</v>
      </c>
      <c r="C53" s="774">
        <v>-988239</v>
      </c>
      <c r="D53" s="774">
        <v>0</v>
      </c>
      <c r="E53" s="778">
        <v>-61180</v>
      </c>
    </row>
    <row r="54" spans="1:5" ht="26.4" x14ac:dyDescent="0.25">
      <c r="A54" s="777" t="s">
        <v>683</v>
      </c>
      <c r="B54" s="773" t="s">
        <v>684</v>
      </c>
      <c r="C54" s="774">
        <v>203932</v>
      </c>
      <c r="D54" s="774">
        <v>0</v>
      </c>
      <c r="E54" s="778">
        <v>297277</v>
      </c>
    </row>
    <row r="55" spans="1:5" x14ac:dyDescent="0.25">
      <c r="A55" s="800" t="s">
        <v>685</v>
      </c>
      <c r="B55" s="792" t="s">
        <v>686</v>
      </c>
      <c r="C55" s="793">
        <v>7302110645</v>
      </c>
      <c r="D55" s="793">
        <v>0</v>
      </c>
      <c r="E55" s="801">
        <v>7339357221</v>
      </c>
    </row>
    <row r="56" spans="1:5" x14ac:dyDescent="0.25">
      <c r="A56" s="775" t="s">
        <v>687</v>
      </c>
      <c r="B56" s="770" t="s">
        <v>688</v>
      </c>
      <c r="C56" s="771">
        <v>1801242944</v>
      </c>
      <c r="D56" s="771">
        <v>0</v>
      </c>
      <c r="E56" s="776">
        <v>1801242944</v>
      </c>
    </row>
    <row r="57" spans="1:5" x14ac:dyDescent="0.25">
      <c r="A57" s="775" t="s">
        <v>689</v>
      </c>
      <c r="B57" s="770" t="s">
        <v>690</v>
      </c>
      <c r="C57" s="771">
        <v>1434641766</v>
      </c>
      <c r="D57" s="771">
        <v>0</v>
      </c>
      <c r="E57" s="776">
        <v>1434641766</v>
      </c>
    </row>
    <row r="58" spans="1:5" ht="26.4" x14ac:dyDescent="0.25">
      <c r="A58" s="775" t="s">
        <v>691</v>
      </c>
      <c r="B58" s="770" t="s">
        <v>692</v>
      </c>
      <c r="C58" s="771">
        <v>47801000</v>
      </c>
      <c r="D58" s="771">
        <v>0</v>
      </c>
      <c r="E58" s="776">
        <v>47801000</v>
      </c>
    </row>
    <row r="59" spans="1:5" x14ac:dyDescent="0.25">
      <c r="A59" s="775" t="s">
        <v>693</v>
      </c>
      <c r="B59" s="770" t="s">
        <v>694</v>
      </c>
      <c r="C59" s="771">
        <v>1972950446</v>
      </c>
      <c r="D59" s="771">
        <v>0</v>
      </c>
      <c r="E59" s="776">
        <v>1942242299</v>
      </c>
    </row>
    <row r="60" spans="1:5" x14ac:dyDescent="0.25">
      <c r="A60" s="775" t="s">
        <v>695</v>
      </c>
      <c r="B60" s="770" t="s">
        <v>696</v>
      </c>
      <c r="C60" s="771">
        <v>-30708147</v>
      </c>
      <c r="D60" s="771">
        <v>0</v>
      </c>
      <c r="E60" s="776">
        <v>-37254</v>
      </c>
    </row>
    <row r="61" spans="1:5" x14ac:dyDescent="0.25">
      <c r="A61" s="777" t="s">
        <v>697</v>
      </c>
      <c r="B61" s="773" t="s">
        <v>698</v>
      </c>
      <c r="C61" s="774">
        <v>5225928009</v>
      </c>
      <c r="D61" s="774">
        <v>0</v>
      </c>
      <c r="E61" s="778">
        <v>5225890755</v>
      </c>
    </row>
    <row r="62" spans="1:5" ht="26.4" x14ac:dyDescent="0.25">
      <c r="A62" s="775" t="s">
        <v>699</v>
      </c>
      <c r="B62" s="770" t="s">
        <v>700</v>
      </c>
      <c r="C62" s="771">
        <v>3632311</v>
      </c>
      <c r="D62" s="771">
        <v>0</v>
      </c>
      <c r="E62" s="776">
        <v>4451600</v>
      </c>
    </row>
    <row r="63" spans="1:5" ht="26.4" x14ac:dyDescent="0.25">
      <c r="A63" s="775" t="s">
        <v>701</v>
      </c>
      <c r="B63" s="770" t="s">
        <v>702</v>
      </c>
      <c r="C63" s="771">
        <v>1257551</v>
      </c>
      <c r="D63" s="771">
        <v>0</v>
      </c>
      <c r="E63" s="776">
        <v>187560</v>
      </c>
    </row>
    <row r="64" spans="1:5" ht="39.6" x14ac:dyDescent="0.25">
      <c r="A64" s="775" t="s">
        <v>703</v>
      </c>
      <c r="B64" s="770" t="s">
        <v>704</v>
      </c>
      <c r="C64" s="771">
        <v>30000</v>
      </c>
      <c r="D64" s="771">
        <v>0</v>
      </c>
      <c r="E64" s="776">
        <v>371450</v>
      </c>
    </row>
    <row r="65" spans="1:5" ht="26.4" x14ac:dyDescent="0.25">
      <c r="A65" s="775" t="s">
        <v>705</v>
      </c>
      <c r="B65" s="770" t="s">
        <v>706</v>
      </c>
      <c r="C65" s="771">
        <v>515620</v>
      </c>
      <c r="D65" s="771">
        <v>0</v>
      </c>
      <c r="E65" s="776">
        <v>463550</v>
      </c>
    </row>
    <row r="66" spans="1:5" ht="26.4" x14ac:dyDescent="0.25">
      <c r="A66" s="775" t="s">
        <v>707</v>
      </c>
      <c r="B66" s="770" t="s">
        <v>708</v>
      </c>
      <c r="C66" s="771">
        <v>0</v>
      </c>
      <c r="D66" s="771">
        <v>0</v>
      </c>
      <c r="E66" s="776">
        <v>8042920</v>
      </c>
    </row>
    <row r="67" spans="1:5" ht="26.4" x14ac:dyDescent="0.25">
      <c r="A67" s="777" t="s">
        <v>709</v>
      </c>
      <c r="B67" s="773" t="s">
        <v>710</v>
      </c>
      <c r="C67" s="774">
        <v>5435482</v>
      </c>
      <c r="D67" s="774">
        <v>0</v>
      </c>
      <c r="E67" s="778">
        <v>13517080</v>
      </c>
    </row>
    <row r="68" spans="1:5" ht="39.6" x14ac:dyDescent="0.25">
      <c r="A68" s="775" t="s">
        <v>711</v>
      </c>
      <c r="B68" s="770" t="s">
        <v>712</v>
      </c>
      <c r="C68" s="771">
        <v>17918748</v>
      </c>
      <c r="D68" s="771">
        <v>0</v>
      </c>
      <c r="E68" s="776">
        <v>21292624</v>
      </c>
    </row>
    <row r="69" spans="1:5" ht="39.6" x14ac:dyDescent="0.25">
      <c r="A69" s="775" t="s">
        <v>713</v>
      </c>
      <c r="B69" s="770" t="s">
        <v>714</v>
      </c>
      <c r="C69" s="771">
        <v>17918748</v>
      </c>
      <c r="D69" s="771">
        <v>0</v>
      </c>
      <c r="E69" s="776">
        <v>21292624</v>
      </c>
    </row>
    <row r="70" spans="1:5" ht="26.4" x14ac:dyDescent="0.25">
      <c r="A70" s="777" t="s">
        <v>715</v>
      </c>
      <c r="B70" s="773" t="s">
        <v>716</v>
      </c>
      <c r="C70" s="774">
        <v>17918748</v>
      </c>
      <c r="D70" s="774">
        <v>0</v>
      </c>
      <c r="E70" s="778">
        <v>21292624</v>
      </c>
    </row>
    <row r="71" spans="1:5" x14ac:dyDescent="0.25">
      <c r="A71" s="775" t="s">
        <v>717</v>
      </c>
      <c r="B71" s="770" t="s">
        <v>718</v>
      </c>
      <c r="C71" s="771">
        <v>25915751</v>
      </c>
      <c r="D71" s="771">
        <v>0</v>
      </c>
      <c r="E71" s="776">
        <v>29858530</v>
      </c>
    </row>
    <row r="72" spans="1:5" ht="26.4" x14ac:dyDescent="0.25">
      <c r="A72" s="775" t="s">
        <v>719</v>
      </c>
      <c r="B72" s="770" t="s">
        <v>720</v>
      </c>
      <c r="C72" s="771">
        <v>7728483</v>
      </c>
      <c r="D72" s="771">
        <v>0</v>
      </c>
      <c r="E72" s="776">
        <v>11786984</v>
      </c>
    </row>
    <row r="73" spans="1:5" ht="26.4" x14ac:dyDescent="0.25">
      <c r="A73" s="777" t="s">
        <v>721</v>
      </c>
      <c r="B73" s="773" t="s">
        <v>722</v>
      </c>
      <c r="C73" s="774">
        <v>33644234</v>
      </c>
      <c r="D73" s="774">
        <v>0</v>
      </c>
      <c r="E73" s="778">
        <v>41645514</v>
      </c>
    </row>
    <row r="74" spans="1:5" x14ac:dyDescent="0.25">
      <c r="A74" s="777" t="s">
        <v>723</v>
      </c>
      <c r="B74" s="773" t="s">
        <v>724</v>
      </c>
      <c r="C74" s="774">
        <v>56998464</v>
      </c>
      <c r="D74" s="774">
        <v>0</v>
      </c>
      <c r="E74" s="778">
        <v>76455218</v>
      </c>
    </row>
    <row r="75" spans="1:5" ht="26.4" x14ac:dyDescent="0.25">
      <c r="A75" s="775" t="s">
        <v>725</v>
      </c>
      <c r="B75" s="770" t="s">
        <v>726</v>
      </c>
      <c r="C75" s="771">
        <v>82435948</v>
      </c>
      <c r="D75" s="771">
        <v>0</v>
      </c>
      <c r="E75" s="776">
        <v>95975910</v>
      </c>
    </row>
    <row r="76" spans="1:5" ht="26.4" x14ac:dyDescent="0.25">
      <c r="A76" s="775" t="s">
        <v>727</v>
      </c>
      <c r="B76" s="770" t="s">
        <v>728</v>
      </c>
      <c r="C76" s="771">
        <v>7926732</v>
      </c>
      <c r="D76" s="771">
        <v>0</v>
      </c>
      <c r="E76" s="776">
        <v>7592008</v>
      </c>
    </row>
    <row r="77" spans="1:5" x14ac:dyDescent="0.25">
      <c r="A77" s="775" t="s">
        <v>729</v>
      </c>
      <c r="B77" s="770" t="s">
        <v>730</v>
      </c>
      <c r="C77" s="771">
        <v>1928821492</v>
      </c>
      <c r="D77" s="771">
        <v>0</v>
      </c>
      <c r="E77" s="776">
        <v>1933443330</v>
      </c>
    </row>
    <row r="78" spans="1:5" ht="27" thickBot="1" x14ac:dyDescent="0.3">
      <c r="A78" s="786" t="s">
        <v>731</v>
      </c>
      <c r="B78" s="787" t="s">
        <v>732</v>
      </c>
      <c r="C78" s="788">
        <v>2019184172</v>
      </c>
      <c r="D78" s="788">
        <v>0</v>
      </c>
      <c r="E78" s="789">
        <v>2037011248</v>
      </c>
    </row>
    <row r="79" spans="1:5" ht="13.8" thickBot="1" x14ac:dyDescent="0.3">
      <c r="A79" s="802" t="s">
        <v>733</v>
      </c>
      <c r="B79" s="803" t="s">
        <v>734</v>
      </c>
      <c r="C79" s="804">
        <v>7302110645</v>
      </c>
      <c r="D79" s="804">
        <v>0</v>
      </c>
      <c r="E79" s="805">
        <v>7339357221</v>
      </c>
    </row>
  </sheetData>
  <mergeCells count="2">
    <mergeCell ref="A1:E1"/>
    <mergeCell ref="A2:E2"/>
  </mergeCells>
  <pageMargins left="0.7" right="0.7" top="0.75" bottom="0.75" header="0.3" footer="0.3"/>
  <pageSetup paperSize="9" scale="6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opLeftCell="A19" workbookViewId="0">
      <selection activeCell="E25" sqref="E25"/>
    </sheetView>
  </sheetViews>
  <sheetFormatPr defaultRowHeight="13.2" x14ac:dyDescent="0.25"/>
  <cols>
    <col min="1" max="1" width="8.21875" customWidth="1"/>
    <col min="2" max="2" width="41" customWidth="1"/>
    <col min="3" max="5" width="32.77734375" customWidth="1"/>
    <col min="257" max="257" width="8.21875" customWidth="1"/>
    <col min="258" max="258" width="41" customWidth="1"/>
    <col min="259" max="261" width="32.77734375" customWidth="1"/>
    <col min="513" max="513" width="8.21875" customWidth="1"/>
    <col min="514" max="514" width="41" customWidth="1"/>
    <col min="515" max="517" width="32.77734375" customWidth="1"/>
    <col min="769" max="769" width="8.21875" customWidth="1"/>
    <col min="770" max="770" width="41" customWidth="1"/>
    <col min="771" max="773" width="32.77734375" customWidth="1"/>
    <col min="1025" max="1025" width="8.21875" customWidth="1"/>
    <col min="1026" max="1026" width="41" customWidth="1"/>
    <col min="1027" max="1029" width="32.77734375" customWidth="1"/>
    <col min="1281" max="1281" width="8.21875" customWidth="1"/>
    <col min="1282" max="1282" width="41" customWidth="1"/>
    <col min="1283" max="1285" width="32.77734375" customWidth="1"/>
    <col min="1537" max="1537" width="8.21875" customWidth="1"/>
    <col min="1538" max="1538" width="41" customWidth="1"/>
    <col min="1539" max="1541" width="32.77734375" customWidth="1"/>
    <col min="1793" max="1793" width="8.21875" customWidth="1"/>
    <col min="1794" max="1794" width="41" customWidth="1"/>
    <col min="1795" max="1797" width="32.77734375" customWidth="1"/>
    <col min="2049" max="2049" width="8.21875" customWidth="1"/>
    <col min="2050" max="2050" width="41" customWidth="1"/>
    <col min="2051" max="2053" width="32.77734375" customWidth="1"/>
    <col min="2305" max="2305" width="8.21875" customWidth="1"/>
    <col min="2306" max="2306" width="41" customWidth="1"/>
    <col min="2307" max="2309" width="32.77734375" customWidth="1"/>
    <col min="2561" max="2561" width="8.21875" customWidth="1"/>
    <col min="2562" max="2562" width="41" customWidth="1"/>
    <col min="2563" max="2565" width="32.77734375" customWidth="1"/>
    <col min="2817" max="2817" width="8.21875" customWidth="1"/>
    <col min="2818" max="2818" width="41" customWidth="1"/>
    <col min="2819" max="2821" width="32.77734375" customWidth="1"/>
    <col min="3073" max="3073" width="8.21875" customWidth="1"/>
    <col min="3074" max="3074" width="41" customWidth="1"/>
    <col min="3075" max="3077" width="32.77734375" customWidth="1"/>
    <col min="3329" max="3329" width="8.21875" customWidth="1"/>
    <col min="3330" max="3330" width="41" customWidth="1"/>
    <col min="3331" max="3333" width="32.77734375" customWidth="1"/>
    <col min="3585" max="3585" width="8.21875" customWidth="1"/>
    <col min="3586" max="3586" width="41" customWidth="1"/>
    <col min="3587" max="3589" width="32.77734375" customWidth="1"/>
    <col min="3841" max="3841" width="8.21875" customWidth="1"/>
    <col min="3842" max="3842" width="41" customWidth="1"/>
    <col min="3843" max="3845" width="32.77734375" customWidth="1"/>
    <col min="4097" max="4097" width="8.21875" customWidth="1"/>
    <col min="4098" max="4098" width="41" customWidth="1"/>
    <col min="4099" max="4101" width="32.77734375" customWidth="1"/>
    <col min="4353" max="4353" width="8.21875" customWidth="1"/>
    <col min="4354" max="4354" width="41" customWidth="1"/>
    <col min="4355" max="4357" width="32.77734375" customWidth="1"/>
    <col min="4609" max="4609" width="8.21875" customWidth="1"/>
    <col min="4610" max="4610" width="41" customWidth="1"/>
    <col min="4611" max="4613" width="32.77734375" customWidth="1"/>
    <col min="4865" max="4865" width="8.21875" customWidth="1"/>
    <col min="4866" max="4866" width="41" customWidth="1"/>
    <col min="4867" max="4869" width="32.77734375" customWidth="1"/>
    <col min="5121" max="5121" width="8.21875" customWidth="1"/>
    <col min="5122" max="5122" width="41" customWidth="1"/>
    <col min="5123" max="5125" width="32.77734375" customWidth="1"/>
    <col min="5377" max="5377" width="8.21875" customWidth="1"/>
    <col min="5378" max="5378" width="41" customWidth="1"/>
    <col min="5379" max="5381" width="32.77734375" customWidth="1"/>
    <col min="5633" max="5633" width="8.21875" customWidth="1"/>
    <col min="5634" max="5634" width="41" customWidth="1"/>
    <col min="5635" max="5637" width="32.77734375" customWidth="1"/>
    <col min="5889" max="5889" width="8.21875" customWidth="1"/>
    <col min="5890" max="5890" width="41" customWidth="1"/>
    <col min="5891" max="5893" width="32.77734375" customWidth="1"/>
    <col min="6145" max="6145" width="8.21875" customWidth="1"/>
    <col min="6146" max="6146" width="41" customWidth="1"/>
    <col min="6147" max="6149" width="32.77734375" customWidth="1"/>
    <col min="6401" max="6401" width="8.21875" customWidth="1"/>
    <col min="6402" max="6402" width="41" customWidth="1"/>
    <col min="6403" max="6405" width="32.77734375" customWidth="1"/>
    <col min="6657" max="6657" width="8.21875" customWidth="1"/>
    <col min="6658" max="6658" width="41" customWidth="1"/>
    <col min="6659" max="6661" width="32.77734375" customWidth="1"/>
    <col min="6913" max="6913" width="8.21875" customWidth="1"/>
    <col min="6914" max="6914" width="41" customWidth="1"/>
    <col min="6915" max="6917" width="32.77734375" customWidth="1"/>
    <col min="7169" max="7169" width="8.21875" customWidth="1"/>
    <col min="7170" max="7170" width="41" customWidth="1"/>
    <col min="7171" max="7173" width="32.77734375" customWidth="1"/>
    <col min="7425" max="7425" width="8.21875" customWidth="1"/>
    <col min="7426" max="7426" width="41" customWidth="1"/>
    <col min="7427" max="7429" width="32.77734375" customWidth="1"/>
    <col min="7681" max="7681" width="8.21875" customWidth="1"/>
    <col min="7682" max="7682" width="41" customWidth="1"/>
    <col min="7683" max="7685" width="32.77734375" customWidth="1"/>
    <col min="7937" max="7937" width="8.21875" customWidth="1"/>
    <col min="7938" max="7938" width="41" customWidth="1"/>
    <col min="7939" max="7941" width="32.77734375" customWidth="1"/>
    <col min="8193" max="8193" width="8.21875" customWidth="1"/>
    <col min="8194" max="8194" width="41" customWidth="1"/>
    <col min="8195" max="8197" width="32.77734375" customWidth="1"/>
    <col min="8449" max="8449" width="8.21875" customWidth="1"/>
    <col min="8450" max="8450" width="41" customWidth="1"/>
    <col min="8451" max="8453" width="32.77734375" customWidth="1"/>
    <col min="8705" max="8705" width="8.21875" customWidth="1"/>
    <col min="8706" max="8706" width="41" customWidth="1"/>
    <col min="8707" max="8709" width="32.77734375" customWidth="1"/>
    <col min="8961" max="8961" width="8.21875" customWidth="1"/>
    <col min="8962" max="8962" width="41" customWidth="1"/>
    <col min="8963" max="8965" width="32.77734375" customWidth="1"/>
    <col min="9217" max="9217" width="8.21875" customWidth="1"/>
    <col min="9218" max="9218" width="41" customWidth="1"/>
    <col min="9219" max="9221" width="32.77734375" customWidth="1"/>
    <col min="9473" max="9473" width="8.21875" customWidth="1"/>
    <col min="9474" max="9474" width="41" customWidth="1"/>
    <col min="9475" max="9477" width="32.77734375" customWidth="1"/>
    <col min="9729" max="9729" width="8.21875" customWidth="1"/>
    <col min="9730" max="9730" width="41" customWidth="1"/>
    <col min="9731" max="9733" width="32.77734375" customWidth="1"/>
    <col min="9985" max="9985" width="8.21875" customWidth="1"/>
    <col min="9986" max="9986" width="41" customWidth="1"/>
    <col min="9987" max="9989" width="32.77734375" customWidth="1"/>
    <col min="10241" max="10241" width="8.21875" customWidth="1"/>
    <col min="10242" max="10242" width="41" customWidth="1"/>
    <col min="10243" max="10245" width="32.77734375" customWidth="1"/>
    <col min="10497" max="10497" width="8.21875" customWidth="1"/>
    <col min="10498" max="10498" width="41" customWidth="1"/>
    <col min="10499" max="10501" width="32.77734375" customWidth="1"/>
    <col min="10753" max="10753" width="8.21875" customWidth="1"/>
    <col min="10754" max="10754" width="41" customWidth="1"/>
    <col min="10755" max="10757" width="32.77734375" customWidth="1"/>
    <col min="11009" max="11009" width="8.21875" customWidth="1"/>
    <col min="11010" max="11010" width="41" customWidth="1"/>
    <col min="11011" max="11013" width="32.77734375" customWidth="1"/>
    <col min="11265" max="11265" width="8.21875" customWidth="1"/>
    <col min="11266" max="11266" width="41" customWidth="1"/>
    <col min="11267" max="11269" width="32.77734375" customWidth="1"/>
    <col min="11521" max="11521" width="8.21875" customWidth="1"/>
    <col min="11522" max="11522" width="41" customWidth="1"/>
    <col min="11523" max="11525" width="32.77734375" customWidth="1"/>
    <col min="11777" max="11777" width="8.21875" customWidth="1"/>
    <col min="11778" max="11778" width="41" customWidth="1"/>
    <col min="11779" max="11781" width="32.77734375" customWidth="1"/>
    <col min="12033" max="12033" width="8.21875" customWidth="1"/>
    <col min="12034" max="12034" width="41" customWidth="1"/>
    <col min="12035" max="12037" width="32.77734375" customWidth="1"/>
    <col min="12289" max="12289" width="8.21875" customWidth="1"/>
    <col min="12290" max="12290" width="41" customWidth="1"/>
    <col min="12291" max="12293" width="32.77734375" customWidth="1"/>
    <col min="12545" max="12545" width="8.21875" customWidth="1"/>
    <col min="12546" max="12546" width="41" customWidth="1"/>
    <col min="12547" max="12549" width="32.77734375" customWidth="1"/>
    <col min="12801" max="12801" width="8.21875" customWidth="1"/>
    <col min="12802" max="12802" width="41" customWidth="1"/>
    <col min="12803" max="12805" width="32.77734375" customWidth="1"/>
    <col min="13057" max="13057" width="8.21875" customWidth="1"/>
    <col min="13058" max="13058" width="41" customWidth="1"/>
    <col min="13059" max="13061" width="32.77734375" customWidth="1"/>
    <col min="13313" max="13313" width="8.21875" customWidth="1"/>
    <col min="13314" max="13314" width="41" customWidth="1"/>
    <col min="13315" max="13317" width="32.77734375" customWidth="1"/>
    <col min="13569" max="13569" width="8.21875" customWidth="1"/>
    <col min="13570" max="13570" width="41" customWidth="1"/>
    <col min="13571" max="13573" width="32.77734375" customWidth="1"/>
    <col min="13825" max="13825" width="8.21875" customWidth="1"/>
    <col min="13826" max="13826" width="41" customWidth="1"/>
    <col min="13827" max="13829" width="32.77734375" customWidth="1"/>
    <col min="14081" max="14081" width="8.21875" customWidth="1"/>
    <col min="14082" max="14082" width="41" customWidth="1"/>
    <col min="14083" max="14085" width="32.77734375" customWidth="1"/>
    <col min="14337" max="14337" width="8.21875" customWidth="1"/>
    <col min="14338" max="14338" width="41" customWidth="1"/>
    <col min="14339" max="14341" width="32.77734375" customWidth="1"/>
    <col min="14593" max="14593" width="8.21875" customWidth="1"/>
    <col min="14594" max="14594" width="41" customWidth="1"/>
    <col min="14595" max="14597" width="32.77734375" customWidth="1"/>
    <col min="14849" max="14849" width="8.21875" customWidth="1"/>
    <col min="14850" max="14850" width="41" customWidth="1"/>
    <col min="14851" max="14853" width="32.77734375" customWidth="1"/>
    <col min="15105" max="15105" width="8.21875" customWidth="1"/>
    <col min="15106" max="15106" width="41" customWidth="1"/>
    <col min="15107" max="15109" width="32.77734375" customWidth="1"/>
    <col min="15361" max="15361" width="8.21875" customWidth="1"/>
    <col min="15362" max="15362" width="41" customWidth="1"/>
    <col min="15363" max="15365" width="32.77734375" customWidth="1"/>
    <col min="15617" max="15617" width="8.21875" customWidth="1"/>
    <col min="15618" max="15618" width="41" customWidth="1"/>
    <col min="15619" max="15621" width="32.77734375" customWidth="1"/>
    <col min="15873" max="15873" width="8.21875" customWidth="1"/>
    <col min="15874" max="15874" width="41" customWidth="1"/>
    <col min="15875" max="15877" width="32.77734375" customWidth="1"/>
    <col min="16129" max="16129" width="8.21875" customWidth="1"/>
    <col min="16130" max="16130" width="41" customWidth="1"/>
    <col min="16131" max="16133" width="32.77734375" customWidth="1"/>
  </cols>
  <sheetData>
    <row r="1" spans="1:5" ht="28.8" customHeight="1" x14ac:dyDescent="0.25">
      <c r="A1" s="1460" t="s">
        <v>1119</v>
      </c>
      <c r="B1" s="1461"/>
      <c r="C1" s="1461"/>
      <c r="D1" s="1461"/>
      <c r="E1" s="1461"/>
    </row>
    <row r="2" spans="1:5" ht="28.8" customHeight="1" x14ac:dyDescent="0.25">
      <c r="A2" s="1460" t="s">
        <v>740</v>
      </c>
      <c r="B2" s="1461"/>
      <c r="C2" s="1461"/>
      <c r="D2" s="1461"/>
      <c r="E2" s="1461"/>
    </row>
    <row r="3" spans="1:5" ht="28.8" customHeight="1" thickBot="1" x14ac:dyDescent="0.3">
      <c r="A3" s="762"/>
      <c r="B3" s="845"/>
      <c r="C3" s="845"/>
      <c r="D3" s="845"/>
      <c r="E3" s="832" t="s">
        <v>1113</v>
      </c>
    </row>
    <row r="4" spans="1:5" ht="15" x14ac:dyDescent="0.25">
      <c r="A4" s="846"/>
      <c r="B4" s="847" t="s">
        <v>366</v>
      </c>
      <c r="C4" s="847" t="s">
        <v>595</v>
      </c>
      <c r="D4" s="847" t="s">
        <v>596</v>
      </c>
      <c r="E4" s="848" t="s">
        <v>597</v>
      </c>
    </row>
    <row r="5" spans="1:5" ht="15.6" thickBot="1" x14ac:dyDescent="0.3">
      <c r="A5" s="783">
        <v>1</v>
      </c>
      <c r="B5" s="784">
        <v>2</v>
      </c>
      <c r="C5" s="784">
        <v>3</v>
      </c>
      <c r="D5" s="784">
        <v>4</v>
      </c>
      <c r="E5" s="785">
        <v>5</v>
      </c>
    </row>
    <row r="6" spans="1:5" x14ac:dyDescent="0.25">
      <c r="A6" s="779" t="s">
        <v>528</v>
      </c>
      <c r="B6" s="780" t="s">
        <v>737</v>
      </c>
      <c r="C6" s="781">
        <v>100364</v>
      </c>
      <c r="D6" s="781">
        <v>0</v>
      </c>
      <c r="E6" s="782">
        <v>50864</v>
      </c>
    </row>
    <row r="7" spans="1:5" x14ac:dyDescent="0.25">
      <c r="A7" s="775" t="s">
        <v>530</v>
      </c>
      <c r="B7" s="770" t="s">
        <v>598</v>
      </c>
      <c r="C7" s="771">
        <v>2059760</v>
      </c>
      <c r="D7" s="771">
        <v>0</v>
      </c>
      <c r="E7" s="776">
        <v>1151602</v>
      </c>
    </row>
    <row r="8" spans="1:5" x14ac:dyDescent="0.25">
      <c r="A8" s="777" t="s">
        <v>534</v>
      </c>
      <c r="B8" s="773" t="s">
        <v>599</v>
      </c>
      <c r="C8" s="774">
        <v>2160124</v>
      </c>
      <c r="D8" s="774">
        <v>0</v>
      </c>
      <c r="E8" s="778">
        <v>1202466</v>
      </c>
    </row>
    <row r="9" spans="1:5" ht="26.4" x14ac:dyDescent="0.25">
      <c r="A9" s="775" t="s">
        <v>579</v>
      </c>
      <c r="B9" s="770" t="s">
        <v>600</v>
      </c>
      <c r="C9" s="771">
        <v>6171845127</v>
      </c>
      <c r="D9" s="771">
        <v>0</v>
      </c>
      <c r="E9" s="776">
        <v>6272066011</v>
      </c>
    </row>
    <row r="10" spans="1:5" ht="26.4" x14ac:dyDescent="0.25">
      <c r="A10" s="775" t="s">
        <v>581</v>
      </c>
      <c r="B10" s="770" t="s">
        <v>601</v>
      </c>
      <c r="C10" s="771">
        <v>188440087</v>
      </c>
      <c r="D10" s="771">
        <v>0</v>
      </c>
      <c r="E10" s="776">
        <v>144080933</v>
      </c>
    </row>
    <row r="11" spans="1:5" x14ac:dyDescent="0.25">
      <c r="A11" s="775" t="s">
        <v>536</v>
      </c>
      <c r="B11" s="770" t="s">
        <v>602</v>
      </c>
      <c r="C11" s="771">
        <v>67450829</v>
      </c>
      <c r="D11" s="771">
        <v>0</v>
      </c>
      <c r="E11" s="776">
        <v>230454129</v>
      </c>
    </row>
    <row r="12" spans="1:5" x14ac:dyDescent="0.25">
      <c r="A12" s="777" t="s">
        <v>587</v>
      </c>
      <c r="B12" s="773" t="s">
        <v>603</v>
      </c>
      <c r="C12" s="774">
        <v>6427736043</v>
      </c>
      <c r="D12" s="774">
        <v>0</v>
      </c>
      <c r="E12" s="778">
        <v>6646601073</v>
      </c>
    </row>
    <row r="13" spans="1:5" ht="26.4" x14ac:dyDescent="0.25">
      <c r="A13" s="775" t="s">
        <v>589</v>
      </c>
      <c r="B13" s="770" t="s">
        <v>604</v>
      </c>
      <c r="C13" s="771">
        <v>17679040</v>
      </c>
      <c r="D13" s="771">
        <v>0</v>
      </c>
      <c r="E13" s="776">
        <v>17679040</v>
      </c>
    </row>
    <row r="14" spans="1:5" x14ac:dyDescent="0.25">
      <c r="A14" s="775" t="s">
        <v>605</v>
      </c>
      <c r="B14" s="770" t="s">
        <v>606</v>
      </c>
      <c r="C14" s="771">
        <v>17679040</v>
      </c>
      <c r="D14" s="771">
        <v>0</v>
      </c>
      <c r="E14" s="776">
        <v>17679040</v>
      </c>
    </row>
    <row r="15" spans="1:5" ht="26.4" x14ac:dyDescent="0.25">
      <c r="A15" s="777" t="s">
        <v>607</v>
      </c>
      <c r="B15" s="773" t="s">
        <v>608</v>
      </c>
      <c r="C15" s="774">
        <v>17679040</v>
      </c>
      <c r="D15" s="774">
        <v>0</v>
      </c>
      <c r="E15" s="778">
        <v>17679040</v>
      </c>
    </row>
    <row r="16" spans="1:5" ht="39.6" x14ac:dyDescent="0.25">
      <c r="A16" s="777" t="s">
        <v>609</v>
      </c>
      <c r="B16" s="773" t="s">
        <v>610</v>
      </c>
      <c r="C16" s="774">
        <v>6447575207</v>
      </c>
      <c r="D16" s="774">
        <v>0</v>
      </c>
      <c r="E16" s="778">
        <v>6665482579</v>
      </c>
    </row>
    <row r="17" spans="1:5" x14ac:dyDescent="0.25">
      <c r="A17" s="775" t="s">
        <v>611</v>
      </c>
      <c r="B17" s="770" t="s">
        <v>612</v>
      </c>
      <c r="C17" s="771">
        <v>170942817</v>
      </c>
      <c r="D17" s="771">
        <v>0</v>
      </c>
      <c r="E17" s="776">
        <v>1712428</v>
      </c>
    </row>
    <row r="18" spans="1:5" ht="26.4" x14ac:dyDescent="0.25">
      <c r="A18" s="775" t="s">
        <v>613</v>
      </c>
      <c r="B18" s="770" t="s">
        <v>614</v>
      </c>
      <c r="C18" s="771">
        <v>5980139</v>
      </c>
      <c r="D18" s="771">
        <v>0</v>
      </c>
      <c r="E18" s="776">
        <v>2055627</v>
      </c>
    </row>
    <row r="19" spans="1:5" x14ac:dyDescent="0.25">
      <c r="A19" s="777" t="s">
        <v>542</v>
      </c>
      <c r="B19" s="773" t="s">
        <v>615</v>
      </c>
      <c r="C19" s="774">
        <v>176922956</v>
      </c>
      <c r="D19" s="774">
        <v>0</v>
      </c>
      <c r="E19" s="778">
        <v>3768055</v>
      </c>
    </row>
    <row r="20" spans="1:5" ht="26.4" x14ac:dyDescent="0.25">
      <c r="A20" s="777" t="s">
        <v>550</v>
      </c>
      <c r="B20" s="773" t="s">
        <v>616</v>
      </c>
      <c r="C20" s="774">
        <v>176922956</v>
      </c>
      <c r="D20" s="774">
        <v>0</v>
      </c>
      <c r="E20" s="778">
        <v>3768055</v>
      </c>
    </row>
    <row r="21" spans="1:5" x14ac:dyDescent="0.25">
      <c r="A21" s="775" t="s">
        <v>617</v>
      </c>
      <c r="B21" s="770" t="s">
        <v>618</v>
      </c>
      <c r="C21" s="771">
        <v>1299845</v>
      </c>
      <c r="D21" s="771">
        <v>0</v>
      </c>
      <c r="E21" s="776">
        <v>1184320</v>
      </c>
    </row>
    <row r="22" spans="1:5" ht="26.4" x14ac:dyDescent="0.25">
      <c r="A22" s="777" t="s">
        <v>619</v>
      </c>
      <c r="B22" s="773" t="s">
        <v>620</v>
      </c>
      <c r="C22" s="774">
        <v>1299845</v>
      </c>
      <c r="D22" s="774">
        <v>0</v>
      </c>
      <c r="E22" s="778">
        <v>1184320</v>
      </c>
    </row>
    <row r="23" spans="1:5" x14ac:dyDescent="0.25">
      <c r="A23" s="775" t="s">
        <v>621</v>
      </c>
      <c r="B23" s="770" t="s">
        <v>622</v>
      </c>
      <c r="C23" s="771">
        <v>188679835</v>
      </c>
      <c r="D23" s="771">
        <v>0</v>
      </c>
      <c r="E23" s="776">
        <v>249607715</v>
      </c>
    </row>
    <row r="24" spans="1:5" x14ac:dyDescent="0.25">
      <c r="A24" s="775" t="s">
        <v>623</v>
      </c>
      <c r="B24" s="770" t="s">
        <v>624</v>
      </c>
      <c r="C24" s="771">
        <v>299624307</v>
      </c>
      <c r="D24" s="771">
        <v>0</v>
      </c>
      <c r="E24" s="776">
        <v>256018653</v>
      </c>
    </row>
    <row r="25" spans="1:5" x14ac:dyDescent="0.25">
      <c r="A25" s="777" t="s">
        <v>625</v>
      </c>
      <c r="B25" s="773" t="s">
        <v>626</v>
      </c>
      <c r="C25" s="774">
        <v>488304142</v>
      </c>
      <c r="D25" s="774">
        <v>0</v>
      </c>
      <c r="E25" s="778">
        <v>505626368</v>
      </c>
    </row>
    <row r="26" spans="1:5" x14ac:dyDescent="0.25">
      <c r="A26" s="777" t="s">
        <v>627</v>
      </c>
      <c r="B26" s="773" t="s">
        <v>628</v>
      </c>
      <c r="C26" s="774">
        <v>489603987</v>
      </c>
      <c r="D26" s="774">
        <v>0</v>
      </c>
      <c r="E26" s="778">
        <v>506810688</v>
      </c>
    </row>
    <row r="27" spans="1:5" ht="26.4" x14ac:dyDescent="0.25">
      <c r="A27" s="775" t="s">
        <v>629</v>
      </c>
      <c r="B27" s="770" t="s">
        <v>630</v>
      </c>
      <c r="C27" s="771">
        <v>13779768</v>
      </c>
      <c r="D27" s="771">
        <v>0</v>
      </c>
      <c r="E27" s="776">
        <v>18342691</v>
      </c>
    </row>
    <row r="28" spans="1:5" ht="26.4" x14ac:dyDescent="0.25">
      <c r="A28" s="775" t="s">
        <v>631</v>
      </c>
      <c r="B28" s="770" t="s">
        <v>632</v>
      </c>
      <c r="C28" s="771">
        <v>2997065</v>
      </c>
      <c r="D28" s="771">
        <v>0</v>
      </c>
      <c r="E28" s="776">
        <v>2863068</v>
      </c>
    </row>
    <row r="29" spans="1:5" ht="26.4" x14ac:dyDescent="0.25">
      <c r="A29" s="775" t="s">
        <v>633</v>
      </c>
      <c r="B29" s="770" t="s">
        <v>634</v>
      </c>
      <c r="C29" s="771">
        <v>7744627</v>
      </c>
      <c r="D29" s="771">
        <v>0</v>
      </c>
      <c r="E29" s="776">
        <v>11724946</v>
      </c>
    </row>
    <row r="30" spans="1:5" ht="26.4" x14ac:dyDescent="0.25">
      <c r="A30" s="775" t="s">
        <v>635</v>
      </c>
      <c r="B30" s="770" t="s">
        <v>636</v>
      </c>
      <c r="C30" s="771">
        <v>3038076</v>
      </c>
      <c r="D30" s="771">
        <v>0</v>
      </c>
      <c r="E30" s="776">
        <v>3754677</v>
      </c>
    </row>
    <row r="31" spans="1:5" ht="26.4" x14ac:dyDescent="0.25">
      <c r="A31" s="775" t="s">
        <v>637</v>
      </c>
      <c r="B31" s="770" t="s">
        <v>638</v>
      </c>
      <c r="C31" s="771">
        <v>88992160</v>
      </c>
      <c r="D31" s="771">
        <v>0</v>
      </c>
      <c r="E31" s="776">
        <v>41090740</v>
      </c>
    </row>
    <row r="32" spans="1:5" ht="52.8" x14ac:dyDescent="0.25">
      <c r="A32" s="775" t="s">
        <v>639</v>
      </c>
      <c r="B32" s="770" t="s">
        <v>640</v>
      </c>
      <c r="C32" s="771">
        <v>25906570</v>
      </c>
      <c r="D32" s="771">
        <v>0</v>
      </c>
      <c r="E32" s="776">
        <v>27294580</v>
      </c>
    </row>
    <row r="33" spans="1:5" ht="26.4" x14ac:dyDescent="0.25">
      <c r="A33" s="775" t="s">
        <v>738</v>
      </c>
      <c r="B33" s="770" t="s">
        <v>739</v>
      </c>
      <c r="C33" s="771">
        <v>5122853</v>
      </c>
      <c r="D33" s="771">
        <v>0</v>
      </c>
      <c r="E33" s="776">
        <v>5619925</v>
      </c>
    </row>
    <row r="34" spans="1:5" ht="26.4" x14ac:dyDescent="0.25">
      <c r="A34" s="775" t="s">
        <v>641</v>
      </c>
      <c r="B34" s="770" t="s">
        <v>642</v>
      </c>
      <c r="C34" s="771">
        <v>7956158</v>
      </c>
      <c r="D34" s="771">
        <v>0</v>
      </c>
      <c r="E34" s="776">
        <v>8169656</v>
      </c>
    </row>
    <row r="35" spans="1:5" ht="26.4" x14ac:dyDescent="0.25">
      <c r="A35" s="775" t="s">
        <v>643</v>
      </c>
      <c r="B35" s="770" t="s">
        <v>644</v>
      </c>
      <c r="C35" s="771">
        <v>50006579</v>
      </c>
      <c r="D35" s="771">
        <v>0</v>
      </c>
      <c r="E35" s="776">
        <v>6579</v>
      </c>
    </row>
    <row r="36" spans="1:5" ht="26.4" x14ac:dyDescent="0.25">
      <c r="A36" s="775" t="s">
        <v>645</v>
      </c>
      <c r="B36" s="770" t="s">
        <v>646</v>
      </c>
      <c r="C36" s="771">
        <v>7217628</v>
      </c>
      <c r="D36" s="771">
        <v>0</v>
      </c>
      <c r="E36" s="776">
        <v>5670439</v>
      </c>
    </row>
    <row r="37" spans="1:5" ht="26.4" x14ac:dyDescent="0.25">
      <c r="A37" s="775" t="s">
        <v>647</v>
      </c>
      <c r="B37" s="770" t="s">
        <v>648</v>
      </c>
      <c r="C37" s="771">
        <v>7217628</v>
      </c>
      <c r="D37" s="771">
        <v>0</v>
      </c>
      <c r="E37" s="776">
        <v>5670439</v>
      </c>
    </row>
    <row r="38" spans="1:5" ht="39.6" x14ac:dyDescent="0.25">
      <c r="A38" s="775" t="s">
        <v>649</v>
      </c>
      <c r="B38" s="770" t="s">
        <v>650</v>
      </c>
      <c r="C38" s="771">
        <v>3994082</v>
      </c>
      <c r="D38" s="771">
        <v>0</v>
      </c>
      <c r="E38" s="776">
        <v>16032029</v>
      </c>
    </row>
    <row r="39" spans="1:5" ht="52.8" x14ac:dyDescent="0.25">
      <c r="A39" s="775" t="s">
        <v>651</v>
      </c>
      <c r="B39" s="770" t="s">
        <v>652</v>
      </c>
      <c r="C39" s="771">
        <v>3994082</v>
      </c>
      <c r="D39" s="771">
        <v>0</v>
      </c>
      <c r="E39" s="776">
        <v>16032029</v>
      </c>
    </row>
    <row r="40" spans="1:5" ht="39.6" x14ac:dyDescent="0.25">
      <c r="A40" s="775" t="s">
        <v>653</v>
      </c>
      <c r="B40" s="770" t="s">
        <v>654</v>
      </c>
      <c r="C40" s="771">
        <v>3111089</v>
      </c>
      <c r="D40" s="771">
        <v>0</v>
      </c>
      <c r="E40" s="776">
        <v>3272106</v>
      </c>
    </row>
    <row r="41" spans="1:5" ht="52.8" x14ac:dyDescent="0.25">
      <c r="A41" s="775" t="s">
        <v>554</v>
      </c>
      <c r="B41" s="770" t="s">
        <v>655</v>
      </c>
      <c r="C41" s="771">
        <v>3111089</v>
      </c>
      <c r="D41" s="771">
        <v>0</v>
      </c>
      <c r="E41" s="776">
        <v>3272106</v>
      </c>
    </row>
    <row r="42" spans="1:5" ht="26.4" x14ac:dyDescent="0.25">
      <c r="A42" s="777" t="s">
        <v>656</v>
      </c>
      <c r="B42" s="773" t="s">
        <v>657</v>
      </c>
      <c r="C42" s="774">
        <v>117094727</v>
      </c>
      <c r="D42" s="774">
        <v>0</v>
      </c>
      <c r="E42" s="778">
        <v>84408005</v>
      </c>
    </row>
    <row r="43" spans="1:5" ht="39.6" x14ac:dyDescent="0.25">
      <c r="A43" s="775" t="s">
        <v>556</v>
      </c>
      <c r="B43" s="770" t="s">
        <v>658</v>
      </c>
      <c r="C43" s="771">
        <v>82435948</v>
      </c>
      <c r="D43" s="771">
        <v>0</v>
      </c>
      <c r="E43" s="776">
        <v>95975910</v>
      </c>
    </row>
    <row r="44" spans="1:5" ht="26.4" x14ac:dyDescent="0.25">
      <c r="A44" s="775" t="s">
        <v>659</v>
      </c>
      <c r="B44" s="770" t="s">
        <v>660</v>
      </c>
      <c r="C44" s="771">
        <v>5000</v>
      </c>
      <c r="D44" s="771">
        <v>0</v>
      </c>
      <c r="E44" s="776">
        <v>0</v>
      </c>
    </row>
    <row r="45" spans="1:5" ht="39.6" x14ac:dyDescent="0.25">
      <c r="A45" s="775" t="s">
        <v>661</v>
      </c>
      <c r="B45" s="770" t="s">
        <v>662</v>
      </c>
      <c r="C45" s="771">
        <v>82430948</v>
      </c>
      <c r="D45" s="771">
        <v>0</v>
      </c>
      <c r="E45" s="776">
        <v>95975910</v>
      </c>
    </row>
    <row r="46" spans="1:5" ht="26.4" x14ac:dyDescent="0.25">
      <c r="A46" s="777" t="s">
        <v>663</v>
      </c>
      <c r="B46" s="773" t="s">
        <v>664</v>
      </c>
      <c r="C46" s="774">
        <v>82435948</v>
      </c>
      <c r="D46" s="774">
        <v>0</v>
      </c>
      <c r="E46" s="778">
        <v>95975910</v>
      </c>
    </row>
    <row r="47" spans="1:5" x14ac:dyDescent="0.25">
      <c r="A47" s="775" t="s">
        <v>665</v>
      </c>
      <c r="B47" s="770" t="s">
        <v>666</v>
      </c>
      <c r="C47" s="771">
        <v>9032769</v>
      </c>
      <c r="D47" s="771">
        <v>0</v>
      </c>
      <c r="E47" s="776">
        <v>754361</v>
      </c>
    </row>
    <row r="48" spans="1:5" ht="26.4" x14ac:dyDescent="0.25">
      <c r="A48" s="775" t="s">
        <v>667</v>
      </c>
      <c r="B48" s="770" t="s">
        <v>668</v>
      </c>
      <c r="C48" s="771">
        <v>9032769</v>
      </c>
      <c r="D48" s="771">
        <v>0</v>
      </c>
      <c r="E48" s="776">
        <v>754361</v>
      </c>
    </row>
    <row r="49" spans="1:5" x14ac:dyDescent="0.25">
      <c r="A49" s="775" t="s">
        <v>669</v>
      </c>
      <c r="B49" s="770" t="s">
        <v>670</v>
      </c>
      <c r="C49" s="771">
        <v>350000</v>
      </c>
      <c r="D49" s="771">
        <v>0</v>
      </c>
      <c r="E49" s="776">
        <v>350000</v>
      </c>
    </row>
    <row r="50" spans="1:5" ht="26.4" x14ac:dyDescent="0.25">
      <c r="A50" s="777" t="s">
        <v>671</v>
      </c>
      <c r="B50" s="773" t="s">
        <v>672</v>
      </c>
      <c r="C50" s="774">
        <v>9382769</v>
      </c>
      <c r="D50" s="774">
        <v>0</v>
      </c>
      <c r="E50" s="778">
        <v>1104361</v>
      </c>
    </row>
    <row r="51" spans="1:5" x14ac:dyDescent="0.25">
      <c r="A51" s="777" t="s">
        <v>673</v>
      </c>
      <c r="B51" s="773" t="s">
        <v>674</v>
      </c>
      <c r="C51" s="774">
        <v>208913444</v>
      </c>
      <c r="D51" s="774">
        <v>0</v>
      </c>
      <c r="E51" s="778">
        <v>181488276</v>
      </c>
    </row>
    <row r="52" spans="1:5" ht="26.4" x14ac:dyDescent="0.25">
      <c r="A52" s="775" t="s">
        <v>675</v>
      </c>
      <c r="B52" s="770" t="s">
        <v>676</v>
      </c>
      <c r="C52" s="771">
        <v>8155101</v>
      </c>
      <c r="D52" s="771">
        <v>0</v>
      </c>
      <c r="E52" s="776">
        <v>18098483</v>
      </c>
    </row>
    <row r="53" spans="1:5" ht="26.4" x14ac:dyDescent="0.25">
      <c r="A53" s="777" t="s">
        <v>677</v>
      </c>
      <c r="B53" s="773" t="s">
        <v>678</v>
      </c>
      <c r="C53" s="774">
        <v>8155101</v>
      </c>
      <c r="D53" s="774">
        <v>0</v>
      </c>
      <c r="E53" s="778">
        <v>18098483</v>
      </c>
    </row>
    <row r="54" spans="1:5" x14ac:dyDescent="0.25">
      <c r="A54" s="775" t="s">
        <v>679</v>
      </c>
      <c r="B54" s="770" t="s">
        <v>680</v>
      </c>
      <c r="C54" s="771">
        <v>-7245797</v>
      </c>
      <c r="D54" s="771">
        <v>0</v>
      </c>
      <c r="E54" s="776">
        <v>-18440936</v>
      </c>
    </row>
    <row r="55" spans="1:5" ht="26.4" x14ac:dyDescent="0.25">
      <c r="A55" s="777" t="s">
        <v>681</v>
      </c>
      <c r="B55" s="773" t="s">
        <v>682</v>
      </c>
      <c r="C55" s="774">
        <v>-7245797</v>
      </c>
      <c r="D55" s="774">
        <v>0</v>
      </c>
      <c r="E55" s="778">
        <v>-18440936</v>
      </c>
    </row>
    <row r="56" spans="1:5" ht="26.4" x14ac:dyDescent="0.25">
      <c r="A56" s="777" t="s">
        <v>683</v>
      </c>
      <c r="B56" s="773" t="s">
        <v>684</v>
      </c>
      <c r="C56" s="774">
        <v>909304</v>
      </c>
      <c r="D56" s="774">
        <v>0</v>
      </c>
      <c r="E56" s="778">
        <v>-342453</v>
      </c>
    </row>
    <row r="57" spans="1:5" x14ac:dyDescent="0.25">
      <c r="A57" s="794" t="s">
        <v>685</v>
      </c>
      <c r="B57" s="790" t="s">
        <v>686</v>
      </c>
      <c r="C57" s="791">
        <v>7323924898</v>
      </c>
      <c r="D57" s="791">
        <v>0</v>
      </c>
      <c r="E57" s="795">
        <v>7357207145</v>
      </c>
    </row>
    <row r="58" spans="1:5" x14ac:dyDescent="0.25">
      <c r="A58" s="775" t="s">
        <v>687</v>
      </c>
      <c r="B58" s="770" t="s">
        <v>688</v>
      </c>
      <c r="C58" s="771">
        <v>1801242944</v>
      </c>
      <c r="D58" s="771">
        <v>0</v>
      </c>
      <c r="E58" s="776">
        <v>1801242944</v>
      </c>
    </row>
    <row r="59" spans="1:5" x14ac:dyDescent="0.25">
      <c r="A59" s="775" t="s">
        <v>689</v>
      </c>
      <c r="B59" s="770" t="s">
        <v>690</v>
      </c>
      <c r="C59" s="771">
        <v>1434641766</v>
      </c>
      <c r="D59" s="771">
        <v>0</v>
      </c>
      <c r="E59" s="776">
        <v>1434641766</v>
      </c>
    </row>
    <row r="60" spans="1:5" ht="26.4" x14ac:dyDescent="0.25">
      <c r="A60" s="775" t="s">
        <v>691</v>
      </c>
      <c r="B60" s="770" t="s">
        <v>692</v>
      </c>
      <c r="C60" s="771">
        <v>49932024</v>
      </c>
      <c r="D60" s="771">
        <v>0</v>
      </c>
      <c r="E60" s="776">
        <v>49932024</v>
      </c>
    </row>
    <row r="61" spans="1:5" x14ac:dyDescent="0.25">
      <c r="A61" s="775" t="s">
        <v>693</v>
      </c>
      <c r="B61" s="770" t="s">
        <v>694</v>
      </c>
      <c r="C61" s="771">
        <v>1952001254</v>
      </c>
      <c r="D61" s="771">
        <v>0</v>
      </c>
      <c r="E61" s="776">
        <v>1923190218</v>
      </c>
    </row>
    <row r="62" spans="1:5" x14ac:dyDescent="0.25">
      <c r="A62" s="775" t="s">
        <v>695</v>
      </c>
      <c r="B62" s="770" t="s">
        <v>696</v>
      </c>
      <c r="C62" s="771">
        <v>-28811036</v>
      </c>
      <c r="D62" s="771">
        <v>0</v>
      </c>
      <c r="E62" s="776">
        <v>-7794479</v>
      </c>
    </row>
    <row r="63" spans="1:5" x14ac:dyDescent="0.25">
      <c r="A63" s="777" t="s">
        <v>697</v>
      </c>
      <c r="B63" s="773" t="s">
        <v>698</v>
      </c>
      <c r="C63" s="774">
        <v>5209006952</v>
      </c>
      <c r="D63" s="774">
        <v>0</v>
      </c>
      <c r="E63" s="778">
        <v>5201212473</v>
      </c>
    </row>
    <row r="64" spans="1:5" ht="26.4" x14ac:dyDescent="0.25">
      <c r="A64" s="775" t="s">
        <v>699</v>
      </c>
      <c r="B64" s="770" t="s">
        <v>700</v>
      </c>
      <c r="C64" s="771">
        <v>5072770</v>
      </c>
      <c r="D64" s="771">
        <v>0</v>
      </c>
      <c r="E64" s="776">
        <v>6528190</v>
      </c>
    </row>
    <row r="65" spans="1:5" ht="26.4" x14ac:dyDescent="0.25">
      <c r="A65" s="775" t="s">
        <v>701</v>
      </c>
      <c r="B65" s="770" t="s">
        <v>702</v>
      </c>
      <c r="C65" s="771">
        <v>1257551</v>
      </c>
      <c r="D65" s="771">
        <v>0</v>
      </c>
      <c r="E65" s="776">
        <v>187560</v>
      </c>
    </row>
    <row r="66" spans="1:5" ht="39.6" x14ac:dyDescent="0.25">
      <c r="A66" s="775" t="s">
        <v>703</v>
      </c>
      <c r="B66" s="770" t="s">
        <v>704</v>
      </c>
      <c r="C66" s="771">
        <v>30000</v>
      </c>
      <c r="D66" s="771">
        <v>0</v>
      </c>
      <c r="E66" s="776">
        <v>371450</v>
      </c>
    </row>
    <row r="67" spans="1:5" ht="26.4" x14ac:dyDescent="0.25">
      <c r="A67" s="775" t="s">
        <v>705</v>
      </c>
      <c r="B67" s="770" t="s">
        <v>706</v>
      </c>
      <c r="C67" s="771">
        <v>515620</v>
      </c>
      <c r="D67" s="771">
        <v>0</v>
      </c>
      <c r="E67" s="776">
        <v>463550</v>
      </c>
    </row>
    <row r="68" spans="1:5" ht="26.4" x14ac:dyDescent="0.25">
      <c r="A68" s="775" t="s">
        <v>707</v>
      </c>
      <c r="B68" s="770" t="s">
        <v>708</v>
      </c>
      <c r="C68" s="771">
        <v>0</v>
      </c>
      <c r="D68" s="771">
        <v>0</v>
      </c>
      <c r="E68" s="776">
        <v>8042920</v>
      </c>
    </row>
    <row r="69" spans="1:5" ht="26.4" x14ac:dyDescent="0.25">
      <c r="A69" s="777" t="s">
        <v>709</v>
      </c>
      <c r="B69" s="773" t="s">
        <v>710</v>
      </c>
      <c r="C69" s="774">
        <v>6875941</v>
      </c>
      <c r="D69" s="774">
        <v>0</v>
      </c>
      <c r="E69" s="778">
        <v>15593670</v>
      </c>
    </row>
    <row r="70" spans="1:5" ht="39.6" x14ac:dyDescent="0.25">
      <c r="A70" s="775" t="s">
        <v>711</v>
      </c>
      <c r="B70" s="770" t="s">
        <v>712</v>
      </c>
      <c r="C70" s="771">
        <v>17918748</v>
      </c>
      <c r="D70" s="771">
        <v>0</v>
      </c>
      <c r="E70" s="776">
        <v>21292624</v>
      </c>
    </row>
    <row r="71" spans="1:5" ht="39.6" x14ac:dyDescent="0.25">
      <c r="A71" s="775" t="s">
        <v>713</v>
      </c>
      <c r="B71" s="770" t="s">
        <v>714</v>
      </c>
      <c r="C71" s="771">
        <v>17918748</v>
      </c>
      <c r="D71" s="771">
        <v>0</v>
      </c>
      <c r="E71" s="776">
        <v>21292624</v>
      </c>
    </row>
    <row r="72" spans="1:5" ht="26.4" x14ac:dyDescent="0.25">
      <c r="A72" s="777" t="s">
        <v>715</v>
      </c>
      <c r="B72" s="773" t="s">
        <v>716</v>
      </c>
      <c r="C72" s="774">
        <v>17918748</v>
      </c>
      <c r="D72" s="774">
        <v>0</v>
      </c>
      <c r="E72" s="778">
        <v>21292624</v>
      </c>
    </row>
    <row r="73" spans="1:5" x14ac:dyDescent="0.25">
      <c r="A73" s="775" t="s">
        <v>717</v>
      </c>
      <c r="B73" s="770" t="s">
        <v>718</v>
      </c>
      <c r="C73" s="771">
        <v>26864573</v>
      </c>
      <c r="D73" s="771">
        <v>0</v>
      </c>
      <c r="E73" s="776">
        <v>30906630</v>
      </c>
    </row>
    <row r="74" spans="1:5" ht="26.4" x14ac:dyDescent="0.25">
      <c r="A74" s="775" t="s">
        <v>719</v>
      </c>
      <c r="B74" s="770" t="s">
        <v>720</v>
      </c>
      <c r="C74" s="771">
        <v>7728483</v>
      </c>
      <c r="D74" s="771">
        <v>0</v>
      </c>
      <c r="E74" s="776">
        <v>11786984</v>
      </c>
    </row>
    <row r="75" spans="1:5" ht="26.4" x14ac:dyDescent="0.25">
      <c r="A75" s="777" t="s">
        <v>721</v>
      </c>
      <c r="B75" s="773" t="s">
        <v>722</v>
      </c>
      <c r="C75" s="774">
        <v>34593056</v>
      </c>
      <c r="D75" s="774">
        <v>0</v>
      </c>
      <c r="E75" s="778">
        <v>42693614</v>
      </c>
    </row>
    <row r="76" spans="1:5" x14ac:dyDescent="0.25">
      <c r="A76" s="777" t="s">
        <v>723</v>
      </c>
      <c r="B76" s="773" t="s">
        <v>724</v>
      </c>
      <c r="C76" s="774">
        <v>59387745</v>
      </c>
      <c r="D76" s="774">
        <v>0</v>
      </c>
      <c r="E76" s="778">
        <v>79579908</v>
      </c>
    </row>
    <row r="77" spans="1:5" ht="26.4" x14ac:dyDescent="0.25">
      <c r="A77" s="775" t="s">
        <v>725</v>
      </c>
      <c r="B77" s="770" t="s">
        <v>726</v>
      </c>
      <c r="C77" s="771">
        <v>82435948</v>
      </c>
      <c r="D77" s="771">
        <v>0</v>
      </c>
      <c r="E77" s="776">
        <v>95975910</v>
      </c>
    </row>
    <row r="78" spans="1:5" ht="26.4" x14ac:dyDescent="0.25">
      <c r="A78" s="775" t="s">
        <v>727</v>
      </c>
      <c r="B78" s="770" t="s">
        <v>728</v>
      </c>
      <c r="C78" s="771">
        <v>44272761</v>
      </c>
      <c r="D78" s="771">
        <v>0</v>
      </c>
      <c r="E78" s="776">
        <v>46995524</v>
      </c>
    </row>
    <row r="79" spans="1:5" x14ac:dyDescent="0.25">
      <c r="A79" s="775" t="s">
        <v>729</v>
      </c>
      <c r="B79" s="770" t="s">
        <v>730</v>
      </c>
      <c r="C79" s="771">
        <v>1928821492</v>
      </c>
      <c r="D79" s="771">
        <v>0</v>
      </c>
      <c r="E79" s="776">
        <v>1933443330</v>
      </c>
    </row>
    <row r="80" spans="1:5" ht="26.4" x14ac:dyDescent="0.25">
      <c r="A80" s="777" t="s">
        <v>731</v>
      </c>
      <c r="B80" s="773" t="s">
        <v>732</v>
      </c>
      <c r="C80" s="774">
        <v>2055530201</v>
      </c>
      <c r="D80" s="774">
        <v>0</v>
      </c>
      <c r="E80" s="778">
        <v>2076414764</v>
      </c>
    </row>
    <row r="81" spans="1:5" ht="13.8" thickBot="1" x14ac:dyDescent="0.3">
      <c r="A81" s="796" t="s">
        <v>733</v>
      </c>
      <c r="B81" s="797" t="s">
        <v>734</v>
      </c>
      <c r="C81" s="798">
        <v>7323924898</v>
      </c>
      <c r="D81" s="798">
        <v>0</v>
      </c>
      <c r="E81" s="799">
        <v>7357207145</v>
      </c>
    </row>
  </sheetData>
  <mergeCells count="2">
    <mergeCell ref="A1:E1"/>
    <mergeCell ref="A2:E2"/>
  </mergeCells>
  <pageMargins left="0.7" right="0.7" top="0.75" bottom="0.75" header="0.3" footer="0.3"/>
  <pageSetup paperSize="9" scale="6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4" workbookViewId="0">
      <selection activeCell="C17" sqref="C17"/>
    </sheetView>
  </sheetViews>
  <sheetFormatPr defaultRowHeight="13.2" x14ac:dyDescent="0.25"/>
  <cols>
    <col min="1" max="1" width="8.21875" customWidth="1"/>
    <col min="2" max="2" width="41" customWidth="1"/>
    <col min="3" max="9" width="32.77734375" customWidth="1"/>
    <col min="257" max="257" width="8.21875" customWidth="1"/>
    <col min="258" max="258" width="41" customWidth="1"/>
    <col min="259" max="265" width="32.77734375" customWidth="1"/>
    <col min="513" max="513" width="8.21875" customWidth="1"/>
    <col min="514" max="514" width="41" customWidth="1"/>
    <col min="515" max="521" width="32.77734375" customWidth="1"/>
    <col min="769" max="769" width="8.21875" customWidth="1"/>
    <col min="770" max="770" width="41" customWidth="1"/>
    <col min="771" max="777" width="32.77734375" customWidth="1"/>
    <col min="1025" max="1025" width="8.21875" customWidth="1"/>
    <col min="1026" max="1026" width="41" customWidth="1"/>
    <col min="1027" max="1033" width="32.77734375" customWidth="1"/>
    <col min="1281" max="1281" width="8.21875" customWidth="1"/>
    <col min="1282" max="1282" width="41" customWidth="1"/>
    <col min="1283" max="1289" width="32.77734375" customWidth="1"/>
    <col min="1537" max="1537" width="8.21875" customWidth="1"/>
    <col min="1538" max="1538" width="41" customWidth="1"/>
    <col min="1539" max="1545" width="32.77734375" customWidth="1"/>
    <col min="1793" max="1793" width="8.21875" customWidth="1"/>
    <col min="1794" max="1794" width="41" customWidth="1"/>
    <col min="1795" max="1801" width="32.77734375" customWidth="1"/>
    <col min="2049" max="2049" width="8.21875" customWidth="1"/>
    <col min="2050" max="2050" width="41" customWidth="1"/>
    <col min="2051" max="2057" width="32.77734375" customWidth="1"/>
    <col min="2305" max="2305" width="8.21875" customWidth="1"/>
    <col min="2306" max="2306" width="41" customWidth="1"/>
    <col min="2307" max="2313" width="32.77734375" customWidth="1"/>
    <col min="2561" max="2561" width="8.21875" customWidth="1"/>
    <col min="2562" max="2562" width="41" customWidth="1"/>
    <col min="2563" max="2569" width="32.77734375" customWidth="1"/>
    <col min="2817" max="2817" width="8.21875" customWidth="1"/>
    <col min="2818" max="2818" width="41" customWidth="1"/>
    <col min="2819" max="2825" width="32.77734375" customWidth="1"/>
    <col min="3073" max="3073" width="8.21875" customWidth="1"/>
    <col min="3074" max="3074" width="41" customWidth="1"/>
    <col min="3075" max="3081" width="32.77734375" customWidth="1"/>
    <col min="3329" max="3329" width="8.21875" customWidth="1"/>
    <col min="3330" max="3330" width="41" customWidth="1"/>
    <col min="3331" max="3337" width="32.77734375" customWidth="1"/>
    <col min="3585" max="3585" width="8.21875" customWidth="1"/>
    <col min="3586" max="3586" width="41" customWidth="1"/>
    <col min="3587" max="3593" width="32.77734375" customWidth="1"/>
    <col min="3841" max="3841" width="8.21875" customWidth="1"/>
    <col min="3842" max="3842" width="41" customWidth="1"/>
    <col min="3843" max="3849" width="32.77734375" customWidth="1"/>
    <col min="4097" max="4097" width="8.21875" customWidth="1"/>
    <col min="4098" max="4098" width="41" customWidth="1"/>
    <col min="4099" max="4105" width="32.77734375" customWidth="1"/>
    <col min="4353" max="4353" width="8.21875" customWidth="1"/>
    <col min="4354" max="4354" width="41" customWidth="1"/>
    <col min="4355" max="4361" width="32.77734375" customWidth="1"/>
    <col min="4609" max="4609" width="8.21875" customWidth="1"/>
    <col min="4610" max="4610" width="41" customWidth="1"/>
    <col min="4611" max="4617" width="32.77734375" customWidth="1"/>
    <col min="4865" max="4865" width="8.21875" customWidth="1"/>
    <col min="4866" max="4866" width="41" customWidth="1"/>
    <col min="4867" max="4873" width="32.77734375" customWidth="1"/>
    <col min="5121" max="5121" width="8.21875" customWidth="1"/>
    <col min="5122" max="5122" width="41" customWidth="1"/>
    <col min="5123" max="5129" width="32.77734375" customWidth="1"/>
    <col min="5377" max="5377" width="8.21875" customWidth="1"/>
    <col min="5378" max="5378" width="41" customWidth="1"/>
    <col min="5379" max="5385" width="32.77734375" customWidth="1"/>
    <col min="5633" max="5633" width="8.21875" customWidth="1"/>
    <col min="5634" max="5634" width="41" customWidth="1"/>
    <col min="5635" max="5641" width="32.77734375" customWidth="1"/>
    <col min="5889" max="5889" width="8.21875" customWidth="1"/>
    <col min="5890" max="5890" width="41" customWidth="1"/>
    <col min="5891" max="5897" width="32.77734375" customWidth="1"/>
    <col min="6145" max="6145" width="8.21875" customWidth="1"/>
    <col min="6146" max="6146" width="41" customWidth="1"/>
    <col min="6147" max="6153" width="32.77734375" customWidth="1"/>
    <col min="6401" max="6401" width="8.21875" customWidth="1"/>
    <col min="6402" max="6402" width="41" customWidth="1"/>
    <col min="6403" max="6409" width="32.77734375" customWidth="1"/>
    <col min="6657" max="6657" width="8.21875" customWidth="1"/>
    <col min="6658" max="6658" width="41" customWidth="1"/>
    <col min="6659" max="6665" width="32.77734375" customWidth="1"/>
    <col min="6913" max="6913" width="8.21875" customWidth="1"/>
    <col min="6914" max="6914" width="41" customWidth="1"/>
    <col min="6915" max="6921" width="32.77734375" customWidth="1"/>
    <col min="7169" max="7169" width="8.21875" customWidth="1"/>
    <col min="7170" max="7170" width="41" customWidth="1"/>
    <col min="7171" max="7177" width="32.77734375" customWidth="1"/>
    <col min="7425" max="7425" width="8.21875" customWidth="1"/>
    <col min="7426" max="7426" width="41" customWidth="1"/>
    <col min="7427" max="7433" width="32.77734375" customWidth="1"/>
    <col min="7681" max="7681" width="8.21875" customWidth="1"/>
    <col min="7682" max="7682" width="41" customWidth="1"/>
    <col min="7683" max="7689" width="32.77734375" customWidth="1"/>
    <col min="7937" max="7937" width="8.21875" customWidth="1"/>
    <col min="7938" max="7938" width="41" customWidth="1"/>
    <col min="7939" max="7945" width="32.77734375" customWidth="1"/>
    <col min="8193" max="8193" width="8.21875" customWidth="1"/>
    <col min="8194" max="8194" width="41" customWidth="1"/>
    <col min="8195" max="8201" width="32.77734375" customWidth="1"/>
    <col min="8449" max="8449" width="8.21875" customWidth="1"/>
    <col min="8450" max="8450" width="41" customWidth="1"/>
    <col min="8451" max="8457" width="32.77734375" customWidth="1"/>
    <col min="8705" max="8705" width="8.21875" customWidth="1"/>
    <col min="8706" max="8706" width="41" customWidth="1"/>
    <col min="8707" max="8713" width="32.77734375" customWidth="1"/>
    <col min="8961" max="8961" width="8.21875" customWidth="1"/>
    <col min="8962" max="8962" width="41" customWidth="1"/>
    <col min="8963" max="8969" width="32.77734375" customWidth="1"/>
    <col min="9217" max="9217" width="8.21875" customWidth="1"/>
    <col min="9218" max="9218" width="41" customWidth="1"/>
    <col min="9219" max="9225" width="32.77734375" customWidth="1"/>
    <col min="9473" max="9473" width="8.21875" customWidth="1"/>
    <col min="9474" max="9474" width="41" customWidth="1"/>
    <col min="9475" max="9481" width="32.77734375" customWidth="1"/>
    <col min="9729" max="9729" width="8.21875" customWidth="1"/>
    <col min="9730" max="9730" width="41" customWidth="1"/>
    <col min="9731" max="9737" width="32.77734375" customWidth="1"/>
    <col min="9985" max="9985" width="8.21875" customWidth="1"/>
    <col min="9986" max="9986" width="41" customWidth="1"/>
    <col min="9987" max="9993" width="32.77734375" customWidth="1"/>
    <col min="10241" max="10241" width="8.21875" customWidth="1"/>
    <col min="10242" max="10242" width="41" customWidth="1"/>
    <col min="10243" max="10249" width="32.77734375" customWidth="1"/>
    <col min="10497" max="10497" width="8.21875" customWidth="1"/>
    <col min="10498" max="10498" width="41" customWidth="1"/>
    <col min="10499" max="10505" width="32.77734375" customWidth="1"/>
    <col min="10753" max="10753" width="8.21875" customWidth="1"/>
    <col min="10754" max="10754" width="41" customWidth="1"/>
    <col min="10755" max="10761" width="32.77734375" customWidth="1"/>
    <col min="11009" max="11009" width="8.21875" customWidth="1"/>
    <col min="11010" max="11010" width="41" customWidth="1"/>
    <col min="11011" max="11017" width="32.77734375" customWidth="1"/>
    <col min="11265" max="11265" width="8.21875" customWidth="1"/>
    <col min="11266" max="11266" width="41" customWidth="1"/>
    <col min="11267" max="11273" width="32.77734375" customWidth="1"/>
    <col min="11521" max="11521" width="8.21875" customWidth="1"/>
    <col min="11522" max="11522" width="41" customWidth="1"/>
    <col min="11523" max="11529" width="32.77734375" customWidth="1"/>
    <col min="11777" max="11777" width="8.21875" customWidth="1"/>
    <col min="11778" max="11778" width="41" customWidth="1"/>
    <col min="11779" max="11785" width="32.77734375" customWidth="1"/>
    <col min="12033" max="12033" width="8.21875" customWidth="1"/>
    <col min="12034" max="12034" width="41" customWidth="1"/>
    <col min="12035" max="12041" width="32.77734375" customWidth="1"/>
    <col min="12289" max="12289" width="8.21875" customWidth="1"/>
    <col min="12290" max="12290" width="41" customWidth="1"/>
    <col min="12291" max="12297" width="32.77734375" customWidth="1"/>
    <col min="12545" max="12545" width="8.21875" customWidth="1"/>
    <col min="12546" max="12546" width="41" customWidth="1"/>
    <col min="12547" max="12553" width="32.77734375" customWidth="1"/>
    <col min="12801" max="12801" width="8.21875" customWidth="1"/>
    <col min="12802" max="12802" width="41" customWidth="1"/>
    <col min="12803" max="12809" width="32.77734375" customWidth="1"/>
    <col min="13057" max="13057" width="8.21875" customWidth="1"/>
    <col min="13058" max="13058" width="41" customWidth="1"/>
    <col min="13059" max="13065" width="32.77734375" customWidth="1"/>
    <col min="13313" max="13313" width="8.21875" customWidth="1"/>
    <col min="13314" max="13314" width="41" customWidth="1"/>
    <col min="13315" max="13321" width="32.77734375" customWidth="1"/>
    <col min="13569" max="13569" width="8.21875" customWidth="1"/>
    <col min="13570" max="13570" width="41" customWidth="1"/>
    <col min="13571" max="13577" width="32.77734375" customWidth="1"/>
    <col min="13825" max="13825" width="8.21875" customWidth="1"/>
    <col min="13826" max="13826" width="41" customWidth="1"/>
    <col min="13827" max="13833" width="32.77734375" customWidth="1"/>
    <col min="14081" max="14081" width="8.21875" customWidth="1"/>
    <col min="14082" max="14082" width="41" customWidth="1"/>
    <col min="14083" max="14089" width="32.77734375" customWidth="1"/>
    <col min="14337" max="14337" width="8.21875" customWidth="1"/>
    <col min="14338" max="14338" width="41" customWidth="1"/>
    <col min="14339" max="14345" width="32.77734375" customWidth="1"/>
    <col min="14593" max="14593" width="8.21875" customWidth="1"/>
    <col min="14594" max="14594" width="41" customWidth="1"/>
    <col min="14595" max="14601" width="32.77734375" customWidth="1"/>
    <col min="14849" max="14849" width="8.21875" customWidth="1"/>
    <col min="14850" max="14850" width="41" customWidth="1"/>
    <col min="14851" max="14857" width="32.77734375" customWidth="1"/>
    <col min="15105" max="15105" width="8.21875" customWidth="1"/>
    <col min="15106" max="15106" width="41" customWidth="1"/>
    <col min="15107" max="15113" width="32.77734375" customWidth="1"/>
    <col min="15361" max="15361" width="8.21875" customWidth="1"/>
    <col min="15362" max="15362" width="41" customWidth="1"/>
    <col min="15363" max="15369" width="32.77734375" customWidth="1"/>
    <col min="15617" max="15617" width="8.21875" customWidth="1"/>
    <col min="15618" max="15618" width="41" customWidth="1"/>
    <col min="15619" max="15625" width="32.77734375" customWidth="1"/>
    <col min="15873" max="15873" width="8.21875" customWidth="1"/>
    <col min="15874" max="15874" width="41" customWidth="1"/>
    <col min="15875" max="15881" width="32.77734375" customWidth="1"/>
    <col min="16129" max="16129" width="8.21875" customWidth="1"/>
    <col min="16130" max="16130" width="41" customWidth="1"/>
    <col min="16131" max="16137" width="32.77734375" customWidth="1"/>
  </cols>
  <sheetData>
    <row r="1" spans="1:9" ht="18.600000000000001" customHeight="1" x14ac:dyDescent="0.25">
      <c r="A1" s="1455" t="s">
        <v>1118</v>
      </c>
      <c r="B1" s="1465"/>
      <c r="C1" s="1465"/>
      <c r="D1" s="1465"/>
      <c r="E1" s="1465"/>
      <c r="F1" s="1465"/>
      <c r="G1" s="1465"/>
      <c r="H1" s="1465"/>
      <c r="I1" s="1465"/>
    </row>
    <row r="2" spans="1:9" ht="18.600000000000001" customHeight="1" x14ac:dyDescent="0.25">
      <c r="A2" s="1455" t="s">
        <v>775</v>
      </c>
      <c r="B2" s="1465"/>
      <c r="C2" s="1465"/>
      <c r="D2" s="1465"/>
      <c r="E2" s="1465"/>
      <c r="F2" s="1465"/>
      <c r="G2" s="1465"/>
      <c r="H2" s="1465"/>
      <c r="I2" s="1465"/>
    </row>
    <row r="3" spans="1:9" ht="18.600000000000001" customHeight="1" thickBot="1" x14ac:dyDescent="0.3">
      <c r="A3" s="741"/>
      <c r="B3" s="742"/>
      <c r="C3" s="742"/>
      <c r="D3" s="742"/>
      <c r="E3" s="742"/>
      <c r="F3" s="742"/>
      <c r="G3" s="742"/>
      <c r="H3" s="742"/>
      <c r="I3" s="840" t="s">
        <v>1113</v>
      </c>
    </row>
    <row r="4" spans="1:9" ht="24" customHeight="1" x14ac:dyDescent="0.25">
      <c r="A4" s="1462" t="s">
        <v>773</v>
      </c>
      <c r="B4" s="1463"/>
      <c r="C4" s="1463"/>
      <c r="D4" s="1463"/>
      <c r="E4" s="1463"/>
      <c r="F4" s="1463"/>
      <c r="G4" s="1463"/>
      <c r="H4" s="1463"/>
      <c r="I4" s="1464"/>
    </row>
    <row r="5" spans="1:9" s="767" customFormat="1" ht="45" x14ac:dyDescent="0.25">
      <c r="A5" s="810"/>
      <c r="B5" s="811" t="s">
        <v>366</v>
      </c>
      <c r="C5" s="811" t="s">
        <v>741</v>
      </c>
      <c r="D5" s="811" t="s">
        <v>742</v>
      </c>
      <c r="E5" s="811" t="s">
        <v>743</v>
      </c>
      <c r="F5" s="811" t="s">
        <v>744</v>
      </c>
      <c r="G5" s="811" t="s">
        <v>745</v>
      </c>
      <c r="H5" s="811" t="s">
        <v>746</v>
      </c>
      <c r="I5" s="812" t="s">
        <v>747</v>
      </c>
    </row>
    <row r="6" spans="1:9" ht="15.6" thickBot="1" x14ac:dyDescent="0.3">
      <c r="A6" s="783">
        <v>1</v>
      </c>
      <c r="B6" s="784">
        <v>2</v>
      </c>
      <c r="C6" s="784">
        <v>3</v>
      </c>
      <c r="D6" s="784">
        <v>4</v>
      </c>
      <c r="E6" s="784">
        <v>5</v>
      </c>
      <c r="F6" s="784">
        <v>6</v>
      </c>
      <c r="G6" s="784">
        <v>7</v>
      </c>
      <c r="H6" s="784">
        <v>8</v>
      </c>
      <c r="I6" s="785">
        <v>9</v>
      </c>
    </row>
    <row r="7" spans="1:9" ht="26.4" x14ac:dyDescent="0.25">
      <c r="A7" s="841" t="s">
        <v>528</v>
      </c>
      <c r="B7" s="842" t="s">
        <v>748</v>
      </c>
      <c r="C7" s="843">
        <v>26686954</v>
      </c>
      <c r="D7" s="843">
        <v>7116378489</v>
      </c>
      <c r="E7" s="843">
        <v>516046222</v>
      </c>
      <c r="F7" s="843">
        <v>0</v>
      </c>
      <c r="G7" s="843">
        <v>67450829</v>
      </c>
      <c r="H7" s="843">
        <v>0</v>
      </c>
      <c r="I7" s="844">
        <v>7726562494</v>
      </c>
    </row>
    <row r="8" spans="1:9" ht="26.4" x14ac:dyDescent="0.25">
      <c r="A8" s="775" t="s">
        <v>530</v>
      </c>
      <c r="B8" s="770" t="s">
        <v>749</v>
      </c>
      <c r="C8" s="771">
        <v>0</v>
      </c>
      <c r="D8" s="771">
        <v>0</v>
      </c>
      <c r="E8" s="771">
        <v>0</v>
      </c>
      <c r="F8" s="771">
        <v>0</v>
      </c>
      <c r="G8" s="771">
        <v>228273972</v>
      </c>
      <c r="H8" s="771">
        <v>0</v>
      </c>
      <c r="I8" s="776">
        <v>228273972</v>
      </c>
    </row>
    <row r="9" spans="1:9" x14ac:dyDescent="0.25">
      <c r="A9" s="775" t="s">
        <v>532</v>
      </c>
      <c r="B9" s="770" t="s">
        <v>750</v>
      </c>
      <c r="C9" s="771">
        <v>0</v>
      </c>
      <c r="D9" s="771">
        <v>0</v>
      </c>
      <c r="E9" s="771">
        <v>0</v>
      </c>
      <c r="F9" s="771">
        <v>0</v>
      </c>
      <c r="G9" s="771">
        <v>183136747</v>
      </c>
      <c r="H9" s="771">
        <v>0</v>
      </c>
      <c r="I9" s="776">
        <v>183136747</v>
      </c>
    </row>
    <row r="10" spans="1:9" x14ac:dyDescent="0.25">
      <c r="A10" s="775" t="s">
        <v>534</v>
      </c>
      <c r="B10" s="770" t="s">
        <v>751</v>
      </c>
      <c r="C10" s="771">
        <v>0</v>
      </c>
      <c r="D10" s="771">
        <v>235654590</v>
      </c>
      <c r="E10" s="771">
        <v>7380725</v>
      </c>
      <c r="F10" s="771">
        <v>0</v>
      </c>
      <c r="G10" s="771">
        <v>0</v>
      </c>
      <c r="H10" s="771">
        <v>0</v>
      </c>
      <c r="I10" s="776">
        <v>243035315</v>
      </c>
    </row>
    <row r="11" spans="1:9" x14ac:dyDescent="0.25">
      <c r="A11" s="775" t="s">
        <v>583</v>
      </c>
      <c r="B11" s="770" t="s">
        <v>752</v>
      </c>
      <c r="C11" s="771">
        <v>1480500</v>
      </c>
      <c r="D11" s="771">
        <v>0</v>
      </c>
      <c r="E11" s="771">
        <v>86254094</v>
      </c>
      <c r="F11" s="771">
        <v>0</v>
      </c>
      <c r="G11" s="771">
        <v>0</v>
      </c>
      <c r="H11" s="771">
        <v>0</v>
      </c>
      <c r="I11" s="776">
        <v>87734594</v>
      </c>
    </row>
    <row r="12" spans="1:9" x14ac:dyDescent="0.25">
      <c r="A12" s="777" t="s">
        <v>536</v>
      </c>
      <c r="B12" s="773" t="s">
        <v>753</v>
      </c>
      <c r="C12" s="774">
        <v>1480500</v>
      </c>
      <c r="D12" s="774">
        <v>235654590</v>
      </c>
      <c r="E12" s="774">
        <v>93634819</v>
      </c>
      <c r="F12" s="774">
        <v>0</v>
      </c>
      <c r="G12" s="774">
        <v>411410719</v>
      </c>
      <c r="H12" s="774">
        <v>0</v>
      </c>
      <c r="I12" s="778">
        <v>742180628</v>
      </c>
    </row>
    <row r="13" spans="1:9" x14ac:dyDescent="0.25">
      <c r="A13" s="775" t="s">
        <v>585</v>
      </c>
      <c r="B13" s="770" t="s">
        <v>754</v>
      </c>
      <c r="C13" s="771">
        <v>0</v>
      </c>
      <c r="D13" s="771">
        <v>3374537</v>
      </c>
      <c r="E13" s="771">
        <v>1472441</v>
      </c>
      <c r="F13" s="771">
        <v>0</v>
      </c>
      <c r="G13" s="771">
        <v>0</v>
      </c>
      <c r="H13" s="771">
        <v>0</v>
      </c>
      <c r="I13" s="776">
        <v>4846978</v>
      </c>
    </row>
    <row r="14" spans="1:9" x14ac:dyDescent="0.25">
      <c r="A14" s="775" t="s">
        <v>587</v>
      </c>
      <c r="B14" s="770" t="s">
        <v>755</v>
      </c>
      <c r="C14" s="771">
        <v>0</v>
      </c>
      <c r="D14" s="771">
        <v>0</v>
      </c>
      <c r="E14" s="771">
        <v>0</v>
      </c>
      <c r="F14" s="771">
        <v>0</v>
      </c>
      <c r="G14" s="771">
        <v>5372104</v>
      </c>
      <c r="H14" s="771">
        <v>0</v>
      </c>
      <c r="I14" s="776">
        <v>5372104</v>
      </c>
    </row>
    <row r="15" spans="1:9" x14ac:dyDescent="0.25">
      <c r="A15" s="775" t="s">
        <v>756</v>
      </c>
      <c r="B15" s="770" t="s">
        <v>757</v>
      </c>
      <c r="C15" s="771">
        <v>1480500</v>
      </c>
      <c r="D15" s="771">
        <v>0</v>
      </c>
      <c r="E15" s="771">
        <v>84781653</v>
      </c>
      <c r="F15" s="771">
        <v>0</v>
      </c>
      <c r="G15" s="771">
        <v>243035315</v>
      </c>
      <c r="H15" s="771">
        <v>0</v>
      </c>
      <c r="I15" s="776">
        <v>329297468</v>
      </c>
    </row>
    <row r="16" spans="1:9" x14ac:dyDescent="0.25">
      <c r="A16" s="777" t="s">
        <v>538</v>
      </c>
      <c r="B16" s="773" t="s">
        <v>758</v>
      </c>
      <c r="C16" s="774">
        <v>1480500</v>
      </c>
      <c r="D16" s="774">
        <v>3374537</v>
      </c>
      <c r="E16" s="774">
        <v>86254094</v>
      </c>
      <c r="F16" s="774">
        <v>0</v>
      </c>
      <c r="G16" s="774">
        <v>248407419</v>
      </c>
      <c r="H16" s="774">
        <v>0</v>
      </c>
      <c r="I16" s="778">
        <v>339516550</v>
      </c>
    </row>
    <row r="17" spans="1:9" x14ac:dyDescent="0.25">
      <c r="A17" s="800" t="s">
        <v>759</v>
      </c>
      <c r="B17" s="792" t="s">
        <v>760</v>
      </c>
      <c r="C17" s="793">
        <v>26686954</v>
      </c>
      <c r="D17" s="793">
        <v>7348658542</v>
      </c>
      <c r="E17" s="793">
        <v>523426947</v>
      </c>
      <c r="F17" s="793">
        <v>0</v>
      </c>
      <c r="G17" s="793">
        <v>230454129</v>
      </c>
      <c r="H17" s="793">
        <v>0</v>
      </c>
      <c r="I17" s="801">
        <v>8129226572</v>
      </c>
    </row>
    <row r="18" spans="1:9" x14ac:dyDescent="0.25">
      <c r="A18" s="777" t="s">
        <v>605</v>
      </c>
      <c r="B18" s="773" t="s">
        <v>761</v>
      </c>
      <c r="C18" s="774">
        <v>24526830</v>
      </c>
      <c r="D18" s="774">
        <v>944533362</v>
      </c>
      <c r="E18" s="774">
        <v>327606135</v>
      </c>
      <c r="F18" s="774">
        <v>0</v>
      </c>
      <c r="G18" s="774">
        <v>0</v>
      </c>
      <c r="H18" s="774">
        <v>0</v>
      </c>
      <c r="I18" s="778">
        <v>1296666327</v>
      </c>
    </row>
    <row r="19" spans="1:9" x14ac:dyDescent="0.25">
      <c r="A19" s="775" t="s">
        <v>762</v>
      </c>
      <c r="B19" s="770" t="s">
        <v>763</v>
      </c>
      <c r="C19" s="771">
        <v>957658</v>
      </c>
      <c r="D19" s="771">
        <v>132059169</v>
      </c>
      <c r="E19" s="771">
        <v>51857989</v>
      </c>
      <c r="F19" s="771">
        <v>0</v>
      </c>
      <c r="G19" s="771">
        <v>0</v>
      </c>
      <c r="H19" s="771">
        <v>0</v>
      </c>
      <c r="I19" s="776">
        <v>184874816</v>
      </c>
    </row>
    <row r="20" spans="1:9" x14ac:dyDescent="0.25">
      <c r="A20" s="775" t="s">
        <v>764</v>
      </c>
      <c r="B20" s="770" t="s">
        <v>765</v>
      </c>
      <c r="C20" s="771">
        <v>0</v>
      </c>
      <c r="D20" s="771">
        <v>0</v>
      </c>
      <c r="E20" s="771">
        <v>118110</v>
      </c>
      <c r="F20" s="771">
        <v>0</v>
      </c>
      <c r="G20" s="771">
        <v>0</v>
      </c>
      <c r="H20" s="771">
        <v>0</v>
      </c>
      <c r="I20" s="776">
        <v>118110</v>
      </c>
    </row>
    <row r="21" spans="1:9" ht="26.4" x14ac:dyDescent="0.25">
      <c r="A21" s="777" t="s">
        <v>540</v>
      </c>
      <c r="B21" s="773" t="s">
        <v>766</v>
      </c>
      <c r="C21" s="774">
        <v>25484488</v>
      </c>
      <c r="D21" s="774">
        <v>1076592531</v>
      </c>
      <c r="E21" s="774">
        <v>379346014</v>
      </c>
      <c r="F21" s="774">
        <v>0</v>
      </c>
      <c r="G21" s="774">
        <v>0</v>
      </c>
      <c r="H21" s="774">
        <v>0</v>
      </c>
      <c r="I21" s="778">
        <v>1481423033</v>
      </c>
    </row>
    <row r="22" spans="1:9" x14ac:dyDescent="0.25">
      <c r="A22" s="800" t="s">
        <v>767</v>
      </c>
      <c r="B22" s="792" t="s">
        <v>768</v>
      </c>
      <c r="C22" s="793">
        <v>25484488</v>
      </c>
      <c r="D22" s="793">
        <v>1076592531</v>
      </c>
      <c r="E22" s="793">
        <v>379346014</v>
      </c>
      <c r="F22" s="793">
        <v>0</v>
      </c>
      <c r="G22" s="793">
        <v>0</v>
      </c>
      <c r="H22" s="793">
        <v>0</v>
      </c>
      <c r="I22" s="801">
        <v>1481423033</v>
      </c>
    </row>
    <row r="23" spans="1:9" x14ac:dyDescent="0.25">
      <c r="A23" s="800" t="s">
        <v>769</v>
      </c>
      <c r="B23" s="792" t="s">
        <v>770</v>
      </c>
      <c r="C23" s="793">
        <v>1202466</v>
      </c>
      <c r="D23" s="793">
        <v>6272066011</v>
      </c>
      <c r="E23" s="793">
        <v>144080933</v>
      </c>
      <c r="F23" s="793">
        <v>0</v>
      </c>
      <c r="G23" s="793">
        <v>230454129</v>
      </c>
      <c r="H23" s="793">
        <v>0</v>
      </c>
      <c r="I23" s="801">
        <v>6647803539</v>
      </c>
    </row>
    <row r="24" spans="1:9" ht="13.8" thickBot="1" x14ac:dyDescent="0.3">
      <c r="A24" s="806" t="s">
        <v>771</v>
      </c>
      <c r="B24" s="807" t="s">
        <v>772</v>
      </c>
      <c r="C24" s="808">
        <v>23784954</v>
      </c>
      <c r="D24" s="808">
        <v>20496337</v>
      </c>
      <c r="E24" s="808">
        <v>213619413</v>
      </c>
      <c r="F24" s="808">
        <v>0</v>
      </c>
      <c r="G24" s="808">
        <v>0</v>
      </c>
      <c r="H24" s="808">
        <v>0</v>
      </c>
      <c r="I24" s="809">
        <v>257900704</v>
      </c>
    </row>
  </sheetData>
  <mergeCells count="3">
    <mergeCell ref="A4:I4"/>
    <mergeCell ref="A1:I1"/>
    <mergeCell ref="A2:I2"/>
  </mergeCells>
  <pageMargins left="0.7" right="0.7" top="0.75" bottom="0.75" header="0.3" footer="0.3"/>
  <pageSetup paperSize="9" scale="4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9"/>
  <sheetViews>
    <sheetView zoomScaleNormal="100" workbookViewId="0">
      <selection activeCell="A23" sqref="A23:J23"/>
    </sheetView>
  </sheetViews>
  <sheetFormatPr defaultColWidth="9" defaultRowHeight="13.2" x14ac:dyDescent="0.25"/>
  <cols>
    <col min="1" max="1" width="7.21875" style="815" customWidth="1"/>
    <col min="2" max="6" width="3.21875" style="815" customWidth="1"/>
    <col min="7" max="7" width="3.77734375" style="815" customWidth="1"/>
    <col min="8" max="11" width="3.21875" style="815" customWidth="1"/>
    <col min="12" max="12" width="3.77734375" style="815" customWidth="1"/>
    <col min="13" max="36" width="3.21875" style="815" customWidth="1"/>
    <col min="37" max="38" width="3.109375" style="815" customWidth="1"/>
    <col min="39" max="47" width="3.21875" style="815" customWidth="1"/>
    <col min="48" max="256" width="9" style="815"/>
    <col min="257" max="257" width="7.21875" style="815" customWidth="1"/>
    <col min="258" max="262" width="3.21875" style="815" customWidth="1"/>
    <col min="263" max="263" width="3.77734375" style="815" customWidth="1"/>
    <col min="264" max="267" width="3.21875" style="815" customWidth="1"/>
    <col min="268" max="268" width="3.77734375" style="815" customWidth="1"/>
    <col min="269" max="303" width="3.21875" style="815" customWidth="1"/>
    <col min="304" max="512" width="9" style="815"/>
    <col min="513" max="513" width="7.21875" style="815" customWidth="1"/>
    <col min="514" max="518" width="3.21875" style="815" customWidth="1"/>
    <col min="519" max="519" width="3.77734375" style="815" customWidth="1"/>
    <col min="520" max="523" width="3.21875" style="815" customWidth="1"/>
    <col min="524" max="524" width="3.77734375" style="815" customWidth="1"/>
    <col min="525" max="559" width="3.21875" style="815" customWidth="1"/>
    <col min="560" max="768" width="9" style="815"/>
    <col min="769" max="769" width="7.21875" style="815" customWidth="1"/>
    <col min="770" max="774" width="3.21875" style="815" customWidth="1"/>
    <col min="775" max="775" width="3.77734375" style="815" customWidth="1"/>
    <col min="776" max="779" width="3.21875" style="815" customWidth="1"/>
    <col min="780" max="780" width="3.77734375" style="815" customWidth="1"/>
    <col min="781" max="815" width="3.21875" style="815" customWidth="1"/>
    <col min="816" max="1024" width="9" style="815"/>
    <col min="1025" max="1025" width="7.21875" style="815" customWidth="1"/>
    <col min="1026" max="1030" width="3.21875" style="815" customWidth="1"/>
    <col min="1031" max="1031" width="3.77734375" style="815" customWidth="1"/>
    <col min="1032" max="1035" width="3.21875" style="815" customWidth="1"/>
    <col min="1036" max="1036" width="3.77734375" style="815" customWidth="1"/>
    <col min="1037" max="1071" width="3.21875" style="815" customWidth="1"/>
    <col min="1072" max="1280" width="9" style="815"/>
    <col min="1281" max="1281" width="7.21875" style="815" customWidth="1"/>
    <col min="1282" max="1286" width="3.21875" style="815" customWidth="1"/>
    <col min="1287" max="1287" width="3.77734375" style="815" customWidth="1"/>
    <col min="1288" max="1291" width="3.21875" style="815" customWidth="1"/>
    <col min="1292" max="1292" width="3.77734375" style="815" customWidth="1"/>
    <col min="1293" max="1327" width="3.21875" style="815" customWidth="1"/>
    <col min="1328" max="1536" width="9" style="815"/>
    <col min="1537" max="1537" width="7.21875" style="815" customWidth="1"/>
    <col min="1538" max="1542" width="3.21875" style="815" customWidth="1"/>
    <col min="1543" max="1543" width="3.77734375" style="815" customWidth="1"/>
    <col min="1544" max="1547" width="3.21875" style="815" customWidth="1"/>
    <col min="1548" max="1548" width="3.77734375" style="815" customWidth="1"/>
    <col min="1549" max="1583" width="3.21875" style="815" customWidth="1"/>
    <col min="1584" max="1792" width="9" style="815"/>
    <col min="1793" max="1793" width="7.21875" style="815" customWidth="1"/>
    <col min="1794" max="1798" width="3.21875" style="815" customWidth="1"/>
    <col min="1799" max="1799" width="3.77734375" style="815" customWidth="1"/>
    <col min="1800" max="1803" width="3.21875" style="815" customWidth="1"/>
    <col min="1804" max="1804" width="3.77734375" style="815" customWidth="1"/>
    <col min="1805" max="1839" width="3.21875" style="815" customWidth="1"/>
    <col min="1840" max="2048" width="9" style="815"/>
    <col min="2049" max="2049" width="7.21875" style="815" customWidth="1"/>
    <col min="2050" max="2054" width="3.21875" style="815" customWidth="1"/>
    <col min="2055" max="2055" width="3.77734375" style="815" customWidth="1"/>
    <col min="2056" max="2059" width="3.21875" style="815" customWidth="1"/>
    <col min="2060" max="2060" width="3.77734375" style="815" customWidth="1"/>
    <col min="2061" max="2095" width="3.21875" style="815" customWidth="1"/>
    <col min="2096" max="2304" width="9" style="815"/>
    <col min="2305" max="2305" width="7.21875" style="815" customWidth="1"/>
    <col min="2306" max="2310" width="3.21875" style="815" customWidth="1"/>
    <col min="2311" max="2311" width="3.77734375" style="815" customWidth="1"/>
    <col min="2312" max="2315" width="3.21875" style="815" customWidth="1"/>
    <col min="2316" max="2316" width="3.77734375" style="815" customWidth="1"/>
    <col min="2317" max="2351" width="3.21875" style="815" customWidth="1"/>
    <col min="2352" max="2560" width="9" style="815"/>
    <col min="2561" max="2561" width="7.21875" style="815" customWidth="1"/>
    <col min="2562" max="2566" width="3.21875" style="815" customWidth="1"/>
    <col min="2567" max="2567" width="3.77734375" style="815" customWidth="1"/>
    <col min="2568" max="2571" width="3.21875" style="815" customWidth="1"/>
    <col min="2572" max="2572" width="3.77734375" style="815" customWidth="1"/>
    <col min="2573" max="2607" width="3.21875" style="815" customWidth="1"/>
    <col min="2608" max="2816" width="9" style="815"/>
    <col min="2817" max="2817" width="7.21875" style="815" customWidth="1"/>
    <col min="2818" max="2822" width="3.21875" style="815" customWidth="1"/>
    <col min="2823" max="2823" width="3.77734375" style="815" customWidth="1"/>
    <col min="2824" max="2827" width="3.21875" style="815" customWidth="1"/>
    <col min="2828" max="2828" width="3.77734375" style="815" customWidth="1"/>
    <col min="2829" max="2863" width="3.21875" style="815" customWidth="1"/>
    <col min="2864" max="3072" width="9" style="815"/>
    <col min="3073" max="3073" width="7.21875" style="815" customWidth="1"/>
    <col min="3074" max="3078" width="3.21875" style="815" customWidth="1"/>
    <col min="3079" max="3079" width="3.77734375" style="815" customWidth="1"/>
    <col min="3080" max="3083" width="3.21875" style="815" customWidth="1"/>
    <col min="3084" max="3084" width="3.77734375" style="815" customWidth="1"/>
    <col min="3085" max="3119" width="3.21875" style="815" customWidth="1"/>
    <col min="3120" max="3328" width="9" style="815"/>
    <col min="3329" max="3329" width="7.21875" style="815" customWidth="1"/>
    <col min="3330" max="3334" width="3.21875" style="815" customWidth="1"/>
    <col min="3335" max="3335" width="3.77734375" style="815" customWidth="1"/>
    <col min="3336" max="3339" width="3.21875" style="815" customWidth="1"/>
    <col min="3340" max="3340" width="3.77734375" style="815" customWidth="1"/>
    <col min="3341" max="3375" width="3.21875" style="815" customWidth="1"/>
    <col min="3376" max="3584" width="9" style="815"/>
    <col min="3585" max="3585" width="7.21875" style="815" customWidth="1"/>
    <col min="3586" max="3590" width="3.21875" style="815" customWidth="1"/>
    <col min="3591" max="3591" width="3.77734375" style="815" customWidth="1"/>
    <col min="3592" max="3595" width="3.21875" style="815" customWidth="1"/>
    <col min="3596" max="3596" width="3.77734375" style="815" customWidth="1"/>
    <col min="3597" max="3631" width="3.21875" style="815" customWidth="1"/>
    <col min="3632" max="3840" width="9" style="815"/>
    <col min="3841" max="3841" width="7.21875" style="815" customWidth="1"/>
    <col min="3842" max="3846" width="3.21875" style="815" customWidth="1"/>
    <col min="3847" max="3847" width="3.77734375" style="815" customWidth="1"/>
    <col min="3848" max="3851" width="3.21875" style="815" customWidth="1"/>
    <col min="3852" max="3852" width="3.77734375" style="815" customWidth="1"/>
    <col min="3853" max="3887" width="3.21875" style="815" customWidth="1"/>
    <col min="3888" max="4096" width="9" style="815"/>
    <col min="4097" max="4097" width="7.21875" style="815" customWidth="1"/>
    <col min="4098" max="4102" width="3.21875" style="815" customWidth="1"/>
    <col min="4103" max="4103" width="3.77734375" style="815" customWidth="1"/>
    <col min="4104" max="4107" width="3.21875" style="815" customWidth="1"/>
    <col min="4108" max="4108" width="3.77734375" style="815" customWidth="1"/>
    <col min="4109" max="4143" width="3.21875" style="815" customWidth="1"/>
    <col min="4144" max="4352" width="9" style="815"/>
    <col min="4353" max="4353" width="7.21875" style="815" customWidth="1"/>
    <col min="4354" max="4358" width="3.21875" style="815" customWidth="1"/>
    <col min="4359" max="4359" width="3.77734375" style="815" customWidth="1"/>
    <col min="4360" max="4363" width="3.21875" style="815" customWidth="1"/>
    <col min="4364" max="4364" width="3.77734375" style="815" customWidth="1"/>
    <col min="4365" max="4399" width="3.21875" style="815" customWidth="1"/>
    <col min="4400" max="4608" width="9" style="815"/>
    <col min="4609" max="4609" width="7.21875" style="815" customWidth="1"/>
    <col min="4610" max="4614" width="3.21875" style="815" customWidth="1"/>
    <col min="4615" max="4615" width="3.77734375" style="815" customWidth="1"/>
    <col min="4616" max="4619" width="3.21875" style="815" customWidth="1"/>
    <col min="4620" max="4620" width="3.77734375" style="815" customWidth="1"/>
    <col min="4621" max="4655" width="3.21875" style="815" customWidth="1"/>
    <col min="4656" max="4864" width="9" style="815"/>
    <col min="4865" max="4865" width="7.21875" style="815" customWidth="1"/>
    <col min="4866" max="4870" width="3.21875" style="815" customWidth="1"/>
    <col min="4871" max="4871" width="3.77734375" style="815" customWidth="1"/>
    <col min="4872" max="4875" width="3.21875" style="815" customWidth="1"/>
    <col min="4876" max="4876" width="3.77734375" style="815" customWidth="1"/>
    <col min="4877" max="4911" width="3.21875" style="815" customWidth="1"/>
    <col min="4912" max="5120" width="9" style="815"/>
    <col min="5121" max="5121" width="7.21875" style="815" customWidth="1"/>
    <col min="5122" max="5126" width="3.21875" style="815" customWidth="1"/>
    <col min="5127" max="5127" width="3.77734375" style="815" customWidth="1"/>
    <col min="5128" max="5131" width="3.21875" style="815" customWidth="1"/>
    <col min="5132" max="5132" width="3.77734375" style="815" customWidth="1"/>
    <col min="5133" max="5167" width="3.21875" style="815" customWidth="1"/>
    <col min="5168" max="5376" width="9" style="815"/>
    <col min="5377" max="5377" width="7.21875" style="815" customWidth="1"/>
    <col min="5378" max="5382" width="3.21875" style="815" customWidth="1"/>
    <col min="5383" max="5383" width="3.77734375" style="815" customWidth="1"/>
    <col min="5384" max="5387" width="3.21875" style="815" customWidth="1"/>
    <col min="5388" max="5388" width="3.77734375" style="815" customWidth="1"/>
    <col min="5389" max="5423" width="3.21875" style="815" customWidth="1"/>
    <col min="5424" max="5632" width="9" style="815"/>
    <col min="5633" max="5633" width="7.21875" style="815" customWidth="1"/>
    <col min="5634" max="5638" width="3.21875" style="815" customWidth="1"/>
    <col min="5639" max="5639" width="3.77734375" style="815" customWidth="1"/>
    <col min="5640" max="5643" width="3.21875" style="815" customWidth="1"/>
    <col min="5644" max="5644" width="3.77734375" style="815" customWidth="1"/>
    <col min="5645" max="5679" width="3.21875" style="815" customWidth="1"/>
    <col min="5680" max="5888" width="9" style="815"/>
    <col min="5889" max="5889" width="7.21875" style="815" customWidth="1"/>
    <col min="5890" max="5894" width="3.21875" style="815" customWidth="1"/>
    <col min="5895" max="5895" width="3.77734375" style="815" customWidth="1"/>
    <col min="5896" max="5899" width="3.21875" style="815" customWidth="1"/>
    <col min="5900" max="5900" width="3.77734375" style="815" customWidth="1"/>
    <col min="5901" max="5935" width="3.21875" style="815" customWidth="1"/>
    <col min="5936" max="6144" width="9" style="815"/>
    <col min="6145" max="6145" width="7.21875" style="815" customWidth="1"/>
    <col min="6146" max="6150" width="3.21875" style="815" customWidth="1"/>
    <col min="6151" max="6151" width="3.77734375" style="815" customWidth="1"/>
    <col min="6152" max="6155" width="3.21875" style="815" customWidth="1"/>
    <col min="6156" max="6156" width="3.77734375" style="815" customWidth="1"/>
    <col min="6157" max="6191" width="3.21875" style="815" customWidth="1"/>
    <col min="6192" max="6400" width="9" style="815"/>
    <col min="6401" max="6401" width="7.21875" style="815" customWidth="1"/>
    <col min="6402" max="6406" width="3.21875" style="815" customWidth="1"/>
    <col min="6407" max="6407" width="3.77734375" style="815" customWidth="1"/>
    <col min="6408" max="6411" width="3.21875" style="815" customWidth="1"/>
    <col min="6412" max="6412" width="3.77734375" style="815" customWidth="1"/>
    <col min="6413" max="6447" width="3.21875" style="815" customWidth="1"/>
    <col min="6448" max="6656" width="9" style="815"/>
    <col min="6657" max="6657" width="7.21875" style="815" customWidth="1"/>
    <col min="6658" max="6662" width="3.21875" style="815" customWidth="1"/>
    <col min="6663" max="6663" width="3.77734375" style="815" customWidth="1"/>
    <col min="6664" max="6667" width="3.21875" style="815" customWidth="1"/>
    <col min="6668" max="6668" width="3.77734375" style="815" customWidth="1"/>
    <col min="6669" max="6703" width="3.21875" style="815" customWidth="1"/>
    <col min="6704" max="6912" width="9" style="815"/>
    <col min="6913" max="6913" width="7.21875" style="815" customWidth="1"/>
    <col min="6914" max="6918" width="3.21875" style="815" customWidth="1"/>
    <col min="6919" max="6919" width="3.77734375" style="815" customWidth="1"/>
    <col min="6920" max="6923" width="3.21875" style="815" customWidth="1"/>
    <col min="6924" max="6924" width="3.77734375" style="815" customWidth="1"/>
    <col min="6925" max="6959" width="3.21875" style="815" customWidth="1"/>
    <col min="6960" max="7168" width="9" style="815"/>
    <col min="7169" max="7169" width="7.21875" style="815" customWidth="1"/>
    <col min="7170" max="7174" width="3.21875" style="815" customWidth="1"/>
    <col min="7175" max="7175" width="3.77734375" style="815" customWidth="1"/>
    <col min="7176" max="7179" width="3.21875" style="815" customWidth="1"/>
    <col min="7180" max="7180" width="3.77734375" style="815" customWidth="1"/>
    <col min="7181" max="7215" width="3.21875" style="815" customWidth="1"/>
    <col min="7216" max="7424" width="9" style="815"/>
    <col min="7425" max="7425" width="7.21875" style="815" customWidth="1"/>
    <col min="7426" max="7430" width="3.21875" style="815" customWidth="1"/>
    <col min="7431" max="7431" width="3.77734375" style="815" customWidth="1"/>
    <col min="7432" max="7435" width="3.21875" style="815" customWidth="1"/>
    <col min="7436" max="7436" width="3.77734375" style="815" customWidth="1"/>
    <col min="7437" max="7471" width="3.21875" style="815" customWidth="1"/>
    <col min="7472" max="7680" width="9" style="815"/>
    <col min="7681" max="7681" width="7.21875" style="815" customWidth="1"/>
    <col min="7682" max="7686" width="3.21875" style="815" customWidth="1"/>
    <col min="7687" max="7687" width="3.77734375" style="815" customWidth="1"/>
    <col min="7688" max="7691" width="3.21875" style="815" customWidth="1"/>
    <col min="7692" max="7692" width="3.77734375" style="815" customWidth="1"/>
    <col min="7693" max="7727" width="3.21875" style="815" customWidth="1"/>
    <col min="7728" max="7936" width="9" style="815"/>
    <col min="7937" max="7937" width="7.21875" style="815" customWidth="1"/>
    <col min="7938" max="7942" width="3.21875" style="815" customWidth="1"/>
    <col min="7943" max="7943" width="3.77734375" style="815" customWidth="1"/>
    <col min="7944" max="7947" width="3.21875" style="815" customWidth="1"/>
    <col min="7948" max="7948" width="3.77734375" style="815" customWidth="1"/>
    <col min="7949" max="7983" width="3.21875" style="815" customWidth="1"/>
    <col min="7984" max="8192" width="9" style="815"/>
    <col min="8193" max="8193" width="7.21875" style="815" customWidth="1"/>
    <col min="8194" max="8198" width="3.21875" style="815" customWidth="1"/>
    <col min="8199" max="8199" width="3.77734375" style="815" customWidth="1"/>
    <col min="8200" max="8203" width="3.21875" style="815" customWidth="1"/>
    <col min="8204" max="8204" width="3.77734375" style="815" customWidth="1"/>
    <col min="8205" max="8239" width="3.21875" style="815" customWidth="1"/>
    <col min="8240" max="8448" width="9" style="815"/>
    <col min="8449" max="8449" width="7.21875" style="815" customWidth="1"/>
    <col min="8450" max="8454" width="3.21875" style="815" customWidth="1"/>
    <col min="8455" max="8455" width="3.77734375" style="815" customWidth="1"/>
    <col min="8456" max="8459" width="3.21875" style="815" customWidth="1"/>
    <col min="8460" max="8460" width="3.77734375" style="815" customWidth="1"/>
    <col min="8461" max="8495" width="3.21875" style="815" customWidth="1"/>
    <col min="8496" max="8704" width="9" style="815"/>
    <col min="8705" max="8705" width="7.21875" style="815" customWidth="1"/>
    <col min="8706" max="8710" width="3.21875" style="815" customWidth="1"/>
    <col min="8711" max="8711" width="3.77734375" style="815" customWidth="1"/>
    <col min="8712" max="8715" width="3.21875" style="815" customWidth="1"/>
    <col min="8716" max="8716" width="3.77734375" style="815" customWidth="1"/>
    <col min="8717" max="8751" width="3.21875" style="815" customWidth="1"/>
    <col min="8752" max="8960" width="9" style="815"/>
    <col min="8961" max="8961" width="7.21875" style="815" customWidth="1"/>
    <col min="8962" max="8966" width="3.21875" style="815" customWidth="1"/>
    <col min="8967" max="8967" width="3.77734375" style="815" customWidth="1"/>
    <col min="8968" max="8971" width="3.21875" style="815" customWidth="1"/>
    <col min="8972" max="8972" width="3.77734375" style="815" customWidth="1"/>
    <col min="8973" max="9007" width="3.21875" style="815" customWidth="1"/>
    <col min="9008" max="9216" width="9" style="815"/>
    <col min="9217" max="9217" width="7.21875" style="815" customWidth="1"/>
    <col min="9218" max="9222" width="3.21875" style="815" customWidth="1"/>
    <col min="9223" max="9223" width="3.77734375" style="815" customWidth="1"/>
    <col min="9224" max="9227" width="3.21875" style="815" customWidth="1"/>
    <col min="9228" max="9228" width="3.77734375" style="815" customWidth="1"/>
    <col min="9229" max="9263" width="3.21875" style="815" customWidth="1"/>
    <col min="9264" max="9472" width="9" style="815"/>
    <col min="9473" max="9473" width="7.21875" style="815" customWidth="1"/>
    <col min="9474" max="9478" width="3.21875" style="815" customWidth="1"/>
    <col min="9479" max="9479" width="3.77734375" style="815" customWidth="1"/>
    <col min="9480" max="9483" width="3.21875" style="815" customWidth="1"/>
    <col min="9484" max="9484" width="3.77734375" style="815" customWidth="1"/>
    <col min="9485" max="9519" width="3.21875" style="815" customWidth="1"/>
    <col min="9520" max="9728" width="9" style="815"/>
    <col min="9729" max="9729" width="7.21875" style="815" customWidth="1"/>
    <col min="9730" max="9734" width="3.21875" style="815" customWidth="1"/>
    <col min="9735" max="9735" width="3.77734375" style="815" customWidth="1"/>
    <col min="9736" max="9739" width="3.21875" style="815" customWidth="1"/>
    <col min="9740" max="9740" width="3.77734375" style="815" customWidth="1"/>
    <col min="9741" max="9775" width="3.21875" style="815" customWidth="1"/>
    <col min="9776" max="9984" width="9" style="815"/>
    <col min="9985" max="9985" width="7.21875" style="815" customWidth="1"/>
    <col min="9986" max="9990" width="3.21875" style="815" customWidth="1"/>
    <col min="9991" max="9991" width="3.77734375" style="815" customWidth="1"/>
    <col min="9992" max="9995" width="3.21875" style="815" customWidth="1"/>
    <col min="9996" max="9996" width="3.77734375" style="815" customWidth="1"/>
    <col min="9997" max="10031" width="3.21875" style="815" customWidth="1"/>
    <col min="10032" max="10240" width="9" style="815"/>
    <col min="10241" max="10241" width="7.21875" style="815" customWidth="1"/>
    <col min="10242" max="10246" width="3.21875" style="815" customWidth="1"/>
    <col min="10247" max="10247" width="3.77734375" style="815" customWidth="1"/>
    <col min="10248" max="10251" width="3.21875" style="815" customWidth="1"/>
    <col min="10252" max="10252" width="3.77734375" style="815" customWidth="1"/>
    <col min="10253" max="10287" width="3.21875" style="815" customWidth="1"/>
    <col min="10288" max="10496" width="9" style="815"/>
    <col min="10497" max="10497" width="7.21875" style="815" customWidth="1"/>
    <col min="10498" max="10502" width="3.21875" style="815" customWidth="1"/>
    <col min="10503" max="10503" width="3.77734375" style="815" customWidth="1"/>
    <col min="10504" max="10507" width="3.21875" style="815" customWidth="1"/>
    <col min="10508" max="10508" width="3.77734375" style="815" customWidth="1"/>
    <col min="10509" max="10543" width="3.21875" style="815" customWidth="1"/>
    <col min="10544" max="10752" width="9" style="815"/>
    <col min="10753" max="10753" width="7.21875" style="815" customWidth="1"/>
    <col min="10754" max="10758" width="3.21875" style="815" customWidth="1"/>
    <col min="10759" max="10759" width="3.77734375" style="815" customWidth="1"/>
    <col min="10760" max="10763" width="3.21875" style="815" customWidth="1"/>
    <col min="10764" max="10764" width="3.77734375" style="815" customWidth="1"/>
    <col min="10765" max="10799" width="3.21875" style="815" customWidth="1"/>
    <col min="10800" max="11008" width="9" style="815"/>
    <col min="11009" max="11009" width="7.21875" style="815" customWidth="1"/>
    <col min="11010" max="11014" width="3.21875" style="815" customWidth="1"/>
    <col min="11015" max="11015" width="3.77734375" style="815" customWidth="1"/>
    <col min="11016" max="11019" width="3.21875" style="815" customWidth="1"/>
    <col min="11020" max="11020" width="3.77734375" style="815" customWidth="1"/>
    <col min="11021" max="11055" width="3.21875" style="815" customWidth="1"/>
    <col min="11056" max="11264" width="9" style="815"/>
    <col min="11265" max="11265" width="7.21875" style="815" customWidth="1"/>
    <col min="11266" max="11270" width="3.21875" style="815" customWidth="1"/>
    <col min="11271" max="11271" width="3.77734375" style="815" customWidth="1"/>
    <col min="11272" max="11275" width="3.21875" style="815" customWidth="1"/>
    <col min="11276" max="11276" width="3.77734375" style="815" customWidth="1"/>
    <col min="11277" max="11311" width="3.21875" style="815" customWidth="1"/>
    <col min="11312" max="11520" width="9" style="815"/>
    <col min="11521" max="11521" width="7.21875" style="815" customWidth="1"/>
    <col min="11522" max="11526" width="3.21875" style="815" customWidth="1"/>
    <col min="11527" max="11527" width="3.77734375" style="815" customWidth="1"/>
    <col min="11528" max="11531" width="3.21875" style="815" customWidth="1"/>
    <col min="11532" max="11532" width="3.77734375" style="815" customWidth="1"/>
    <col min="11533" max="11567" width="3.21875" style="815" customWidth="1"/>
    <col min="11568" max="11776" width="9" style="815"/>
    <col min="11777" max="11777" width="7.21875" style="815" customWidth="1"/>
    <col min="11778" max="11782" width="3.21875" style="815" customWidth="1"/>
    <col min="11783" max="11783" width="3.77734375" style="815" customWidth="1"/>
    <col min="11784" max="11787" width="3.21875" style="815" customWidth="1"/>
    <col min="11788" max="11788" width="3.77734375" style="815" customWidth="1"/>
    <col min="11789" max="11823" width="3.21875" style="815" customWidth="1"/>
    <col min="11824" max="12032" width="9" style="815"/>
    <col min="12033" max="12033" width="7.21875" style="815" customWidth="1"/>
    <col min="12034" max="12038" width="3.21875" style="815" customWidth="1"/>
    <col min="12039" max="12039" width="3.77734375" style="815" customWidth="1"/>
    <col min="12040" max="12043" width="3.21875" style="815" customWidth="1"/>
    <col min="12044" max="12044" width="3.77734375" style="815" customWidth="1"/>
    <col min="12045" max="12079" width="3.21875" style="815" customWidth="1"/>
    <col min="12080" max="12288" width="9" style="815"/>
    <col min="12289" max="12289" width="7.21875" style="815" customWidth="1"/>
    <col min="12290" max="12294" width="3.21875" style="815" customWidth="1"/>
    <col min="12295" max="12295" width="3.77734375" style="815" customWidth="1"/>
    <col min="12296" max="12299" width="3.21875" style="815" customWidth="1"/>
    <col min="12300" max="12300" width="3.77734375" style="815" customWidth="1"/>
    <col min="12301" max="12335" width="3.21875" style="815" customWidth="1"/>
    <col min="12336" max="12544" width="9" style="815"/>
    <col min="12545" max="12545" width="7.21875" style="815" customWidth="1"/>
    <col min="12546" max="12550" width="3.21875" style="815" customWidth="1"/>
    <col min="12551" max="12551" width="3.77734375" style="815" customWidth="1"/>
    <col min="12552" max="12555" width="3.21875" style="815" customWidth="1"/>
    <col min="12556" max="12556" width="3.77734375" style="815" customWidth="1"/>
    <col min="12557" max="12591" width="3.21875" style="815" customWidth="1"/>
    <col min="12592" max="12800" width="9" style="815"/>
    <col min="12801" max="12801" width="7.21875" style="815" customWidth="1"/>
    <col min="12802" max="12806" width="3.21875" style="815" customWidth="1"/>
    <col min="12807" max="12807" width="3.77734375" style="815" customWidth="1"/>
    <col min="12808" max="12811" width="3.21875" style="815" customWidth="1"/>
    <col min="12812" max="12812" width="3.77734375" style="815" customWidth="1"/>
    <col min="12813" max="12847" width="3.21875" style="815" customWidth="1"/>
    <col min="12848" max="13056" width="9" style="815"/>
    <col min="13057" max="13057" width="7.21875" style="815" customWidth="1"/>
    <col min="13058" max="13062" width="3.21875" style="815" customWidth="1"/>
    <col min="13063" max="13063" width="3.77734375" style="815" customWidth="1"/>
    <col min="13064" max="13067" width="3.21875" style="815" customWidth="1"/>
    <col min="13068" max="13068" width="3.77734375" style="815" customWidth="1"/>
    <col min="13069" max="13103" width="3.21875" style="815" customWidth="1"/>
    <col min="13104" max="13312" width="9" style="815"/>
    <col min="13313" max="13313" width="7.21875" style="815" customWidth="1"/>
    <col min="13314" max="13318" width="3.21875" style="815" customWidth="1"/>
    <col min="13319" max="13319" width="3.77734375" style="815" customWidth="1"/>
    <col min="13320" max="13323" width="3.21875" style="815" customWidth="1"/>
    <col min="13324" max="13324" width="3.77734375" style="815" customWidth="1"/>
    <col min="13325" max="13359" width="3.21875" style="815" customWidth="1"/>
    <col min="13360" max="13568" width="9" style="815"/>
    <col min="13569" max="13569" width="7.21875" style="815" customWidth="1"/>
    <col min="13570" max="13574" width="3.21875" style="815" customWidth="1"/>
    <col min="13575" max="13575" width="3.77734375" style="815" customWidth="1"/>
    <col min="13576" max="13579" width="3.21875" style="815" customWidth="1"/>
    <col min="13580" max="13580" width="3.77734375" style="815" customWidth="1"/>
    <col min="13581" max="13615" width="3.21875" style="815" customWidth="1"/>
    <col min="13616" max="13824" width="9" style="815"/>
    <col min="13825" max="13825" width="7.21875" style="815" customWidth="1"/>
    <col min="13826" max="13830" width="3.21875" style="815" customWidth="1"/>
    <col min="13831" max="13831" width="3.77734375" style="815" customWidth="1"/>
    <col min="13832" max="13835" width="3.21875" style="815" customWidth="1"/>
    <col min="13836" max="13836" width="3.77734375" style="815" customWidth="1"/>
    <col min="13837" max="13871" width="3.21875" style="815" customWidth="1"/>
    <col min="13872" max="14080" width="9" style="815"/>
    <col min="14081" max="14081" width="7.21875" style="815" customWidth="1"/>
    <col min="14082" max="14086" width="3.21875" style="815" customWidth="1"/>
    <col min="14087" max="14087" width="3.77734375" style="815" customWidth="1"/>
    <col min="14088" max="14091" width="3.21875" style="815" customWidth="1"/>
    <col min="14092" max="14092" width="3.77734375" style="815" customWidth="1"/>
    <col min="14093" max="14127" width="3.21875" style="815" customWidth="1"/>
    <col min="14128" max="14336" width="9" style="815"/>
    <col min="14337" max="14337" width="7.21875" style="815" customWidth="1"/>
    <col min="14338" max="14342" width="3.21875" style="815" customWidth="1"/>
    <col min="14343" max="14343" width="3.77734375" style="815" customWidth="1"/>
    <col min="14344" max="14347" width="3.21875" style="815" customWidth="1"/>
    <col min="14348" max="14348" width="3.77734375" style="815" customWidth="1"/>
    <col min="14349" max="14383" width="3.21875" style="815" customWidth="1"/>
    <col min="14384" max="14592" width="9" style="815"/>
    <col min="14593" max="14593" width="7.21875" style="815" customWidth="1"/>
    <col min="14594" max="14598" width="3.21875" style="815" customWidth="1"/>
    <col min="14599" max="14599" width="3.77734375" style="815" customWidth="1"/>
    <col min="14600" max="14603" width="3.21875" style="815" customWidth="1"/>
    <col min="14604" max="14604" width="3.77734375" style="815" customWidth="1"/>
    <col min="14605" max="14639" width="3.21875" style="815" customWidth="1"/>
    <col min="14640" max="14848" width="9" style="815"/>
    <col min="14849" max="14849" width="7.21875" style="815" customWidth="1"/>
    <col min="14850" max="14854" width="3.21875" style="815" customWidth="1"/>
    <col min="14855" max="14855" width="3.77734375" style="815" customWidth="1"/>
    <col min="14856" max="14859" width="3.21875" style="815" customWidth="1"/>
    <col min="14860" max="14860" width="3.77734375" style="815" customWidth="1"/>
    <col min="14861" max="14895" width="3.21875" style="815" customWidth="1"/>
    <col min="14896" max="15104" width="9" style="815"/>
    <col min="15105" max="15105" width="7.21875" style="815" customWidth="1"/>
    <col min="15106" max="15110" width="3.21875" style="815" customWidth="1"/>
    <col min="15111" max="15111" width="3.77734375" style="815" customWidth="1"/>
    <col min="15112" max="15115" width="3.21875" style="815" customWidth="1"/>
    <col min="15116" max="15116" width="3.77734375" style="815" customWidth="1"/>
    <col min="15117" max="15151" width="3.21875" style="815" customWidth="1"/>
    <col min="15152" max="15360" width="9" style="815"/>
    <col min="15361" max="15361" width="7.21875" style="815" customWidth="1"/>
    <col min="15362" max="15366" width="3.21875" style="815" customWidth="1"/>
    <col min="15367" max="15367" width="3.77734375" style="815" customWidth="1"/>
    <col min="15368" max="15371" width="3.21875" style="815" customWidth="1"/>
    <col min="15372" max="15372" width="3.77734375" style="815" customWidth="1"/>
    <col min="15373" max="15407" width="3.21875" style="815" customWidth="1"/>
    <col min="15408" max="15616" width="9" style="815"/>
    <col min="15617" max="15617" width="7.21875" style="815" customWidth="1"/>
    <col min="15618" max="15622" width="3.21875" style="815" customWidth="1"/>
    <col min="15623" max="15623" width="3.77734375" style="815" customWidth="1"/>
    <col min="15624" max="15627" width="3.21875" style="815" customWidth="1"/>
    <col min="15628" max="15628" width="3.77734375" style="815" customWidth="1"/>
    <col min="15629" max="15663" width="3.21875" style="815" customWidth="1"/>
    <col min="15664" max="15872" width="9" style="815"/>
    <col min="15873" max="15873" width="7.21875" style="815" customWidth="1"/>
    <col min="15874" max="15878" width="3.21875" style="815" customWidth="1"/>
    <col min="15879" max="15879" width="3.77734375" style="815" customWidth="1"/>
    <col min="15880" max="15883" width="3.21875" style="815" customWidth="1"/>
    <col min="15884" max="15884" width="3.77734375" style="815" customWidth="1"/>
    <col min="15885" max="15919" width="3.21875" style="815" customWidth="1"/>
    <col min="15920" max="16128" width="9" style="815"/>
    <col min="16129" max="16129" width="7.21875" style="815" customWidth="1"/>
    <col min="16130" max="16134" width="3.21875" style="815" customWidth="1"/>
    <col min="16135" max="16135" width="3.77734375" style="815" customWidth="1"/>
    <col min="16136" max="16139" width="3.21875" style="815" customWidth="1"/>
    <col min="16140" max="16140" width="3.77734375" style="815" customWidth="1"/>
    <col min="16141" max="16175" width="3.21875" style="815" customWidth="1"/>
    <col min="16176" max="16384" width="9" style="815"/>
  </cols>
  <sheetData>
    <row r="1" spans="1:48" s="814" customFormat="1" ht="27.6" customHeight="1" x14ac:dyDescent="0.25">
      <c r="A1" s="1480" t="s">
        <v>477</v>
      </c>
      <c r="B1" s="1480"/>
      <c r="C1" s="1480"/>
      <c r="D1" s="1480"/>
      <c r="E1" s="1480"/>
      <c r="F1" s="1480"/>
      <c r="G1" s="1480"/>
      <c r="H1" s="1480"/>
      <c r="I1" s="1480"/>
      <c r="J1" s="1480"/>
      <c r="K1" s="1480"/>
      <c r="L1" s="1480"/>
      <c r="M1" s="1480"/>
      <c r="N1" s="1480"/>
      <c r="O1" s="1480"/>
      <c r="P1" s="1480"/>
      <c r="Q1" s="1480"/>
      <c r="R1" s="1480"/>
      <c r="S1" s="1480"/>
      <c r="T1" s="1480"/>
      <c r="U1" s="1480"/>
      <c r="V1" s="1480"/>
      <c r="W1" s="1480"/>
      <c r="X1" s="1480"/>
      <c r="Y1" s="1480"/>
      <c r="Z1" s="1480"/>
      <c r="AA1" s="1480"/>
      <c r="AB1" s="1480"/>
      <c r="AC1" s="1480"/>
      <c r="AD1" s="1480"/>
      <c r="AE1" s="1480"/>
      <c r="AF1" s="1480"/>
      <c r="AG1" s="813"/>
      <c r="AH1" s="813"/>
      <c r="AI1" s="813"/>
      <c r="AJ1" s="813"/>
      <c r="AK1" s="813"/>
      <c r="AL1" s="813"/>
      <c r="AM1" s="813"/>
      <c r="AN1" s="813"/>
      <c r="AO1" s="813"/>
      <c r="AP1" s="813"/>
      <c r="AQ1" s="813"/>
      <c r="AR1" s="813"/>
      <c r="AS1" s="813"/>
      <c r="AT1" s="813"/>
      <c r="AU1" s="813"/>
    </row>
    <row r="2" spans="1:48" s="814" customFormat="1" ht="33.6" customHeight="1" x14ac:dyDescent="0.2">
      <c r="A2" s="1480" t="s">
        <v>1075</v>
      </c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  <c r="M2" s="1480"/>
      <c r="N2" s="1480"/>
      <c r="O2" s="1480"/>
      <c r="P2" s="1480"/>
      <c r="Q2" s="1480"/>
      <c r="R2" s="1480"/>
      <c r="S2" s="1480"/>
      <c r="T2" s="1480"/>
      <c r="U2" s="1480"/>
      <c r="V2" s="1480"/>
      <c r="W2" s="1480"/>
      <c r="X2" s="1480"/>
      <c r="Y2" s="1480"/>
      <c r="Z2" s="1480"/>
      <c r="AA2" s="1480"/>
      <c r="AB2" s="1480"/>
      <c r="AC2" s="1480"/>
      <c r="AD2" s="1480"/>
      <c r="AE2" s="1480"/>
      <c r="AF2" s="1480"/>
      <c r="AG2" s="813"/>
      <c r="AH2" s="813"/>
      <c r="AI2" s="816"/>
      <c r="AJ2" s="813"/>
      <c r="AK2" s="813"/>
      <c r="AL2" s="813"/>
      <c r="AM2" s="813"/>
      <c r="AN2" s="813"/>
      <c r="AO2" s="813"/>
      <c r="AP2" s="813"/>
      <c r="AQ2" s="813"/>
      <c r="AR2" s="813"/>
      <c r="AS2" s="813"/>
      <c r="AT2" s="813"/>
      <c r="AU2" s="817"/>
    </row>
    <row r="3" spans="1:48" ht="25.5" customHeight="1" x14ac:dyDescent="0.25">
      <c r="A3" s="1466" t="s">
        <v>776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  <c r="V3" s="1466"/>
      <c r="W3" s="1466"/>
      <c r="X3" s="1466"/>
      <c r="Y3" s="1466"/>
      <c r="Z3" s="1466"/>
      <c r="AA3" s="1466"/>
      <c r="AB3" s="1466"/>
      <c r="AC3" s="1466"/>
      <c r="AD3" s="1466"/>
      <c r="AE3" s="1466"/>
      <c r="AF3" s="1466"/>
    </row>
    <row r="4" spans="1:48" ht="13.8" thickBot="1" x14ac:dyDescent="0.3">
      <c r="A4" s="1467" t="s">
        <v>777</v>
      </c>
      <c r="B4" s="1467"/>
      <c r="C4" s="1467"/>
      <c r="D4" s="1467"/>
      <c r="E4" s="1467"/>
      <c r="F4" s="1467"/>
      <c r="G4" s="1467"/>
      <c r="H4" s="1467"/>
      <c r="I4" s="1467"/>
      <c r="J4" s="1467"/>
      <c r="K4" s="1467"/>
      <c r="L4" s="1467"/>
      <c r="M4" s="1467"/>
      <c r="N4" s="1467"/>
      <c r="O4" s="1467"/>
      <c r="P4" s="1467"/>
      <c r="Q4" s="1467"/>
      <c r="R4" s="1467"/>
      <c r="S4" s="1467"/>
      <c r="T4" s="1467"/>
      <c r="U4" s="1467"/>
      <c r="V4" s="1467"/>
      <c r="W4" s="1467"/>
      <c r="X4" s="1467"/>
      <c r="Y4" s="1467"/>
      <c r="Z4" s="1467"/>
      <c r="AA4" s="1467"/>
      <c r="AB4" s="1467"/>
      <c r="AC4" s="1467"/>
      <c r="AD4" s="1467"/>
      <c r="AE4" s="1467"/>
      <c r="AF4" s="1467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R4" s="818"/>
      <c r="AS4" s="818"/>
      <c r="AT4" s="818"/>
      <c r="AU4" s="818"/>
      <c r="AV4" s="819"/>
    </row>
    <row r="5" spans="1:48" ht="24.6" customHeight="1" thickTop="1" thickBot="1" x14ac:dyDescent="0.3">
      <c r="A5" s="1468" t="s">
        <v>366</v>
      </c>
      <c r="B5" s="1468"/>
      <c r="C5" s="1468"/>
      <c r="D5" s="1468"/>
      <c r="E5" s="1468"/>
      <c r="F5" s="1468"/>
      <c r="G5" s="1468"/>
      <c r="H5" s="1468"/>
      <c r="I5" s="1468"/>
      <c r="J5" s="1468"/>
      <c r="K5" s="1469" t="s">
        <v>778</v>
      </c>
      <c r="L5" s="1469"/>
      <c r="M5" s="1469"/>
      <c r="N5" s="1469"/>
      <c r="O5" s="1469" t="s">
        <v>779</v>
      </c>
      <c r="P5" s="1469"/>
      <c r="Q5" s="1469"/>
      <c r="R5" s="1469"/>
      <c r="S5" s="1469"/>
      <c r="T5" s="1469"/>
      <c r="U5" s="1469" t="s">
        <v>780</v>
      </c>
      <c r="V5" s="1469"/>
      <c r="W5" s="1469"/>
      <c r="X5" s="1469"/>
      <c r="Y5" s="1469"/>
      <c r="Z5" s="1469"/>
      <c r="AA5" s="1470" t="s">
        <v>781</v>
      </c>
      <c r="AB5" s="1470"/>
      <c r="AC5" s="1470"/>
      <c r="AD5" s="1470"/>
      <c r="AE5" s="1470"/>
      <c r="AF5" s="1470"/>
      <c r="AV5" s="819"/>
    </row>
    <row r="6" spans="1:48" ht="13.8" thickTop="1" x14ac:dyDescent="0.25">
      <c r="A6" s="1471" t="s">
        <v>782</v>
      </c>
      <c r="B6" s="1471"/>
      <c r="C6" s="1471"/>
      <c r="D6" s="1471"/>
      <c r="E6" s="1471"/>
      <c r="F6" s="1471"/>
      <c r="G6" s="1471"/>
      <c r="H6" s="1471"/>
      <c r="I6" s="1471"/>
      <c r="J6" s="1471"/>
      <c r="K6" s="1472" t="s">
        <v>783</v>
      </c>
      <c r="L6" s="1472"/>
      <c r="M6" s="1472"/>
      <c r="N6" s="1472"/>
      <c r="O6" s="1472" t="s">
        <v>784</v>
      </c>
      <c r="P6" s="1472"/>
      <c r="Q6" s="1472"/>
      <c r="R6" s="1472"/>
      <c r="S6" s="1472"/>
      <c r="T6" s="1472"/>
      <c r="U6" s="1472" t="s">
        <v>785</v>
      </c>
      <c r="V6" s="1472"/>
      <c r="W6" s="1472"/>
      <c r="X6" s="1472"/>
      <c r="Y6" s="1472"/>
      <c r="Z6" s="1472"/>
      <c r="AA6" s="1473" t="s">
        <v>786</v>
      </c>
      <c r="AB6" s="1473"/>
      <c r="AC6" s="1473"/>
      <c r="AD6" s="1473"/>
      <c r="AE6" s="1473"/>
      <c r="AF6" s="1473"/>
      <c r="AV6" s="819"/>
    </row>
    <row r="7" spans="1:48" ht="15.15" customHeight="1" thickBot="1" x14ac:dyDescent="0.3">
      <c r="A7" s="1474" t="s">
        <v>787</v>
      </c>
      <c r="B7" s="1474"/>
      <c r="C7" s="1474"/>
      <c r="D7" s="1474"/>
      <c r="E7" s="1474"/>
      <c r="F7" s="1474"/>
      <c r="G7" s="1474"/>
      <c r="H7" s="1474"/>
      <c r="I7" s="1474"/>
      <c r="J7" s="1474"/>
      <c r="K7" s="1475" t="s">
        <v>505</v>
      </c>
      <c r="L7" s="1475"/>
      <c r="M7" s="1475"/>
      <c r="N7" s="1475"/>
      <c r="O7" s="1475" t="s">
        <v>505</v>
      </c>
      <c r="P7" s="1475"/>
      <c r="Q7" s="1475"/>
      <c r="R7" s="1475"/>
      <c r="S7" s="1475"/>
      <c r="T7" s="1475"/>
      <c r="U7" s="1475" t="s">
        <v>505</v>
      </c>
      <c r="V7" s="1475"/>
      <c r="W7" s="1475"/>
      <c r="X7" s="1475"/>
      <c r="Y7" s="1475"/>
      <c r="Z7" s="1475"/>
      <c r="AA7" s="1476" t="s">
        <v>505</v>
      </c>
      <c r="AB7" s="1476"/>
      <c r="AC7" s="1476"/>
      <c r="AD7" s="1476"/>
      <c r="AE7" s="1476"/>
      <c r="AF7" s="1476"/>
      <c r="AV7" s="819"/>
    </row>
    <row r="8" spans="1:48" ht="25.35" customHeight="1" thickTop="1" thickBot="1" x14ac:dyDescent="0.3">
      <c r="A8" s="1474" t="s">
        <v>788</v>
      </c>
      <c r="B8" s="1474"/>
      <c r="C8" s="1474"/>
      <c r="D8" s="1474"/>
      <c r="E8" s="1474"/>
      <c r="F8" s="1474"/>
      <c r="G8" s="1474"/>
      <c r="H8" s="1474"/>
      <c r="I8" s="1474"/>
      <c r="J8" s="1474"/>
      <c r="K8" s="1475" t="s">
        <v>789</v>
      </c>
      <c r="L8" s="1475"/>
      <c r="M8" s="1475"/>
      <c r="N8" s="1475"/>
      <c r="O8" s="1475" t="s">
        <v>790</v>
      </c>
      <c r="P8" s="1475"/>
      <c r="Q8" s="1475"/>
      <c r="R8" s="1475"/>
      <c r="S8" s="1475"/>
      <c r="T8" s="1475"/>
      <c r="U8" s="1475" t="s">
        <v>791</v>
      </c>
      <c r="V8" s="1475"/>
      <c r="W8" s="1475"/>
      <c r="X8" s="1475"/>
      <c r="Y8" s="1475"/>
      <c r="Z8" s="1475"/>
      <c r="AA8" s="1476" t="s">
        <v>792</v>
      </c>
      <c r="AB8" s="1476"/>
      <c r="AC8" s="1476"/>
      <c r="AD8" s="1476"/>
      <c r="AE8" s="1476"/>
      <c r="AF8" s="1476"/>
    </row>
    <row r="9" spans="1:48" ht="15.15" customHeight="1" thickTop="1" thickBot="1" x14ac:dyDescent="0.3">
      <c r="A9" s="1474" t="s">
        <v>793</v>
      </c>
      <c r="B9" s="1474"/>
      <c r="C9" s="1474"/>
      <c r="D9" s="1474"/>
      <c r="E9" s="1474"/>
      <c r="F9" s="1474"/>
      <c r="G9" s="1474"/>
      <c r="H9" s="1474"/>
      <c r="I9" s="1474"/>
      <c r="J9" s="1474"/>
      <c r="K9" s="1475" t="s">
        <v>794</v>
      </c>
      <c r="L9" s="1475"/>
      <c r="M9" s="1475"/>
      <c r="N9" s="1475"/>
      <c r="O9" s="1475" t="s">
        <v>795</v>
      </c>
      <c r="P9" s="1475"/>
      <c r="Q9" s="1475"/>
      <c r="R9" s="1475"/>
      <c r="S9" s="1475"/>
      <c r="T9" s="1475"/>
      <c r="U9" s="1475" t="s">
        <v>796</v>
      </c>
      <c r="V9" s="1475"/>
      <c r="W9" s="1475"/>
      <c r="X9" s="1475"/>
      <c r="Y9" s="1475"/>
      <c r="Z9" s="1475"/>
      <c r="AA9" s="1476" t="s">
        <v>797</v>
      </c>
      <c r="AB9" s="1476"/>
      <c r="AC9" s="1476"/>
      <c r="AD9" s="1476"/>
      <c r="AE9" s="1476"/>
      <c r="AF9" s="1476"/>
    </row>
    <row r="10" spans="1:48" ht="15.15" customHeight="1" thickTop="1" thickBot="1" x14ac:dyDescent="0.3">
      <c r="A10" s="1474" t="s">
        <v>798</v>
      </c>
      <c r="B10" s="1474"/>
      <c r="C10" s="1474"/>
      <c r="D10" s="1474"/>
      <c r="E10" s="1474"/>
      <c r="F10" s="1474"/>
      <c r="G10" s="1474"/>
      <c r="H10" s="1474"/>
      <c r="I10" s="1474"/>
      <c r="J10" s="1474"/>
      <c r="K10" s="1475" t="s">
        <v>799</v>
      </c>
      <c r="L10" s="1475"/>
      <c r="M10" s="1475"/>
      <c r="N10" s="1475"/>
      <c r="O10" s="1475" t="s">
        <v>800</v>
      </c>
      <c r="P10" s="1475"/>
      <c r="Q10" s="1475"/>
      <c r="R10" s="1475"/>
      <c r="S10" s="1475"/>
      <c r="T10" s="1475"/>
      <c r="U10" s="1475" t="s">
        <v>801</v>
      </c>
      <c r="V10" s="1475"/>
      <c r="W10" s="1475"/>
      <c r="X10" s="1475"/>
      <c r="Y10" s="1475"/>
      <c r="Z10" s="1475"/>
      <c r="AA10" s="1476" t="s">
        <v>802</v>
      </c>
      <c r="AB10" s="1476"/>
      <c r="AC10" s="1476"/>
      <c r="AD10" s="1476"/>
      <c r="AE10" s="1476"/>
      <c r="AF10" s="1476"/>
    </row>
    <row r="11" spans="1:48" ht="15.15" customHeight="1" thickTop="1" thickBot="1" x14ac:dyDescent="0.3">
      <c r="A11" s="1474" t="s">
        <v>803</v>
      </c>
      <c r="B11" s="1474"/>
      <c r="C11" s="1474"/>
      <c r="D11" s="1474"/>
      <c r="E11" s="1474"/>
      <c r="F11" s="1474"/>
      <c r="G11" s="1474"/>
      <c r="H11" s="1474"/>
      <c r="I11" s="1474"/>
      <c r="J11" s="1474"/>
      <c r="K11" s="1475" t="s">
        <v>804</v>
      </c>
      <c r="L11" s="1475"/>
      <c r="M11" s="1475"/>
      <c r="N11" s="1475"/>
      <c r="O11" s="1475" t="s">
        <v>805</v>
      </c>
      <c r="P11" s="1475"/>
      <c r="Q11" s="1475"/>
      <c r="R11" s="1475"/>
      <c r="S11" s="1475"/>
      <c r="T11" s="1475"/>
      <c r="U11" s="1475" t="s">
        <v>805</v>
      </c>
      <c r="V11" s="1475"/>
      <c r="W11" s="1475"/>
      <c r="X11" s="1475"/>
      <c r="Y11" s="1475"/>
      <c r="Z11" s="1475"/>
      <c r="AA11" s="1476" t="s">
        <v>805</v>
      </c>
      <c r="AB11" s="1476"/>
      <c r="AC11" s="1476"/>
      <c r="AD11" s="1476"/>
      <c r="AE11" s="1476"/>
      <c r="AF11" s="1476"/>
    </row>
    <row r="12" spans="1:48" ht="25.35" customHeight="1" thickTop="1" thickBot="1" x14ac:dyDescent="0.3">
      <c r="A12" s="1474" t="s">
        <v>806</v>
      </c>
      <c r="B12" s="1474"/>
      <c r="C12" s="1474"/>
      <c r="D12" s="1474"/>
      <c r="E12" s="1474"/>
      <c r="F12" s="1474"/>
      <c r="G12" s="1474"/>
      <c r="H12" s="1474"/>
      <c r="I12" s="1474"/>
      <c r="J12" s="1474"/>
      <c r="K12" s="1475" t="s">
        <v>807</v>
      </c>
      <c r="L12" s="1475"/>
      <c r="M12" s="1475"/>
      <c r="N12" s="1475"/>
      <c r="O12" s="1475" t="s">
        <v>805</v>
      </c>
      <c r="P12" s="1475"/>
      <c r="Q12" s="1475"/>
      <c r="R12" s="1475"/>
      <c r="S12" s="1475"/>
      <c r="T12" s="1475"/>
      <c r="U12" s="1475" t="s">
        <v>805</v>
      </c>
      <c r="V12" s="1475"/>
      <c r="W12" s="1475"/>
      <c r="X12" s="1475"/>
      <c r="Y12" s="1475"/>
      <c r="Z12" s="1475"/>
      <c r="AA12" s="1476" t="s">
        <v>805</v>
      </c>
      <c r="AB12" s="1476"/>
      <c r="AC12" s="1476"/>
      <c r="AD12" s="1476"/>
      <c r="AE12" s="1476"/>
      <c r="AF12" s="1476"/>
    </row>
    <row r="13" spans="1:48" ht="15.15" customHeight="1" thickTop="1" thickBot="1" x14ac:dyDescent="0.3">
      <c r="A13" s="1474" t="s">
        <v>808</v>
      </c>
      <c r="B13" s="1474"/>
      <c r="C13" s="1474"/>
      <c r="D13" s="1474"/>
      <c r="E13" s="1474"/>
      <c r="F13" s="1474"/>
      <c r="G13" s="1474"/>
      <c r="H13" s="1474"/>
      <c r="I13" s="1474"/>
      <c r="J13" s="1474"/>
      <c r="K13" s="1475" t="s">
        <v>809</v>
      </c>
      <c r="L13" s="1475"/>
      <c r="M13" s="1475"/>
      <c r="N13" s="1475"/>
      <c r="O13" s="1475" t="s">
        <v>805</v>
      </c>
      <c r="P13" s="1475"/>
      <c r="Q13" s="1475"/>
      <c r="R13" s="1475"/>
      <c r="S13" s="1475"/>
      <c r="T13" s="1475"/>
      <c r="U13" s="1475" t="s">
        <v>805</v>
      </c>
      <c r="V13" s="1475"/>
      <c r="W13" s="1475"/>
      <c r="X13" s="1475"/>
      <c r="Y13" s="1475"/>
      <c r="Z13" s="1475"/>
      <c r="AA13" s="1476" t="s">
        <v>805</v>
      </c>
      <c r="AB13" s="1476"/>
      <c r="AC13" s="1476"/>
      <c r="AD13" s="1476"/>
      <c r="AE13" s="1476"/>
      <c r="AF13" s="1476"/>
    </row>
    <row r="14" spans="1:48" ht="15.15" customHeight="1" thickTop="1" thickBot="1" x14ac:dyDescent="0.3">
      <c r="A14" s="1474" t="s">
        <v>810</v>
      </c>
      <c r="B14" s="1474"/>
      <c r="C14" s="1474"/>
      <c r="D14" s="1474"/>
      <c r="E14" s="1474"/>
      <c r="F14" s="1474"/>
      <c r="G14" s="1474"/>
      <c r="H14" s="1474"/>
      <c r="I14" s="1474"/>
      <c r="J14" s="1474"/>
      <c r="K14" s="1475" t="s">
        <v>811</v>
      </c>
      <c r="L14" s="1475"/>
      <c r="M14" s="1475"/>
      <c r="N14" s="1475"/>
      <c r="O14" s="1475" t="s">
        <v>800</v>
      </c>
      <c r="P14" s="1475"/>
      <c r="Q14" s="1475"/>
      <c r="R14" s="1475"/>
      <c r="S14" s="1475"/>
      <c r="T14" s="1475"/>
      <c r="U14" s="1475" t="s">
        <v>801</v>
      </c>
      <c r="V14" s="1475"/>
      <c r="W14" s="1475"/>
      <c r="X14" s="1475"/>
      <c r="Y14" s="1475"/>
      <c r="Z14" s="1475"/>
      <c r="AA14" s="1476" t="s">
        <v>802</v>
      </c>
      <c r="AB14" s="1476"/>
      <c r="AC14" s="1476"/>
      <c r="AD14" s="1476"/>
      <c r="AE14" s="1476"/>
      <c r="AF14" s="1476"/>
    </row>
    <row r="15" spans="1:48" ht="15.15" customHeight="1" thickTop="1" thickBot="1" x14ac:dyDescent="0.3">
      <c r="A15" s="1474" t="s">
        <v>812</v>
      </c>
      <c r="B15" s="1474"/>
      <c r="C15" s="1474"/>
      <c r="D15" s="1474"/>
      <c r="E15" s="1474"/>
      <c r="F15" s="1474"/>
      <c r="G15" s="1474"/>
      <c r="H15" s="1474"/>
      <c r="I15" s="1474"/>
      <c r="J15" s="1474"/>
      <c r="K15" s="1475" t="s">
        <v>813</v>
      </c>
      <c r="L15" s="1475"/>
      <c r="M15" s="1475"/>
      <c r="N15" s="1475"/>
      <c r="O15" s="1475" t="s">
        <v>814</v>
      </c>
      <c r="P15" s="1475"/>
      <c r="Q15" s="1475"/>
      <c r="R15" s="1475"/>
      <c r="S15" s="1475"/>
      <c r="T15" s="1475"/>
      <c r="U15" s="1475" t="s">
        <v>815</v>
      </c>
      <c r="V15" s="1475"/>
      <c r="W15" s="1475"/>
      <c r="X15" s="1475"/>
      <c r="Y15" s="1475"/>
      <c r="Z15" s="1475"/>
      <c r="AA15" s="1476" t="s">
        <v>816</v>
      </c>
      <c r="AB15" s="1476"/>
      <c r="AC15" s="1476"/>
      <c r="AD15" s="1476"/>
      <c r="AE15" s="1476"/>
      <c r="AF15" s="1476"/>
    </row>
    <row r="16" spans="1:48" ht="15.15" customHeight="1" thickTop="1" thickBot="1" x14ac:dyDescent="0.3">
      <c r="A16" s="1474" t="s">
        <v>803</v>
      </c>
      <c r="B16" s="1474"/>
      <c r="C16" s="1474"/>
      <c r="D16" s="1474"/>
      <c r="E16" s="1474"/>
      <c r="F16" s="1474"/>
      <c r="G16" s="1474"/>
      <c r="H16" s="1474"/>
      <c r="I16" s="1474"/>
      <c r="J16" s="1474"/>
      <c r="K16" s="1475" t="s">
        <v>817</v>
      </c>
      <c r="L16" s="1475"/>
      <c r="M16" s="1475"/>
      <c r="N16" s="1475"/>
      <c r="O16" s="1475" t="s">
        <v>805</v>
      </c>
      <c r="P16" s="1475"/>
      <c r="Q16" s="1475"/>
      <c r="R16" s="1475"/>
      <c r="S16" s="1475"/>
      <c r="T16" s="1475"/>
      <c r="U16" s="1475" t="s">
        <v>805</v>
      </c>
      <c r="V16" s="1475"/>
      <c r="W16" s="1475"/>
      <c r="X16" s="1475"/>
      <c r="Y16" s="1475"/>
      <c r="Z16" s="1475"/>
      <c r="AA16" s="1476" t="s">
        <v>805</v>
      </c>
      <c r="AB16" s="1476"/>
      <c r="AC16" s="1476"/>
      <c r="AD16" s="1476"/>
      <c r="AE16" s="1476"/>
      <c r="AF16" s="1476"/>
    </row>
    <row r="17" spans="1:32" ht="25.35" customHeight="1" thickTop="1" thickBot="1" x14ac:dyDescent="0.3">
      <c r="A17" s="1474" t="s">
        <v>806</v>
      </c>
      <c r="B17" s="1474"/>
      <c r="C17" s="1474"/>
      <c r="D17" s="1474"/>
      <c r="E17" s="1474"/>
      <c r="F17" s="1474"/>
      <c r="G17" s="1474"/>
      <c r="H17" s="1474"/>
      <c r="I17" s="1474"/>
      <c r="J17" s="1474"/>
      <c r="K17" s="1475" t="s">
        <v>818</v>
      </c>
      <c r="L17" s="1475"/>
      <c r="M17" s="1475"/>
      <c r="N17" s="1475"/>
      <c r="O17" s="1475" t="s">
        <v>805</v>
      </c>
      <c r="P17" s="1475"/>
      <c r="Q17" s="1475"/>
      <c r="R17" s="1475"/>
      <c r="S17" s="1475"/>
      <c r="T17" s="1475"/>
      <c r="U17" s="1475" t="s">
        <v>805</v>
      </c>
      <c r="V17" s="1475"/>
      <c r="W17" s="1475"/>
      <c r="X17" s="1475"/>
      <c r="Y17" s="1475"/>
      <c r="Z17" s="1475"/>
      <c r="AA17" s="1476" t="s">
        <v>805</v>
      </c>
      <c r="AB17" s="1476"/>
      <c r="AC17" s="1476"/>
      <c r="AD17" s="1476"/>
      <c r="AE17" s="1476"/>
      <c r="AF17" s="1476"/>
    </row>
    <row r="18" spans="1:32" ht="15.15" customHeight="1" thickTop="1" thickBot="1" x14ac:dyDescent="0.3">
      <c r="A18" s="1474" t="s">
        <v>808</v>
      </c>
      <c r="B18" s="1474"/>
      <c r="C18" s="1474"/>
      <c r="D18" s="1474"/>
      <c r="E18" s="1474"/>
      <c r="F18" s="1474"/>
      <c r="G18" s="1474"/>
      <c r="H18" s="1474"/>
      <c r="I18" s="1474"/>
      <c r="J18" s="1474"/>
      <c r="K18" s="1475" t="s">
        <v>819</v>
      </c>
      <c r="L18" s="1475"/>
      <c r="M18" s="1475"/>
      <c r="N18" s="1475"/>
      <c r="O18" s="1475" t="s">
        <v>814</v>
      </c>
      <c r="P18" s="1475"/>
      <c r="Q18" s="1475"/>
      <c r="R18" s="1475"/>
      <c r="S18" s="1475"/>
      <c r="T18" s="1475"/>
      <c r="U18" s="1475" t="s">
        <v>815</v>
      </c>
      <c r="V18" s="1475"/>
      <c r="W18" s="1475"/>
      <c r="X18" s="1475"/>
      <c r="Y18" s="1475"/>
      <c r="Z18" s="1475"/>
      <c r="AA18" s="1476" t="s">
        <v>816</v>
      </c>
      <c r="AB18" s="1476"/>
      <c r="AC18" s="1476"/>
      <c r="AD18" s="1476"/>
      <c r="AE18" s="1476"/>
      <c r="AF18" s="1476"/>
    </row>
    <row r="19" spans="1:32" ht="15.15" customHeight="1" thickTop="1" thickBot="1" x14ac:dyDescent="0.3">
      <c r="A19" s="1474" t="s">
        <v>810</v>
      </c>
      <c r="B19" s="1474"/>
      <c r="C19" s="1474"/>
      <c r="D19" s="1474"/>
      <c r="E19" s="1474"/>
      <c r="F19" s="1474"/>
      <c r="G19" s="1474"/>
      <c r="H19" s="1474"/>
      <c r="I19" s="1474"/>
      <c r="J19" s="1474"/>
      <c r="K19" s="1475" t="s">
        <v>820</v>
      </c>
      <c r="L19" s="1475"/>
      <c r="M19" s="1475"/>
      <c r="N19" s="1475"/>
      <c r="O19" s="1475" t="s">
        <v>805</v>
      </c>
      <c r="P19" s="1475"/>
      <c r="Q19" s="1475"/>
      <c r="R19" s="1475"/>
      <c r="S19" s="1475"/>
      <c r="T19" s="1475"/>
      <c r="U19" s="1475" t="s">
        <v>805</v>
      </c>
      <c r="V19" s="1475"/>
      <c r="W19" s="1475"/>
      <c r="X19" s="1475"/>
      <c r="Y19" s="1475"/>
      <c r="Z19" s="1475"/>
      <c r="AA19" s="1476" t="s">
        <v>805</v>
      </c>
      <c r="AB19" s="1476"/>
      <c r="AC19" s="1476"/>
      <c r="AD19" s="1476"/>
      <c r="AE19" s="1476"/>
      <c r="AF19" s="1476"/>
    </row>
    <row r="20" spans="1:32" ht="15.15" customHeight="1" thickTop="1" thickBot="1" x14ac:dyDescent="0.3">
      <c r="A20" s="1474" t="s">
        <v>821</v>
      </c>
      <c r="B20" s="1474"/>
      <c r="C20" s="1474"/>
      <c r="D20" s="1474"/>
      <c r="E20" s="1474"/>
      <c r="F20" s="1474"/>
      <c r="G20" s="1474"/>
      <c r="H20" s="1474"/>
      <c r="I20" s="1474"/>
      <c r="J20" s="1474"/>
      <c r="K20" s="1475" t="s">
        <v>822</v>
      </c>
      <c r="L20" s="1475"/>
      <c r="M20" s="1475"/>
      <c r="N20" s="1475"/>
      <c r="O20" s="1475" t="s">
        <v>805</v>
      </c>
      <c r="P20" s="1475"/>
      <c r="Q20" s="1475"/>
      <c r="R20" s="1475"/>
      <c r="S20" s="1475"/>
      <c r="T20" s="1475"/>
      <c r="U20" s="1475" t="s">
        <v>805</v>
      </c>
      <c r="V20" s="1475"/>
      <c r="W20" s="1475"/>
      <c r="X20" s="1475"/>
      <c r="Y20" s="1475"/>
      <c r="Z20" s="1475"/>
      <c r="AA20" s="1476" t="s">
        <v>805</v>
      </c>
      <c r="AB20" s="1476"/>
      <c r="AC20" s="1476"/>
      <c r="AD20" s="1476"/>
      <c r="AE20" s="1476"/>
      <c r="AF20" s="1476"/>
    </row>
    <row r="21" spans="1:32" ht="15.15" customHeight="1" thickTop="1" thickBot="1" x14ac:dyDescent="0.3">
      <c r="A21" s="1474" t="s">
        <v>803</v>
      </c>
      <c r="B21" s="1474"/>
      <c r="C21" s="1474"/>
      <c r="D21" s="1474"/>
      <c r="E21" s="1474"/>
      <c r="F21" s="1474"/>
      <c r="G21" s="1474"/>
      <c r="H21" s="1474"/>
      <c r="I21" s="1474"/>
      <c r="J21" s="1474"/>
      <c r="K21" s="1475" t="s">
        <v>823</v>
      </c>
      <c r="L21" s="1475"/>
      <c r="M21" s="1475"/>
      <c r="N21" s="1475"/>
      <c r="O21" s="1475" t="s">
        <v>805</v>
      </c>
      <c r="P21" s="1475"/>
      <c r="Q21" s="1475"/>
      <c r="R21" s="1475"/>
      <c r="S21" s="1475"/>
      <c r="T21" s="1475"/>
      <c r="U21" s="1475" t="s">
        <v>805</v>
      </c>
      <c r="V21" s="1475"/>
      <c r="W21" s="1475"/>
      <c r="X21" s="1475"/>
      <c r="Y21" s="1475"/>
      <c r="Z21" s="1475"/>
      <c r="AA21" s="1476" t="s">
        <v>805</v>
      </c>
      <c r="AB21" s="1476"/>
      <c r="AC21" s="1476"/>
      <c r="AD21" s="1476"/>
      <c r="AE21" s="1476"/>
      <c r="AF21" s="1476"/>
    </row>
    <row r="22" spans="1:32" ht="25.35" customHeight="1" thickTop="1" thickBot="1" x14ac:dyDescent="0.3">
      <c r="A22" s="1474" t="s">
        <v>806</v>
      </c>
      <c r="B22" s="1474"/>
      <c r="C22" s="1474"/>
      <c r="D22" s="1474"/>
      <c r="E22" s="1474"/>
      <c r="F22" s="1474"/>
      <c r="G22" s="1474"/>
      <c r="H22" s="1474"/>
      <c r="I22" s="1474"/>
      <c r="J22" s="1474"/>
      <c r="K22" s="1475" t="s">
        <v>824</v>
      </c>
      <c r="L22" s="1475"/>
      <c r="M22" s="1475"/>
      <c r="N22" s="1475"/>
      <c r="O22" s="1475" t="s">
        <v>805</v>
      </c>
      <c r="P22" s="1475"/>
      <c r="Q22" s="1475"/>
      <c r="R22" s="1475"/>
      <c r="S22" s="1475"/>
      <c r="T22" s="1475"/>
      <c r="U22" s="1475" t="s">
        <v>805</v>
      </c>
      <c r="V22" s="1475"/>
      <c r="W22" s="1475"/>
      <c r="X22" s="1475"/>
      <c r="Y22" s="1475"/>
      <c r="Z22" s="1475"/>
      <c r="AA22" s="1476" t="s">
        <v>805</v>
      </c>
      <c r="AB22" s="1476"/>
      <c r="AC22" s="1476"/>
      <c r="AD22" s="1476"/>
      <c r="AE22" s="1476"/>
      <c r="AF22" s="1476"/>
    </row>
    <row r="23" spans="1:32" ht="15.15" customHeight="1" thickTop="1" thickBot="1" x14ac:dyDescent="0.3">
      <c r="A23" s="1474" t="s">
        <v>808</v>
      </c>
      <c r="B23" s="1474"/>
      <c r="C23" s="1474"/>
      <c r="D23" s="1474"/>
      <c r="E23" s="1474"/>
      <c r="F23" s="1474"/>
      <c r="G23" s="1474"/>
      <c r="H23" s="1474"/>
      <c r="I23" s="1474"/>
      <c r="J23" s="1474"/>
      <c r="K23" s="1475" t="s">
        <v>825</v>
      </c>
      <c r="L23" s="1475"/>
      <c r="M23" s="1475"/>
      <c r="N23" s="1475"/>
      <c r="O23" s="1475" t="s">
        <v>805</v>
      </c>
      <c r="P23" s="1475"/>
      <c r="Q23" s="1475"/>
      <c r="R23" s="1475"/>
      <c r="S23" s="1475"/>
      <c r="T23" s="1475"/>
      <c r="U23" s="1475" t="s">
        <v>805</v>
      </c>
      <c r="V23" s="1475"/>
      <c r="W23" s="1475"/>
      <c r="X23" s="1475"/>
      <c r="Y23" s="1475"/>
      <c r="Z23" s="1475"/>
      <c r="AA23" s="1476" t="s">
        <v>805</v>
      </c>
      <c r="AB23" s="1476"/>
      <c r="AC23" s="1476"/>
      <c r="AD23" s="1476"/>
      <c r="AE23" s="1476"/>
      <c r="AF23" s="1476"/>
    </row>
    <row r="24" spans="1:32" ht="15.15" customHeight="1" thickTop="1" thickBot="1" x14ac:dyDescent="0.3">
      <c r="A24" s="1474" t="s">
        <v>810</v>
      </c>
      <c r="B24" s="1474"/>
      <c r="C24" s="1474"/>
      <c r="D24" s="1474"/>
      <c r="E24" s="1474"/>
      <c r="F24" s="1474"/>
      <c r="G24" s="1474"/>
      <c r="H24" s="1474"/>
      <c r="I24" s="1474"/>
      <c r="J24" s="1474"/>
      <c r="K24" s="1475" t="s">
        <v>826</v>
      </c>
      <c r="L24" s="1475"/>
      <c r="M24" s="1475"/>
      <c r="N24" s="1475"/>
      <c r="O24" s="1475" t="s">
        <v>805</v>
      </c>
      <c r="P24" s="1475"/>
      <c r="Q24" s="1475"/>
      <c r="R24" s="1475"/>
      <c r="S24" s="1475"/>
      <c r="T24" s="1475"/>
      <c r="U24" s="1475" t="s">
        <v>805</v>
      </c>
      <c r="V24" s="1475"/>
      <c r="W24" s="1475"/>
      <c r="X24" s="1475"/>
      <c r="Y24" s="1475"/>
      <c r="Z24" s="1475"/>
      <c r="AA24" s="1476" t="s">
        <v>805</v>
      </c>
      <c r="AB24" s="1476"/>
      <c r="AC24" s="1476"/>
      <c r="AD24" s="1476"/>
      <c r="AE24" s="1476"/>
      <c r="AF24" s="1476"/>
    </row>
    <row r="25" spans="1:32" ht="15.15" customHeight="1" thickTop="1" thickBot="1" x14ac:dyDescent="0.3">
      <c r="A25" s="1474" t="s">
        <v>827</v>
      </c>
      <c r="B25" s="1474"/>
      <c r="C25" s="1474"/>
      <c r="D25" s="1474"/>
      <c r="E25" s="1474"/>
      <c r="F25" s="1474"/>
      <c r="G25" s="1474"/>
      <c r="H25" s="1474"/>
      <c r="I25" s="1474"/>
      <c r="J25" s="1474"/>
      <c r="K25" s="1475" t="s">
        <v>828</v>
      </c>
      <c r="L25" s="1475"/>
      <c r="M25" s="1475"/>
      <c r="N25" s="1475"/>
      <c r="O25" s="1475" t="s">
        <v>829</v>
      </c>
      <c r="P25" s="1475"/>
      <c r="Q25" s="1475"/>
      <c r="R25" s="1475"/>
      <c r="S25" s="1475"/>
      <c r="T25" s="1475"/>
      <c r="U25" s="1475" t="s">
        <v>830</v>
      </c>
      <c r="V25" s="1475"/>
      <c r="W25" s="1475"/>
      <c r="X25" s="1475"/>
      <c r="Y25" s="1475"/>
      <c r="Z25" s="1475"/>
      <c r="AA25" s="1476" t="s">
        <v>831</v>
      </c>
      <c r="AB25" s="1476"/>
      <c r="AC25" s="1476"/>
      <c r="AD25" s="1476"/>
      <c r="AE25" s="1476"/>
      <c r="AF25" s="1476"/>
    </row>
    <row r="26" spans="1:32" ht="25.35" customHeight="1" thickTop="1" thickBot="1" x14ac:dyDescent="0.3">
      <c r="A26" s="1474" t="s">
        <v>832</v>
      </c>
      <c r="B26" s="1474"/>
      <c r="C26" s="1474"/>
      <c r="D26" s="1474"/>
      <c r="E26" s="1474"/>
      <c r="F26" s="1474"/>
      <c r="G26" s="1474"/>
      <c r="H26" s="1474"/>
      <c r="I26" s="1474"/>
      <c r="J26" s="1474"/>
      <c r="K26" s="1475" t="s">
        <v>833</v>
      </c>
      <c r="L26" s="1475"/>
      <c r="M26" s="1475"/>
      <c r="N26" s="1475"/>
      <c r="O26" s="1475" t="s">
        <v>834</v>
      </c>
      <c r="P26" s="1475"/>
      <c r="Q26" s="1475"/>
      <c r="R26" s="1475"/>
      <c r="S26" s="1475"/>
      <c r="T26" s="1475"/>
      <c r="U26" s="1475" t="s">
        <v>835</v>
      </c>
      <c r="V26" s="1475"/>
      <c r="W26" s="1475"/>
      <c r="X26" s="1475"/>
      <c r="Y26" s="1475"/>
      <c r="Z26" s="1475"/>
      <c r="AA26" s="1476" t="s">
        <v>836</v>
      </c>
      <c r="AB26" s="1476"/>
      <c r="AC26" s="1476"/>
      <c r="AD26" s="1476"/>
      <c r="AE26" s="1476"/>
      <c r="AF26" s="1476"/>
    </row>
    <row r="27" spans="1:32" ht="15.15" customHeight="1" thickTop="1" thickBot="1" x14ac:dyDescent="0.3">
      <c r="A27" s="1474" t="s">
        <v>803</v>
      </c>
      <c r="B27" s="1474"/>
      <c r="C27" s="1474"/>
      <c r="D27" s="1474"/>
      <c r="E27" s="1474"/>
      <c r="F27" s="1474"/>
      <c r="G27" s="1474"/>
      <c r="H27" s="1474"/>
      <c r="I27" s="1474"/>
      <c r="J27" s="1474"/>
      <c r="K27" s="1475" t="s">
        <v>837</v>
      </c>
      <c r="L27" s="1475"/>
      <c r="M27" s="1475"/>
      <c r="N27" s="1475"/>
      <c r="O27" s="1475" t="s">
        <v>838</v>
      </c>
      <c r="P27" s="1475"/>
      <c r="Q27" s="1475"/>
      <c r="R27" s="1475"/>
      <c r="S27" s="1475"/>
      <c r="T27" s="1475"/>
      <c r="U27" s="1475" t="s">
        <v>839</v>
      </c>
      <c r="V27" s="1475"/>
      <c r="W27" s="1475"/>
      <c r="X27" s="1475"/>
      <c r="Y27" s="1475"/>
      <c r="Z27" s="1475"/>
      <c r="AA27" s="1476" t="s">
        <v>840</v>
      </c>
      <c r="AB27" s="1476"/>
      <c r="AC27" s="1476"/>
      <c r="AD27" s="1476"/>
      <c r="AE27" s="1476"/>
      <c r="AF27" s="1476"/>
    </row>
    <row r="28" spans="1:32" ht="25.35" customHeight="1" thickTop="1" thickBot="1" x14ac:dyDescent="0.3">
      <c r="A28" s="1474" t="s">
        <v>806</v>
      </c>
      <c r="B28" s="1474"/>
      <c r="C28" s="1474"/>
      <c r="D28" s="1474"/>
      <c r="E28" s="1474"/>
      <c r="F28" s="1474"/>
      <c r="G28" s="1474"/>
      <c r="H28" s="1474"/>
      <c r="I28" s="1474"/>
      <c r="J28" s="1474"/>
      <c r="K28" s="1475" t="s">
        <v>841</v>
      </c>
      <c r="L28" s="1475"/>
      <c r="M28" s="1475"/>
      <c r="N28" s="1475"/>
      <c r="O28" s="1475" t="s">
        <v>842</v>
      </c>
      <c r="P28" s="1475"/>
      <c r="Q28" s="1475"/>
      <c r="R28" s="1475"/>
      <c r="S28" s="1475"/>
      <c r="T28" s="1475"/>
      <c r="U28" s="1475" t="s">
        <v>843</v>
      </c>
      <c r="V28" s="1475"/>
      <c r="W28" s="1475"/>
      <c r="X28" s="1475"/>
      <c r="Y28" s="1475"/>
      <c r="Z28" s="1475"/>
      <c r="AA28" s="1476" t="s">
        <v>844</v>
      </c>
      <c r="AB28" s="1476"/>
      <c r="AC28" s="1476"/>
      <c r="AD28" s="1476"/>
      <c r="AE28" s="1476"/>
      <c r="AF28" s="1476"/>
    </row>
    <row r="29" spans="1:32" ht="15.15" customHeight="1" thickTop="1" thickBot="1" x14ac:dyDescent="0.3">
      <c r="A29" s="1474" t="s">
        <v>808</v>
      </c>
      <c r="B29" s="1474"/>
      <c r="C29" s="1474"/>
      <c r="D29" s="1474"/>
      <c r="E29" s="1474"/>
      <c r="F29" s="1474"/>
      <c r="G29" s="1474"/>
      <c r="H29" s="1474"/>
      <c r="I29" s="1474"/>
      <c r="J29" s="1474"/>
      <c r="K29" s="1475" t="s">
        <v>845</v>
      </c>
      <c r="L29" s="1475"/>
      <c r="M29" s="1475"/>
      <c r="N29" s="1475"/>
      <c r="O29" s="1475" t="s">
        <v>846</v>
      </c>
      <c r="P29" s="1475"/>
      <c r="Q29" s="1475"/>
      <c r="R29" s="1475"/>
      <c r="S29" s="1475"/>
      <c r="T29" s="1475"/>
      <c r="U29" s="1475" t="s">
        <v>847</v>
      </c>
      <c r="V29" s="1475"/>
      <c r="W29" s="1475"/>
      <c r="X29" s="1475"/>
      <c r="Y29" s="1475"/>
      <c r="Z29" s="1475"/>
      <c r="AA29" s="1476" t="s">
        <v>848</v>
      </c>
      <c r="AB29" s="1476"/>
      <c r="AC29" s="1476"/>
      <c r="AD29" s="1476"/>
      <c r="AE29" s="1476"/>
      <c r="AF29" s="1476"/>
    </row>
    <row r="30" spans="1:32" ht="15.15" customHeight="1" thickTop="1" thickBot="1" x14ac:dyDescent="0.3">
      <c r="A30" s="1474" t="s">
        <v>810</v>
      </c>
      <c r="B30" s="1474"/>
      <c r="C30" s="1474"/>
      <c r="D30" s="1474"/>
      <c r="E30" s="1474"/>
      <c r="F30" s="1474"/>
      <c r="G30" s="1474"/>
      <c r="H30" s="1474"/>
      <c r="I30" s="1474"/>
      <c r="J30" s="1474"/>
      <c r="K30" s="1475" t="s">
        <v>849</v>
      </c>
      <c r="L30" s="1475"/>
      <c r="M30" s="1475"/>
      <c r="N30" s="1475"/>
      <c r="O30" s="1475" t="s">
        <v>850</v>
      </c>
      <c r="P30" s="1475"/>
      <c r="Q30" s="1475"/>
      <c r="R30" s="1475"/>
      <c r="S30" s="1475"/>
      <c r="T30" s="1475"/>
      <c r="U30" s="1475" t="s">
        <v>851</v>
      </c>
      <c r="V30" s="1475"/>
      <c r="W30" s="1475"/>
      <c r="X30" s="1475"/>
      <c r="Y30" s="1475"/>
      <c r="Z30" s="1475"/>
      <c r="AA30" s="1476" t="s">
        <v>852</v>
      </c>
      <c r="AB30" s="1476"/>
      <c r="AC30" s="1476"/>
      <c r="AD30" s="1476"/>
      <c r="AE30" s="1476"/>
      <c r="AF30" s="1476"/>
    </row>
    <row r="31" spans="1:32" ht="25.35" customHeight="1" thickTop="1" thickBot="1" x14ac:dyDescent="0.3">
      <c r="A31" s="1474" t="s">
        <v>853</v>
      </c>
      <c r="B31" s="1474"/>
      <c r="C31" s="1474"/>
      <c r="D31" s="1474"/>
      <c r="E31" s="1474"/>
      <c r="F31" s="1474"/>
      <c r="G31" s="1474"/>
      <c r="H31" s="1474"/>
      <c r="I31" s="1474"/>
      <c r="J31" s="1474"/>
      <c r="K31" s="1475" t="s">
        <v>854</v>
      </c>
      <c r="L31" s="1475"/>
      <c r="M31" s="1475"/>
      <c r="N31" s="1475"/>
      <c r="O31" s="1475" t="s">
        <v>855</v>
      </c>
      <c r="P31" s="1475"/>
      <c r="Q31" s="1475"/>
      <c r="R31" s="1475"/>
      <c r="S31" s="1475"/>
      <c r="T31" s="1475"/>
      <c r="U31" s="1475" t="s">
        <v>856</v>
      </c>
      <c r="V31" s="1475"/>
      <c r="W31" s="1475"/>
      <c r="X31" s="1475"/>
      <c r="Y31" s="1475"/>
      <c r="Z31" s="1475"/>
      <c r="AA31" s="1476" t="s">
        <v>857</v>
      </c>
      <c r="AB31" s="1476"/>
      <c r="AC31" s="1476"/>
      <c r="AD31" s="1476"/>
      <c r="AE31" s="1476"/>
      <c r="AF31" s="1476"/>
    </row>
    <row r="32" spans="1:32" ht="15.15" customHeight="1" thickTop="1" thickBot="1" x14ac:dyDescent="0.3">
      <c r="A32" s="1474" t="s">
        <v>803</v>
      </c>
      <c r="B32" s="1474"/>
      <c r="C32" s="1474"/>
      <c r="D32" s="1474"/>
      <c r="E32" s="1474"/>
      <c r="F32" s="1474"/>
      <c r="G32" s="1474"/>
      <c r="H32" s="1474"/>
      <c r="I32" s="1474"/>
      <c r="J32" s="1474"/>
      <c r="K32" s="1475" t="s">
        <v>858</v>
      </c>
      <c r="L32" s="1475"/>
      <c r="M32" s="1475"/>
      <c r="N32" s="1475"/>
      <c r="O32" s="1475" t="s">
        <v>859</v>
      </c>
      <c r="P32" s="1475"/>
      <c r="Q32" s="1475"/>
      <c r="R32" s="1475"/>
      <c r="S32" s="1475"/>
      <c r="T32" s="1475"/>
      <c r="U32" s="1475" t="s">
        <v>860</v>
      </c>
      <c r="V32" s="1475"/>
      <c r="W32" s="1475"/>
      <c r="X32" s="1475"/>
      <c r="Y32" s="1475"/>
      <c r="Z32" s="1475"/>
      <c r="AA32" s="1476" t="s">
        <v>861</v>
      </c>
      <c r="AB32" s="1476"/>
      <c r="AC32" s="1476"/>
      <c r="AD32" s="1476"/>
      <c r="AE32" s="1476"/>
      <c r="AF32" s="1476"/>
    </row>
    <row r="33" spans="1:32" ht="25.35" customHeight="1" thickTop="1" thickBot="1" x14ac:dyDescent="0.3">
      <c r="A33" s="1474" t="s">
        <v>806</v>
      </c>
      <c r="B33" s="1474"/>
      <c r="C33" s="1474"/>
      <c r="D33" s="1474"/>
      <c r="E33" s="1474"/>
      <c r="F33" s="1474"/>
      <c r="G33" s="1474"/>
      <c r="H33" s="1474"/>
      <c r="I33" s="1474"/>
      <c r="J33" s="1474"/>
      <c r="K33" s="1475" t="s">
        <v>862</v>
      </c>
      <c r="L33" s="1475"/>
      <c r="M33" s="1475"/>
      <c r="N33" s="1475"/>
      <c r="O33" s="1475" t="s">
        <v>805</v>
      </c>
      <c r="P33" s="1475"/>
      <c r="Q33" s="1475"/>
      <c r="R33" s="1475"/>
      <c r="S33" s="1475"/>
      <c r="T33" s="1475"/>
      <c r="U33" s="1475" t="s">
        <v>805</v>
      </c>
      <c r="V33" s="1475"/>
      <c r="W33" s="1475"/>
      <c r="X33" s="1475"/>
      <c r="Y33" s="1475"/>
      <c r="Z33" s="1475"/>
      <c r="AA33" s="1476" t="s">
        <v>805</v>
      </c>
      <c r="AB33" s="1476"/>
      <c r="AC33" s="1476"/>
      <c r="AD33" s="1476"/>
      <c r="AE33" s="1476"/>
      <c r="AF33" s="1476"/>
    </row>
    <row r="34" spans="1:32" ht="15.15" customHeight="1" thickTop="1" thickBot="1" x14ac:dyDescent="0.3">
      <c r="A34" s="1474" t="s">
        <v>808</v>
      </c>
      <c r="B34" s="1474"/>
      <c r="C34" s="1474"/>
      <c r="D34" s="1474"/>
      <c r="E34" s="1474"/>
      <c r="F34" s="1474"/>
      <c r="G34" s="1474"/>
      <c r="H34" s="1474"/>
      <c r="I34" s="1474"/>
      <c r="J34" s="1474"/>
      <c r="K34" s="1475" t="s">
        <v>863</v>
      </c>
      <c r="L34" s="1475"/>
      <c r="M34" s="1475"/>
      <c r="N34" s="1475"/>
      <c r="O34" s="1475" t="s">
        <v>864</v>
      </c>
      <c r="P34" s="1475"/>
      <c r="Q34" s="1475"/>
      <c r="R34" s="1475"/>
      <c r="S34" s="1475"/>
      <c r="T34" s="1475"/>
      <c r="U34" s="1475" t="s">
        <v>865</v>
      </c>
      <c r="V34" s="1475"/>
      <c r="W34" s="1475"/>
      <c r="X34" s="1475"/>
      <c r="Y34" s="1475"/>
      <c r="Z34" s="1475"/>
      <c r="AA34" s="1476" t="s">
        <v>866</v>
      </c>
      <c r="AB34" s="1476"/>
      <c r="AC34" s="1476"/>
      <c r="AD34" s="1476"/>
      <c r="AE34" s="1476"/>
      <c r="AF34" s="1476"/>
    </row>
    <row r="35" spans="1:32" ht="15.15" customHeight="1" thickTop="1" thickBot="1" x14ac:dyDescent="0.3">
      <c r="A35" s="1474" t="s">
        <v>810</v>
      </c>
      <c r="B35" s="1474"/>
      <c r="C35" s="1474"/>
      <c r="D35" s="1474"/>
      <c r="E35" s="1474"/>
      <c r="F35" s="1474"/>
      <c r="G35" s="1474"/>
      <c r="H35" s="1474"/>
      <c r="I35" s="1474"/>
      <c r="J35" s="1474"/>
      <c r="K35" s="1475" t="s">
        <v>867</v>
      </c>
      <c r="L35" s="1475"/>
      <c r="M35" s="1475"/>
      <c r="N35" s="1475"/>
      <c r="O35" s="1475" t="s">
        <v>868</v>
      </c>
      <c r="P35" s="1475"/>
      <c r="Q35" s="1475"/>
      <c r="R35" s="1475"/>
      <c r="S35" s="1475"/>
      <c r="T35" s="1475"/>
      <c r="U35" s="1475" t="s">
        <v>869</v>
      </c>
      <c r="V35" s="1475"/>
      <c r="W35" s="1475"/>
      <c r="X35" s="1475"/>
      <c r="Y35" s="1475"/>
      <c r="Z35" s="1475"/>
      <c r="AA35" s="1476" t="s">
        <v>870</v>
      </c>
      <c r="AB35" s="1476"/>
      <c r="AC35" s="1476"/>
      <c r="AD35" s="1476"/>
      <c r="AE35" s="1476"/>
      <c r="AF35" s="1476"/>
    </row>
    <row r="36" spans="1:32" ht="15.15" customHeight="1" thickTop="1" thickBot="1" x14ac:dyDescent="0.3">
      <c r="A36" s="1474" t="s">
        <v>871</v>
      </c>
      <c r="B36" s="1474"/>
      <c r="C36" s="1474"/>
      <c r="D36" s="1474"/>
      <c r="E36" s="1474"/>
      <c r="F36" s="1474"/>
      <c r="G36" s="1474"/>
      <c r="H36" s="1474"/>
      <c r="I36" s="1474"/>
      <c r="J36" s="1474"/>
      <c r="K36" s="1475" t="s">
        <v>872</v>
      </c>
      <c r="L36" s="1475"/>
      <c r="M36" s="1475"/>
      <c r="N36" s="1475"/>
      <c r="O36" s="1475" t="s">
        <v>805</v>
      </c>
      <c r="P36" s="1475"/>
      <c r="Q36" s="1475"/>
      <c r="R36" s="1475"/>
      <c r="S36" s="1475"/>
      <c r="T36" s="1475"/>
      <c r="U36" s="1475" t="s">
        <v>805</v>
      </c>
      <c r="V36" s="1475"/>
      <c r="W36" s="1475"/>
      <c r="X36" s="1475"/>
      <c r="Y36" s="1475"/>
      <c r="Z36" s="1475"/>
      <c r="AA36" s="1476" t="s">
        <v>805</v>
      </c>
      <c r="AB36" s="1476"/>
      <c r="AC36" s="1476"/>
      <c r="AD36" s="1476"/>
      <c r="AE36" s="1476"/>
      <c r="AF36" s="1476"/>
    </row>
    <row r="37" spans="1:32" ht="15.15" customHeight="1" thickTop="1" thickBot="1" x14ac:dyDescent="0.3">
      <c r="A37" s="1474" t="s">
        <v>803</v>
      </c>
      <c r="B37" s="1474"/>
      <c r="C37" s="1474"/>
      <c r="D37" s="1474"/>
      <c r="E37" s="1474"/>
      <c r="F37" s="1474"/>
      <c r="G37" s="1474"/>
      <c r="H37" s="1474"/>
      <c r="I37" s="1474"/>
      <c r="J37" s="1474"/>
      <c r="K37" s="1475" t="s">
        <v>873</v>
      </c>
      <c r="L37" s="1475"/>
      <c r="M37" s="1475"/>
      <c r="N37" s="1475"/>
      <c r="O37" s="1475" t="s">
        <v>805</v>
      </c>
      <c r="P37" s="1475"/>
      <c r="Q37" s="1475"/>
      <c r="R37" s="1475"/>
      <c r="S37" s="1475"/>
      <c r="T37" s="1475"/>
      <c r="U37" s="1475" t="s">
        <v>805</v>
      </c>
      <c r="V37" s="1475"/>
      <c r="W37" s="1475"/>
      <c r="X37" s="1475"/>
      <c r="Y37" s="1475"/>
      <c r="Z37" s="1475"/>
      <c r="AA37" s="1476" t="s">
        <v>805</v>
      </c>
      <c r="AB37" s="1476"/>
      <c r="AC37" s="1476"/>
      <c r="AD37" s="1476"/>
      <c r="AE37" s="1476"/>
      <c r="AF37" s="1476"/>
    </row>
    <row r="38" spans="1:32" ht="25.35" customHeight="1" thickTop="1" thickBot="1" x14ac:dyDescent="0.3">
      <c r="A38" s="1474" t="s">
        <v>806</v>
      </c>
      <c r="B38" s="1474"/>
      <c r="C38" s="1474"/>
      <c r="D38" s="1474"/>
      <c r="E38" s="1474"/>
      <c r="F38" s="1474"/>
      <c r="G38" s="1474"/>
      <c r="H38" s="1474"/>
      <c r="I38" s="1474"/>
      <c r="J38" s="1474"/>
      <c r="K38" s="1475" t="s">
        <v>874</v>
      </c>
      <c r="L38" s="1475"/>
      <c r="M38" s="1475"/>
      <c r="N38" s="1475"/>
      <c r="O38" s="1475" t="s">
        <v>805</v>
      </c>
      <c r="P38" s="1475"/>
      <c r="Q38" s="1475"/>
      <c r="R38" s="1475"/>
      <c r="S38" s="1475"/>
      <c r="T38" s="1475"/>
      <c r="U38" s="1475" t="s">
        <v>805</v>
      </c>
      <c r="V38" s="1475"/>
      <c r="W38" s="1475"/>
      <c r="X38" s="1475"/>
      <c r="Y38" s="1475"/>
      <c r="Z38" s="1475"/>
      <c r="AA38" s="1476" t="s">
        <v>805</v>
      </c>
      <c r="AB38" s="1476"/>
      <c r="AC38" s="1476"/>
      <c r="AD38" s="1476"/>
      <c r="AE38" s="1476"/>
      <c r="AF38" s="1476"/>
    </row>
    <row r="39" spans="1:32" ht="15.15" customHeight="1" thickTop="1" thickBot="1" x14ac:dyDescent="0.3">
      <c r="A39" s="1474" t="s">
        <v>808</v>
      </c>
      <c r="B39" s="1474"/>
      <c r="C39" s="1474"/>
      <c r="D39" s="1474"/>
      <c r="E39" s="1474"/>
      <c r="F39" s="1474"/>
      <c r="G39" s="1474"/>
      <c r="H39" s="1474"/>
      <c r="I39" s="1474"/>
      <c r="J39" s="1474"/>
      <c r="K39" s="1475" t="s">
        <v>875</v>
      </c>
      <c r="L39" s="1475"/>
      <c r="M39" s="1475"/>
      <c r="N39" s="1475"/>
      <c r="O39" s="1475" t="s">
        <v>805</v>
      </c>
      <c r="P39" s="1475"/>
      <c r="Q39" s="1475"/>
      <c r="R39" s="1475"/>
      <c r="S39" s="1475"/>
      <c r="T39" s="1475"/>
      <c r="U39" s="1475" t="s">
        <v>805</v>
      </c>
      <c r="V39" s="1475"/>
      <c r="W39" s="1475"/>
      <c r="X39" s="1475"/>
      <c r="Y39" s="1475"/>
      <c r="Z39" s="1475"/>
      <c r="AA39" s="1476" t="s">
        <v>805</v>
      </c>
      <c r="AB39" s="1476"/>
      <c r="AC39" s="1476"/>
      <c r="AD39" s="1476"/>
      <c r="AE39" s="1476"/>
      <c r="AF39" s="1476"/>
    </row>
    <row r="40" spans="1:32" ht="15.15" customHeight="1" thickTop="1" thickBot="1" x14ac:dyDescent="0.3">
      <c r="A40" s="1474" t="s">
        <v>810</v>
      </c>
      <c r="B40" s="1474"/>
      <c r="C40" s="1474"/>
      <c r="D40" s="1474"/>
      <c r="E40" s="1474"/>
      <c r="F40" s="1474"/>
      <c r="G40" s="1474"/>
      <c r="H40" s="1474"/>
      <c r="I40" s="1474"/>
      <c r="J40" s="1474"/>
      <c r="K40" s="1475" t="s">
        <v>876</v>
      </c>
      <c r="L40" s="1475"/>
      <c r="M40" s="1475"/>
      <c r="N40" s="1475"/>
      <c r="O40" s="1475" t="s">
        <v>805</v>
      </c>
      <c r="P40" s="1475"/>
      <c r="Q40" s="1475"/>
      <c r="R40" s="1475"/>
      <c r="S40" s="1475"/>
      <c r="T40" s="1475"/>
      <c r="U40" s="1475" t="s">
        <v>805</v>
      </c>
      <c r="V40" s="1475"/>
      <c r="W40" s="1475"/>
      <c r="X40" s="1475"/>
      <c r="Y40" s="1475"/>
      <c r="Z40" s="1475"/>
      <c r="AA40" s="1476" t="s">
        <v>805</v>
      </c>
      <c r="AB40" s="1476"/>
      <c r="AC40" s="1476"/>
      <c r="AD40" s="1476"/>
      <c r="AE40" s="1476"/>
      <c r="AF40" s="1476"/>
    </row>
    <row r="41" spans="1:32" ht="15.15" customHeight="1" thickTop="1" thickBot="1" x14ac:dyDescent="0.3">
      <c r="A41" s="1474" t="s">
        <v>877</v>
      </c>
      <c r="B41" s="1474"/>
      <c r="C41" s="1474"/>
      <c r="D41" s="1474"/>
      <c r="E41" s="1474"/>
      <c r="F41" s="1474"/>
      <c r="G41" s="1474"/>
      <c r="H41" s="1474"/>
      <c r="I41" s="1474"/>
      <c r="J41" s="1474"/>
      <c r="K41" s="1475" t="s">
        <v>878</v>
      </c>
      <c r="L41" s="1475"/>
      <c r="M41" s="1475"/>
      <c r="N41" s="1475"/>
      <c r="O41" s="1475" t="s">
        <v>879</v>
      </c>
      <c r="P41" s="1475"/>
      <c r="Q41" s="1475"/>
      <c r="R41" s="1475"/>
      <c r="S41" s="1475"/>
      <c r="T41" s="1475"/>
      <c r="U41" s="1475" t="s">
        <v>880</v>
      </c>
      <c r="V41" s="1475"/>
      <c r="W41" s="1475"/>
      <c r="X41" s="1475"/>
      <c r="Y41" s="1475"/>
      <c r="Z41" s="1475"/>
      <c r="AA41" s="1476" t="s">
        <v>881</v>
      </c>
      <c r="AB41" s="1476"/>
      <c r="AC41" s="1476"/>
      <c r="AD41" s="1476"/>
      <c r="AE41" s="1476"/>
      <c r="AF41" s="1476"/>
    </row>
    <row r="42" spans="1:32" ht="15.15" customHeight="1" thickTop="1" thickBot="1" x14ac:dyDescent="0.3">
      <c r="A42" s="1474" t="s">
        <v>803</v>
      </c>
      <c r="B42" s="1474"/>
      <c r="C42" s="1474"/>
      <c r="D42" s="1474"/>
      <c r="E42" s="1474"/>
      <c r="F42" s="1474"/>
      <c r="G42" s="1474"/>
      <c r="H42" s="1474"/>
      <c r="I42" s="1474"/>
      <c r="J42" s="1474"/>
      <c r="K42" s="1475" t="s">
        <v>882</v>
      </c>
      <c r="L42" s="1475"/>
      <c r="M42" s="1475"/>
      <c r="N42" s="1475"/>
      <c r="O42" s="1475" t="s">
        <v>805</v>
      </c>
      <c r="P42" s="1475"/>
      <c r="Q42" s="1475"/>
      <c r="R42" s="1475"/>
      <c r="S42" s="1475"/>
      <c r="T42" s="1475"/>
      <c r="U42" s="1475" t="s">
        <v>805</v>
      </c>
      <c r="V42" s="1475"/>
      <c r="W42" s="1475"/>
      <c r="X42" s="1475"/>
      <c r="Y42" s="1475"/>
      <c r="Z42" s="1475"/>
      <c r="AA42" s="1476" t="s">
        <v>805</v>
      </c>
      <c r="AB42" s="1476"/>
      <c r="AC42" s="1476"/>
      <c r="AD42" s="1476"/>
      <c r="AE42" s="1476"/>
      <c r="AF42" s="1476"/>
    </row>
    <row r="43" spans="1:32" ht="25.35" customHeight="1" thickTop="1" thickBot="1" x14ac:dyDescent="0.3">
      <c r="A43" s="1474" t="s">
        <v>806</v>
      </c>
      <c r="B43" s="1474"/>
      <c r="C43" s="1474"/>
      <c r="D43" s="1474"/>
      <c r="E43" s="1474"/>
      <c r="F43" s="1474"/>
      <c r="G43" s="1474"/>
      <c r="H43" s="1474"/>
      <c r="I43" s="1474"/>
      <c r="J43" s="1474"/>
      <c r="K43" s="1475" t="s">
        <v>883</v>
      </c>
      <c r="L43" s="1475"/>
      <c r="M43" s="1475"/>
      <c r="N43" s="1475"/>
      <c r="O43" s="1475" t="s">
        <v>805</v>
      </c>
      <c r="P43" s="1475"/>
      <c r="Q43" s="1475"/>
      <c r="R43" s="1475"/>
      <c r="S43" s="1475"/>
      <c r="T43" s="1475"/>
      <c r="U43" s="1475" t="s">
        <v>805</v>
      </c>
      <c r="V43" s="1475"/>
      <c r="W43" s="1475"/>
      <c r="X43" s="1475"/>
      <c r="Y43" s="1475"/>
      <c r="Z43" s="1475"/>
      <c r="AA43" s="1476" t="s">
        <v>805</v>
      </c>
      <c r="AB43" s="1476"/>
      <c r="AC43" s="1476"/>
      <c r="AD43" s="1476"/>
      <c r="AE43" s="1476"/>
      <c r="AF43" s="1476"/>
    </row>
    <row r="44" spans="1:32" ht="15.15" customHeight="1" thickTop="1" thickBot="1" x14ac:dyDescent="0.3">
      <c r="A44" s="1474" t="s">
        <v>808</v>
      </c>
      <c r="B44" s="1474"/>
      <c r="C44" s="1474"/>
      <c r="D44" s="1474"/>
      <c r="E44" s="1474"/>
      <c r="F44" s="1474"/>
      <c r="G44" s="1474"/>
      <c r="H44" s="1474"/>
      <c r="I44" s="1474"/>
      <c r="J44" s="1474"/>
      <c r="K44" s="1475" t="s">
        <v>884</v>
      </c>
      <c r="L44" s="1475"/>
      <c r="M44" s="1475"/>
      <c r="N44" s="1475"/>
      <c r="O44" s="1475" t="s">
        <v>805</v>
      </c>
      <c r="P44" s="1475"/>
      <c r="Q44" s="1475"/>
      <c r="R44" s="1475"/>
      <c r="S44" s="1475"/>
      <c r="T44" s="1475"/>
      <c r="U44" s="1475" t="s">
        <v>805</v>
      </c>
      <c r="V44" s="1475"/>
      <c r="W44" s="1475"/>
      <c r="X44" s="1475"/>
      <c r="Y44" s="1475"/>
      <c r="Z44" s="1475"/>
      <c r="AA44" s="1476" t="s">
        <v>805</v>
      </c>
      <c r="AB44" s="1476"/>
      <c r="AC44" s="1476"/>
      <c r="AD44" s="1476"/>
      <c r="AE44" s="1476"/>
      <c r="AF44" s="1476"/>
    </row>
    <row r="45" spans="1:32" ht="15.15" customHeight="1" thickTop="1" thickBot="1" x14ac:dyDescent="0.3">
      <c r="A45" s="1474" t="s">
        <v>810</v>
      </c>
      <c r="B45" s="1474"/>
      <c r="C45" s="1474"/>
      <c r="D45" s="1474"/>
      <c r="E45" s="1474"/>
      <c r="F45" s="1474"/>
      <c r="G45" s="1474"/>
      <c r="H45" s="1474"/>
      <c r="I45" s="1474"/>
      <c r="J45" s="1474"/>
      <c r="K45" s="1475" t="s">
        <v>885</v>
      </c>
      <c r="L45" s="1475"/>
      <c r="M45" s="1475"/>
      <c r="N45" s="1475"/>
      <c r="O45" s="1475" t="s">
        <v>879</v>
      </c>
      <c r="P45" s="1475"/>
      <c r="Q45" s="1475"/>
      <c r="R45" s="1475"/>
      <c r="S45" s="1475"/>
      <c r="T45" s="1475"/>
      <c r="U45" s="1475" t="s">
        <v>880</v>
      </c>
      <c r="V45" s="1475"/>
      <c r="W45" s="1475"/>
      <c r="X45" s="1475"/>
      <c r="Y45" s="1475"/>
      <c r="Z45" s="1475"/>
      <c r="AA45" s="1476" t="s">
        <v>881</v>
      </c>
      <c r="AB45" s="1476"/>
      <c r="AC45" s="1476"/>
      <c r="AD45" s="1476"/>
      <c r="AE45" s="1476"/>
      <c r="AF45" s="1476"/>
    </row>
    <row r="46" spans="1:32" ht="15.15" customHeight="1" thickTop="1" thickBot="1" x14ac:dyDescent="0.3">
      <c r="A46" s="1474" t="s">
        <v>886</v>
      </c>
      <c r="B46" s="1474"/>
      <c r="C46" s="1474"/>
      <c r="D46" s="1474"/>
      <c r="E46" s="1474"/>
      <c r="F46" s="1474"/>
      <c r="G46" s="1474"/>
      <c r="H46" s="1474"/>
      <c r="I46" s="1474"/>
      <c r="J46" s="1474"/>
      <c r="K46" s="1475" t="s">
        <v>887</v>
      </c>
      <c r="L46" s="1475"/>
      <c r="M46" s="1475"/>
      <c r="N46" s="1475"/>
      <c r="O46" s="1475" t="s">
        <v>805</v>
      </c>
      <c r="P46" s="1475"/>
      <c r="Q46" s="1475"/>
      <c r="R46" s="1475"/>
      <c r="S46" s="1475"/>
      <c r="T46" s="1475"/>
      <c r="U46" s="1475" t="s">
        <v>805</v>
      </c>
      <c r="V46" s="1475"/>
      <c r="W46" s="1475"/>
      <c r="X46" s="1475"/>
      <c r="Y46" s="1475"/>
      <c r="Z46" s="1475"/>
      <c r="AA46" s="1476" t="s">
        <v>805</v>
      </c>
      <c r="AB46" s="1476"/>
      <c r="AC46" s="1476"/>
      <c r="AD46" s="1476"/>
      <c r="AE46" s="1476"/>
      <c r="AF46" s="1476"/>
    </row>
    <row r="47" spans="1:32" ht="15.15" customHeight="1" thickTop="1" thickBot="1" x14ac:dyDescent="0.3">
      <c r="A47" s="1474" t="s">
        <v>803</v>
      </c>
      <c r="B47" s="1474"/>
      <c r="C47" s="1474"/>
      <c r="D47" s="1474"/>
      <c r="E47" s="1474"/>
      <c r="F47" s="1474"/>
      <c r="G47" s="1474"/>
      <c r="H47" s="1474"/>
      <c r="I47" s="1474"/>
      <c r="J47" s="1474"/>
      <c r="K47" s="1475" t="s">
        <v>888</v>
      </c>
      <c r="L47" s="1475"/>
      <c r="M47" s="1475"/>
      <c r="N47" s="1475"/>
      <c r="O47" s="1475" t="s">
        <v>805</v>
      </c>
      <c r="P47" s="1475"/>
      <c r="Q47" s="1475"/>
      <c r="R47" s="1475"/>
      <c r="S47" s="1475"/>
      <c r="T47" s="1475"/>
      <c r="U47" s="1475" t="s">
        <v>805</v>
      </c>
      <c r="V47" s="1475"/>
      <c r="W47" s="1475"/>
      <c r="X47" s="1475"/>
      <c r="Y47" s="1475"/>
      <c r="Z47" s="1475"/>
      <c r="AA47" s="1476" t="s">
        <v>805</v>
      </c>
      <c r="AB47" s="1476"/>
      <c r="AC47" s="1476"/>
      <c r="AD47" s="1476"/>
      <c r="AE47" s="1476"/>
      <c r="AF47" s="1476"/>
    </row>
    <row r="48" spans="1:32" ht="25.35" customHeight="1" thickTop="1" thickBot="1" x14ac:dyDescent="0.3">
      <c r="A48" s="1474" t="s">
        <v>806</v>
      </c>
      <c r="B48" s="1474"/>
      <c r="C48" s="1474"/>
      <c r="D48" s="1474"/>
      <c r="E48" s="1474"/>
      <c r="F48" s="1474"/>
      <c r="G48" s="1474"/>
      <c r="H48" s="1474"/>
      <c r="I48" s="1474"/>
      <c r="J48" s="1474"/>
      <c r="K48" s="1475" t="s">
        <v>889</v>
      </c>
      <c r="L48" s="1475"/>
      <c r="M48" s="1475"/>
      <c r="N48" s="1475"/>
      <c r="O48" s="1475" t="s">
        <v>805</v>
      </c>
      <c r="P48" s="1475"/>
      <c r="Q48" s="1475"/>
      <c r="R48" s="1475"/>
      <c r="S48" s="1475"/>
      <c r="T48" s="1475"/>
      <c r="U48" s="1475" t="s">
        <v>805</v>
      </c>
      <c r="V48" s="1475"/>
      <c r="W48" s="1475"/>
      <c r="X48" s="1475"/>
      <c r="Y48" s="1475"/>
      <c r="Z48" s="1475"/>
      <c r="AA48" s="1476" t="s">
        <v>805</v>
      </c>
      <c r="AB48" s="1476"/>
      <c r="AC48" s="1476"/>
      <c r="AD48" s="1476"/>
      <c r="AE48" s="1476"/>
      <c r="AF48" s="1476"/>
    </row>
    <row r="49" spans="1:32" ht="15.15" customHeight="1" thickTop="1" thickBot="1" x14ac:dyDescent="0.3">
      <c r="A49" s="1474" t="s">
        <v>808</v>
      </c>
      <c r="B49" s="1474"/>
      <c r="C49" s="1474"/>
      <c r="D49" s="1474"/>
      <c r="E49" s="1474"/>
      <c r="F49" s="1474"/>
      <c r="G49" s="1474"/>
      <c r="H49" s="1474"/>
      <c r="I49" s="1474"/>
      <c r="J49" s="1474"/>
      <c r="K49" s="1475" t="s">
        <v>890</v>
      </c>
      <c r="L49" s="1475"/>
      <c r="M49" s="1475"/>
      <c r="N49" s="1475"/>
      <c r="O49" s="1475" t="s">
        <v>805</v>
      </c>
      <c r="P49" s="1475"/>
      <c r="Q49" s="1475"/>
      <c r="R49" s="1475"/>
      <c r="S49" s="1475"/>
      <c r="T49" s="1475"/>
      <c r="U49" s="1475" t="s">
        <v>805</v>
      </c>
      <c r="V49" s="1475"/>
      <c r="W49" s="1475"/>
      <c r="X49" s="1475"/>
      <c r="Y49" s="1475"/>
      <c r="Z49" s="1475"/>
      <c r="AA49" s="1476" t="s">
        <v>805</v>
      </c>
      <c r="AB49" s="1476"/>
      <c r="AC49" s="1476"/>
      <c r="AD49" s="1476"/>
      <c r="AE49" s="1476"/>
      <c r="AF49" s="1476"/>
    </row>
    <row r="50" spans="1:32" ht="15.15" customHeight="1" thickTop="1" thickBot="1" x14ac:dyDescent="0.3">
      <c r="A50" s="1474" t="s">
        <v>810</v>
      </c>
      <c r="B50" s="1474"/>
      <c r="C50" s="1474"/>
      <c r="D50" s="1474"/>
      <c r="E50" s="1474"/>
      <c r="F50" s="1474"/>
      <c r="G50" s="1474"/>
      <c r="H50" s="1474"/>
      <c r="I50" s="1474"/>
      <c r="J50" s="1474"/>
      <c r="K50" s="1475" t="s">
        <v>891</v>
      </c>
      <c r="L50" s="1475"/>
      <c r="M50" s="1475"/>
      <c r="N50" s="1475"/>
      <c r="O50" s="1475" t="s">
        <v>805</v>
      </c>
      <c r="P50" s="1475"/>
      <c r="Q50" s="1475"/>
      <c r="R50" s="1475"/>
      <c r="S50" s="1475"/>
      <c r="T50" s="1475"/>
      <c r="U50" s="1475" t="s">
        <v>805</v>
      </c>
      <c r="V50" s="1475"/>
      <c r="W50" s="1475"/>
      <c r="X50" s="1475"/>
      <c r="Y50" s="1475"/>
      <c r="Z50" s="1475"/>
      <c r="AA50" s="1476" t="s">
        <v>805</v>
      </c>
      <c r="AB50" s="1476"/>
      <c r="AC50" s="1476"/>
      <c r="AD50" s="1476"/>
      <c r="AE50" s="1476"/>
      <c r="AF50" s="1476"/>
    </row>
    <row r="51" spans="1:32" ht="15.15" customHeight="1" thickTop="1" thickBot="1" x14ac:dyDescent="0.3">
      <c r="A51" s="1474" t="s">
        <v>892</v>
      </c>
      <c r="B51" s="1474"/>
      <c r="C51" s="1474"/>
      <c r="D51" s="1474"/>
      <c r="E51" s="1474"/>
      <c r="F51" s="1474"/>
      <c r="G51" s="1474"/>
      <c r="H51" s="1474"/>
      <c r="I51" s="1474"/>
      <c r="J51" s="1474"/>
      <c r="K51" s="1475" t="s">
        <v>893</v>
      </c>
      <c r="L51" s="1475"/>
      <c r="M51" s="1475"/>
      <c r="N51" s="1475"/>
      <c r="O51" s="1475" t="s">
        <v>894</v>
      </c>
      <c r="P51" s="1475"/>
      <c r="Q51" s="1475"/>
      <c r="R51" s="1475"/>
      <c r="S51" s="1475"/>
      <c r="T51" s="1475"/>
      <c r="U51" s="1475" t="s">
        <v>894</v>
      </c>
      <c r="V51" s="1475"/>
      <c r="W51" s="1475"/>
      <c r="X51" s="1475"/>
      <c r="Y51" s="1475"/>
      <c r="Z51" s="1475"/>
      <c r="AA51" s="1476" t="s">
        <v>895</v>
      </c>
      <c r="AB51" s="1476"/>
      <c r="AC51" s="1476"/>
      <c r="AD51" s="1476"/>
      <c r="AE51" s="1476"/>
      <c r="AF51" s="1476"/>
    </row>
    <row r="52" spans="1:32" ht="15.15" customHeight="1" thickTop="1" thickBot="1" x14ac:dyDescent="0.3">
      <c r="A52" s="1474" t="s">
        <v>896</v>
      </c>
      <c r="B52" s="1474"/>
      <c r="C52" s="1474"/>
      <c r="D52" s="1474"/>
      <c r="E52" s="1474"/>
      <c r="F52" s="1474"/>
      <c r="G52" s="1474"/>
      <c r="H52" s="1474"/>
      <c r="I52" s="1474"/>
      <c r="J52" s="1474"/>
      <c r="K52" s="1475" t="s">
        <v>897</v>
      </c>
      <c r="L52" s="1475"/>
      <c r="M52" s="1475"/>
      <c r="N52" s="1475"/>
      <c r="O52" s="1475" t="s">
        <v>894</v>
      </c>
      <c r="P52" s="1475"/>
      <c r="Q52" s="1475"/>
      <c r="R52" s="1475"/>
      <c r="S52" s="1475"/>
      <c r="T52" s="1475"/>
      <c r="U52" s="1475" t="s">
        <v>894</v>
      </c>
      <c r="V52" s="1475"/>
      <c r="W52" s="1475"/>
      <c r="X52" s="1475"/>
      <c r="Y52" s="1475"/>
      <c r="Z52" s="1475"/>
      <c r="AA52" s="1476" t="s">
        <v>895</v>
      </c>
      <c r="AB52" s="1476"/>
      <c r="AC52" s="1476"/>
      <c r="AD52" s="1476"/>
      <c r="AE52" s="1476"/>
      <c r="AF52" s="1476"/>
    </row>
    <row r="53" spans="1:32" ht="15.15" customHeight="1" thickTop="1" thickBot="1" x14ac:dyDescent="0.3">
      <c r="A53" s="1474" t="s">
        <v>803</v>
      </c>
      <c r="B53" s="1474"/>
      <c r="C53" s="1474"/>
      <c r="D53" s="1474"/>
      <c r="E53" s="1474"/>
      <c r="F53" s="1474"/>
      <c r="G53" s="1474"/>
      <c r="H53" s="1474"/>
      <c r="I53" s="1474"/>
      <c r="J53" s="1474"/>
      <c r="K53" s="1475" t="s">
        <v>898</v>
      </c>
      <c r="L53" s="1475"/>
      <c r="M53" s="1475"/>
      <c r="N53" s="1475"/>
      <c r="O53" s="1475" t="s">
        <v>805</v>
      </c>
      <c r="P53" s="1475"/>
      <c r="Q53" s="1475"/>
      <c r="R53" s="1475"/>
      <c r="S53" s="1475"/>
      <c r="T53" s="1475"/>
      <c r="U53" s="1475" t="s">
        <v>805</v>
      </c>
      <c r="V53" s="1475"/>
      <c r="W53" s="1475"/>
      <c r="X53" s="1475"/>
      <c r="Y53" s="1475"/>
      <c r="Z53" s="1475"/>
      <c r="AA53" s="1476" t="s">
        <v>805</v>
      </c>
      <c r="AB53" s="1476"/>
      <c r="AC53" s="1476"/>
      <c r="AD53" s="1476"/>
      <c r="AE53" s="1476"/>
      <c r="AF53" s="1476"/>
    </row>
    <row r="54" spans="1:32" ht="25.35" customHeight="1" thickTop="1" thickBot="1" x14ac:dyDescent="0.3">
      <c r="A54" s="1474" t="s">
        <v>806</v>
      </c>
      <c r="B54" s="1474"/>
      <c r="C54" s="1474"/>
      <c r="D54" s="1474"/>
      <c r="E54" s="1474"/>
      <c r="F54" s="1474"/>
      <c r="G54" s="1474"/>
      <c r="H54" s="1474"/>
      <c r="I54" s="1474"/>
      <c r="J54" s="1474"/>
      <c r="K54" s="1475" t="s">
        <v>899</v>
      </c>
      <c r="L54" s="1475"/>
      <c r="M54" s="1475"/>
      <c r="N54" s="1475"/>
      <c r="O54" s="1475" t="s">
        <v>805</v>
      </c>
      <c r="P54" s="1475"/>
      <c r="Q54" s="1475"/>
      <c r="R54" s="1475"/>
      <c r="S54" s="1475"/>
      <c r="T54" s="1475"/>
      <c r="U54" s="1475" t="s">
        <v>805</v>
      </c>
      <c r="V54" s="1475"/>
      <c r="W54" s="1475"/>
      <c r="X54" s="1475"/>
      <c r="Y54" s="1475"/>
      <c r="Z54" s="1475"/>
      <c r="AA54" s="1476" t="s">
        <v>805</v>
      </c>
      <c r="AB54" s="1476"/>
      <c r="AC54" s="1476"/>
      <c r="AD54" s="1476"/>
      <c r="AE54" s="1476"/>
      <c r="AF54" s="1476"/>
    </row>
    <row r="55" spans="1:32" ht="15.15" customHeight="1" thickTop="1" thickBot="1" x14ac:dyDescent="0.3">
      <c r="A55" s="1474" t="s">
        <v>808</v>
      </c>
      <c r="B55" s="1474"/>
      <c r="C55" s="1474"/>
      <c r="D55" s="1474"/>
      <c r="E55" s="1474"/>
      <c r="F55" s="1474"/>
      <c r="G55" s="1474"/>
      <c r="H55" s="1474"/>
      <c r="I55" s="1474"/>
      <c r="J55" s="1474"/>
      <c r="K55" s="1475" t="s">
        <v>900</v>
      </c>
      <c r="L55" s="1475"/>
      <c r="M55" s="1475"/>
      <c r="N55" s="1475"/>
      <c r="O55" s="1475" t="s">
        <v>805</v>
      </c>
      <c r="P55" s="1475"/>
      <c r="Q55" s="1475"/>
      <c r="R55" s="1475"/>
      <c r="S55" s="1475"/>
      <c r="T55" s="1475"/>
      <c r="U55" s="1475" t="s">
        <v>805</v>
      </c>
      <c r="V55" s="1475"/>
      <c r="W55" s="1475"/>
      <c r="X55" s="1475"/>
      <c r="Y55" s="1475"/>
      <c r="Z55" s="1475"/>
      <c r="AA55" s="1476" t="s">
        <v>805</v>
      </c>
      <c r="AB55" s="1476"/>
      <c r="AC55" s="1476"/>
      <c r="AD55" s="1476"/>
      <c r="AE55" s="1476"/>
      <c r="AF55" s="1476"/>
    </row>
    <row r="56" spans="1:32" ht="15.15" customHeight="1" thickTop="1" thickBot="1" x14ac:dyDescent="0.3">
      <c r="A56" s="1474" t="s">
        <v>810</v>
      </c>
      <c r="B56" s="1474"/>
      <c r="C56" s="1474"/>
      <c r="D56" s="1474"/>
      <c r="E56" s="1474"/>
      <c r="F56" s="1474"/>
      <c r="G56" s="1474"/>
      <c r="H56" s="1474"/>
      <c r="I56" s="1474"/>
      <c r="J56" s="1474"/>
      <c r="K56" s="1475" t="s">
        <v>901</v>
      </c>
      <c r="L56" s="1475"/>
      <c r="M56" s="1475"/>
      <c r="N56" s="1475"/>
      <c r="O56" s="1475" t="s">
        <v>894</v>
      </c>
      <c r="P56" s="1475"/>
      <c r="Q56" s="1475"/>
      <c r="R56" s="1475"/>
      <c r="S56" s="1475"/>
      <c r="T56" s="1475"/>
      <c r="U56" s="1475" t="s">
        <v>894</v>
      </c>
      <c r="V56" s="1475"/>
      <c r="W56" s="1475"/>
      <c r="X56" s="1475"/>
      <c r="Y56" s="1475"/>
      <c r="Z56" s="1475"/>
      <c r="AA56" s="1476" t="s">
        <v>895</v>
      </c>
      <c r="AB56" s="1476"/>
      <c r="AC56" s="1476"/>
      <c r="AD56" s="1476"/>
      <c r="AE56" s="1476"/>
      <c r="AF56" s="1476"/>
    </row>
    <row r="57" spans="1:32" ht="25.35" customHeight="1" thickTop="1" thickBot="1" x14ac:dyDescent="0.3">
      <c r="A57" s="1474" t="s">
        <v>902</v>
      </c>
      <c r="B57" s="1474"/>
      <c r="C57" s="1474"/>
      <c r="D57" s="1474"/>
      <c r="E57" s="1474"/>
      <c r="F57" s="1474"/>
      <c r="G57" s="1474"/>
      <c r="H57" s="1474"/>
      <c r="I57" s="1474"/>
      <c r="J57" s="1474"/>
      <c r="K57" s="1475" t="s">
        <v>903</v>
      </c>
      <c r="L57" s="1475"/>
      <c r="M57" s="1475"/>
      <c r="N57" s="1475"/>
      <c r="O57" s="1475" t="s">
        <v>805</v>
      </c>
      <c r="P57" s="1475"/>
      <c r="Q57" s="1475"/>
      <c r="R57" s="1475"/>
      <c r="S57" s="1475"/>
      <c r="T57" s="1475"/>
      <c r="U57" s="1475" t="s">
        <v>805</v>
      </c>
      <c r="V57" s="1475"/>
      <c r="W57" s="1475"/>
      <c r="X57" s="1475"/>
      <c r="Y57" s="1475"/>
      <c r="Z57" s="1475"/>
      <c r="AA57" s="1476" t="s">
        <v>805</v>
      </c>
      <c r="AB57" s="1476"/>
      <c r="AC57" s="1476"/>
      <c r="AD57" s="1476"/>
      <c r="AE57" s="1476"/>
      <c r="AF57" s="1476"/>
    </row>
    <row r="58" spans="1:32" ht="15.15" customHeight="1" thickTop="1" thickBot="1" x14ac:dyDescent="0.3">
      <c r="A58" s="1474" t="s">
        <v>803</v>
      </c>
      <c r="B58" s="1474"/>
      <c r="C58" s="1474"/>
      <c r="D58" s="1474"/>
      <c r="E58" s="1474"/>
      <c r="F58" s="1474"/>
      <c r="G58" s="1474"/>
      <c r="H58" s="1474"/>
      <c r="I58" s="1474"/>
      <c r="J58" s="1474"/>
      <c r="K58" s="1475" t="s">
        <v>904</v>
      </c>
      <c r="L58" s="1475"/>
      <c r="M58" s="1475"/>
      <c r="N58" s="1475"/>
      <c r="O58" s="1475" t="s">
        <v>805</v>
      </c>
      <c r="P58" s="1475"/>
      <c r="Q58" s="1475"/>
      <c r="R58" s="1475"/>
      <c r="S58" s="1475"/>
      <c r="T58" s="1475"/>
      <c r="U58" s="1475" t="s">
        <v>805</v>
      </c>
      <c r="V58" s="1475"/>
      <c r="W58" s="1475"/>
      <c r="X58" s="1475"/>
      <c r="Y58" s="1475"/>
      <c r="Z58" s="1475"/>
      <c r="AA58" s="1476" t="s">
        <v>805</v>
      </c>
      <c r="AB58" s="1476"/>
      <c r="AC58" s="1476"/>
      <c r="AD58" s="1476"/>
      <c r="AE58" s="1476"/>
      <c r="AF58" s="1476"/>
    </row>
    <row r="59" spans="1:32" ht="25.35" customHeight="1" thickTop="1" thickBot="1" x14ac:dyDescent="0.3">
      <c r="A59" s="1474" t="s">
        <v>806</v>
      </c>
      <c r="B59" s="1474"/>
      <c r="C59" s="1474"/>
      <c r="D59" s="1474"/>
      <c r="E59" s="1474"/>
      <c r="F59" s="1474"/>
      <c r="G59" s="1474"/>
      <c r="H59" s="1474"/>
      <c r="I59" s="1474"/>
      <c r="J59" s="1474"/>
      <c r="K59" s="1475" t="s">
        <v>905</v>
      </c>
      <c r="L59" s="1475"/>
      <c r="M59" s="1475"/>
      <c r="N59" s="1475"/>
      <c r="O59" s="1475" t="s">
        <v>805</v>
      </c>
      <c r="P59" s="1475"/>
      <c r="Q59" s="1475"/>
      <c r="R59" s="1475"/>
      <c r="S59" s="1475"/>
      <c r="T59" s="1475"/>
      <c r="U59" s="1475" t="s">
        <v>805</v>
      </c>
      <c r="V59" s="1475"/>
      <c r="W59" s="1475"/>
      <c r="X59" s="1475"/>
      <c r="Y59" s="1475"/>
      <c r="Z59" s="1475"/>
      <c r="AA59" s="1476" t="s">
        <v>805</v>
      </c>
      <c r="AB59" s="1476"/>
      <c r="AC59" s="1476"/>
      <c r="AD59" s="1476"/>
      <c r="AE59" s="1476"/>
      <c r="AF59" s="1476"/>
    </row>
    <row r="60" spans="1:32" ht="15.15" customHeight="1" thickTop="1" thickBot="1" x14ac:dyDescent="0.3">
      <c r="A60" s="1474" t="s">
        <v>808</v>
      </c>
      <c r="B60" s="1474"/>
      <c r="C60" s="1474"/>
      <c r="D60" s="1474"/>
      <c r="E60" s="1474"/>
      <c r="F60" s="1474"/>
      <c r="G60" s="1474"/>
      <c r="H60" s="1474"/>
      <c r="I60" s="1474"/>
      <c r="J60" s="1474"/>
      <c r="K60" s="1475" t="s">
        <v>906</v>
      </c>
      <c r="L60" s="1475"/>
      <c r="M60" s="1475"/>
      <c r="N60" s="1475"/>
      <c r="O60" s="1475" t="s">
        <v>805</v>
      </c>
      <c r="P60" s="1475"/>
      <c r="Q60" s="1475"/>
      <c r="R60" s="1475"/>
      <c r="S60" s="1475"/>
      <c r="T60" s="1475"/>
      <c r="U60" s="1475" t="s">
        <v>805</v>
      </c>
      <c r="V60" s="1475"/>
      <c r="W60" s="1475"/>
      <c r="X60" s="1475"/>
      <c r="Y60" s="1475"/>
      <c r="Z60" s="1475"/>
      <c r="AA60" s="1476" t="s">
        <v>805</v>
      </c>
      <c r="AB60" s="1476"/>
      <c r="AC60" s="1476"/>
      <c r="AD60" s="1476"/>
      <c r="AE60" s="1476"/>
      <c r="AF60" s="1476"/>
    </row>
    <row r="61" spans="1:32" ht="15.15" customHeight="1" thickTop="1" thickBot="1" x14ac:dyDescent="0.3">
      <c r="A61" s="1474" t="s">
        <v>810</v>
      </c>
      <c r="B61" s="1474"/>
      <c r="C61" s="1474"/>
      <c r="D61" s="1474"/>
      <c r="E61" s="1474"/>
      <c r="F61" s="1474"/>
      <c r="G61" s="1474"/>
      <c r="H61" s="1474"/>
      <c r="I61" s="1474"/>
      <c r="J61" s="1474"/>
      <c r="K61" s="1475" t="s">
        <v>907</v>
      </c>
      <c r="L61" s="1475"/>
      <c r="M61" s="1475"/>
      <c r="N61" s="1475"/>
      <c r="O61" s="1475" t="s">
        <v>805</v>
      </c>
      <c r="P61" s="1475"/>
      <c r="Q61" s="1475"/>
      <c r="R61" s="1475"/>
      <c r="S61" s="1475"/>
      <c r="T61" s="1475"/>
      <c r="U61" s="1475" t="s">
        <v>805</v>
      </c>
      <c r="V61" s="1475"/>
      <c r="W61" s="1475"/>
      <c r="X61" s="1475"/>
      <c r="Y61" s="1475"/>
      <c r="Z61" s="1475"/>
      <c r="AA61" s="1476" t="s">
        <v>805</v>
      </c>
      <c r="AB61" s="1476"/>
      <c r="AC61" s="1476"/>
      <c r="AD61" s="1476"/>
      <c r="AE61" s="1476"/>
      <c r="AF61" s="1476"/>
    </row>
    <row r="62" spans="1:32" ht="25.35" customHeight="1" thickTop="1" thickBot="1" x14ac:dyDescent="0.3">
      <c r="A62" s="1474" t="s">
        <v>908</v>
      </c>
      <c r="B62" s="1474"/>
      <c r="C62" s="1474"/>
      <c r="D62" s="1474"/>
      <c r="E62" s="1474"/>
      <c r="F62" s="1474"/>
      <c r="G62" s="1474"/>
      <c r="H62" s="1474"/>
      <c r="I62" s="1474"/>
      <c r="J62" s="1474"/>
      <c r="K62" s="1475" t="s">
        <v>909</v>
      </c>
      <c r="L62" s="1475"/>
      <c r="M62" s="1475"/>
      <c r="N62" s="1475"/>
      <c r="O62" s="1475" t="s">
        <v>805</v>
      </c>
      <c r="P62" s="1475"/>
      <c r="Q62" s="1475"/>
      <c r="R62" s="1475"/>
      <c r="S62" s="1475"/>
      <c r="T62" s="1475"/>
      <c r="U62" s="1475" t="s">
        <v>805</v>
      </c>
      <c r="V62" s="1475"/>
      <c r="W62" s="1475"/>
      <c r="X62" s="1475"/>
      <c r="Y62" s="1475"/>
      <c r="Z62" s="1475"/>
      <c r="AA62" s="1476" t="s">
        <v>805</v>
      </c>
      <c r="AB62" s="1476"/>
      <c r="AC62" s="1476"/>
      <c r="AD62" s="1476"/>
      <c r="AE62" s="1476"/>
      <c r="AF62" s="1476"/>
    </row>
    <row r="63" spans="1:32" ht="15.15" customHeight="1" thickTop="1" thickBot="1" x14ac:dyDescent="0.3">
      <c r="A63" s="1474" t="s">
        <v>803</v>
      </c>
      <c r="B63" s="1474"/>
      <c r="C63" s="1474"/>
      <c r="D63" s="1474"/>
      <c r="E63" s="1474"/>
      <c r="F63" s="1474"/>
      <c r="G63" s="1474"/>
      <c r="H63" s="1474"/>
      <c r="I63" s="1474"/>
      <c r="J63" s="1474"/>
      <c r="K63" s="1475" t="s">
        <v>910</v>
      </c>
      <c r="L63" s="1475"/>
      <c r="M63" s="1475"/>
      <c r="N63" s="1475"/>
      <c r="O63" s="1475" t="s">
        <v>805</v>
      </c>
      <c r="P63" s="1475"/>
      <c r="Q63" s="1475"/>
      <c r="R63" s="1475"/>
      <c r="S63" s="1475"/>
      <c r="T63" s="1475"/>
      <c r="U63" s="1475" t="s">
        <v>805</v>
      </c>
      <c r="V63" s="1475"/>
      <c r="W63" s="1475"/>
      <c r="X63" s="1475"/>
      <c r="Y63" s="1475"/>
      <c r="Z63" s="1475"/>
      <c r="AA63" s="1476" t="s">
        <v>805</v>
      </c>
      <c r="AB63" s="1476"/>
      <c r="AC63" s="1476"/>
      <c r="AD63" s="1476"/>
      <c r="AE63" s="1476"/>
      <c r="AF63" s="1476"/>
    </row>
    <row r="64" spans="1:32" ht="25.35" customHeight="1" thickTop="1" thickBot="1" x14ac:dyDescent="0.3">
      <c r="A64" s="1474" t="s">
        <v>806</v>
      </c>
      <c r="B64" s="1474"/>
      <c r="C64" s="1474"/>
      <c r="D64" s="1474"/>
      <c r="E64" s="1474"/>
      <c r="F64" s="1474"/>
      <c r="G64" s="1474"/>
      <c r="H64" s="1474"/>
      <c r="I64" s="1474"/>
      <c r="J64" s="1474"/>
      <c r="K64" s="1475" t="s">
        <v>911</v>
      </c>
      <c r="L64" s="1475"/>
      <c r="M64" s="1475"/>
      <c r="N64" s="1475"/>
      <c r="O64" s="1475" t="s">
        <v>805</v>
      </c>
      <c r="P64" s="1475"/>
      <c r="Q64" s="1475"/>
      <c r="R64" s="1475"/>
      <c r="S64" s="1475"/>
      <c r="T64" s="1475"/>
      <c r="U64" s="1475" t="s">
        <v>805</v>
      </c>
      <c r="V64" s="1475"/>
      <c r="W64" s="1475"/>
      <c r="X64" s="1475"/>
      <c r="Y64" s="1475"/>
      <c r="Z64" s="1475"/>
      <c r="AA64" s="1476" t="s">
        <v>805</v>
      </c>
      <c r="AB64" s="1476"/>
      <c r="AC64" s="1476"/>
      <c r="AD64" s="1476"/>
      <c r="AE64" s="1476"/>
      <c r="AF64" s="1476"/>
    </row>
    <row r="65" spans="1:37" ht="15.15" customHeight="1" thickTop="1" thickBot="1" x14ac:dyDescent="0.3">
      <c r="A65" s="1474" t="s">
        <v>808</v>
      </c>
      <c r="B65" s="1474"/>
      <c r="C65" s="1474"/>
      <c r="D65" s="1474"/>
      <c r="E65" s="1474"/>
      <c r="F65" s="1474"/>
      <c r="G65" s="1474"/>
      <c r="H65" s="1474"/>
      <c r="I65" s="1474"/>
      <c r="J65" s="1474"/>
      <c r="K65" s="1475" t="s">
        <v>912</v>
      </c>
      <c r="L65" s="1475"/>
      <c r="M65" s="1475"/>
      <c r="N65" s="1475"/>
      <c r="O65" s="1475" t="s">
        <v>805</v>
      </c>
      <c r="P65" s="1475"/>
      <c r="Q65" s="1475"/>
      <c r="R65" s="1475"/>
      <c r="S65" s="1475"/>
      <c r="T65" s="1475"/>
      <c r="U65" s="1475" t="s">
        <v>805</v>
      </c>
      <c r="V65" s="1475"/>
      <c r="W65" s="1475"/>
      <c r="X65" s="1475"/>
      <c r="Y65" s="1475"/>
      <c r="Z65" s="1475"/>
      <c r="AA65" s="1476" t="s">
        <v>805</v>
      </c>
      <c r="AB65" s="1476"/>
      <c r="AC65" s="1476"/>
      <c r="AD65" s="1476"/>
      <c r="AE65" s="1476"/>
      <c r="AF65" s="1476"/>
    </row>
    <row r="66" spans="1:37" ht="15.15" customHeight="1" thickTop="1" thickBot="1" x14ac:dyDescent="0.3">
      <c r="A66" s="1474" t="s">
        <v>810</v>
      </c>
      <c r="B66" s="1474"/>
      <c r="C66" s="1474"/>
      <c r="D66" s="1474"/>
      <c r="E66" s="1474"/>
      <c r="F66" s="1474"/>
      <c r="G66" s="1474"/>
      <c r="H66" s="1474"/>
      <c r="I66" s="1474"/>
      <c r="J66" s="1474"/>
      <c r="K66" s="1475" t="s">
        <v>913</v>
      </c>
      <c r="L66" s="1475"/>
      <c r="M66" s="1475"/>
      <c r="N66" s="1475"/>
      <c r="O66" s="1475" t="s">
        <v>805</v>
      </c>
      <c r="P66" s="1475"/>
      <c r="Q66" s="1475"/>
      <c r="R66" s="1475"/>
      <c r="S66" s="1475"/>
      <c r="T66" s="1475"/>
      <c r="U66" s="1475" t="s">
        <v>805</v>
      </c>
      <c r="V66" s="1475"/>
      <c r="W66" s="1475"/>
      <c r="X66" s="1475"/>
      <c r="Y66" s="1475"/>
      <c r="Z66" s="1475"/>
      <c r="AA66" s="1476" t="s">
        <v>805</v>
      </c>
      <c r="AB66" s="1476"/>
      <c r="AC66" s="1476"/>
      <c r="AD66" s="1476"/>
      <c r="AE66" s="1476"/>
      <c r="AF66" s="1476"/>
    </row>
    <row r="67" spans="1:37" ht="25.35" customHeight="1" thickTop="1" thickBot="1" x14ac:dyDescent="0.3">
      <c r="A67" s="1474" t="s">
        <v>914</v>
      </c>
      <c r="B67" s="1474"/>
      <c r="C67" s="1474"/>
      <c r="D67" s="1474"/>
      <c r="E67" s="1474"/>
      <c r="F67" s="1474"/>
      <c r="G67" s="1474"/>
      <c r="H67" s="1474"/>
      <c r="I67" s="1474"/>
      <c r="J67" s="1474"/>
      <c r="K67" s="1475" t="s">
        <v>915</v>
      </c>
      <c r="L67" s="1475"/>
      <c r="M67" s="1475"/>
      <c r="N67" s="1475"/>
      <c r="O67" s="1475" t="s">
        <v>805</v>
      </c>
      <c r="P67" s="1475"/>
      <c r="Q67" s="1475"/>
      <c r="R67" s="1475"/>
      <c r="S67" s="1475"/>
      <c r="T67" s="1475"/>
      <c r="U67" s="1475" t="s">
        <v>805</v>
      </c>
      <c r="V67" s="1475"/>
      <c r="W67" s="1475"/>
      <c r="X67" s="1475"/>
      <c r="Y67" s="1475"/>
      <c r="Z67" s="1475"/>
      <c r="AA67" s="1476" t="s">
        <v>805</v>
      </c>
      <c r="AB67" s="1476"/>
      <c r="AC67" s="1476"/>
      <c r="AD67" s="1476"/>
      <c r="AE67" s="1476"/>
      <c r="AF67" s="1476"/>
    </row>
    <row r="68" spans="1:37" ht="25.35" customHeight="1" thickTop="1" thickBot="1" x14ac:dyDescent="0.3">
      <c r="A68" s="1474" t="s">
        <v>916</v>
      </c>
      <c r="B68" s="1474"/>
      <c r="C68" s="1474"/>
      <c r="D68" s="1474"/>
      <c r="E68" s="1474"/>
      <c r="F68" s="1474"/>
      <c r="G68" s="1474"/>
      <c r="H68" s="1474"/>
      <c r="I68" s="1474"/>
      <c r="J68" s="1474"/>
      <c r="K68" s="1475" t="s">
        <v>917</v>
      </c>
      <c r="L68" s="1475"/>
      <c r="M68" s="1475"/>
      <c r="N68" s="1475"/>
      <c r="O68" s="1475" t="s">
        <v>805</v>
      </c>
      <c r="P68" s="1475"/>
      <c r="Q68" s="1475"/>
      <c r="R68" s="1475"/>
      <c r="S68" s="1475"/>
      <c r="T68" s="1475"/>
      <c r="U68" s="1475" t="s">
        <v>805</v>
      </c>
      <c r="V68" s="1475"/>
      <c r="W68" s="1475"/>
      <c r="X68" s="1475"/>
      <c r="Y68" s="1475"/>
      <c r="Z68" s="1475"/>
      <c r="AA68" s="1476" t="s">
        <v>805</v>
      </c>
      <c r="AB68" s="1476"/>
      <c r="AC68" s="1476"/>
      <c r="AD68" s="1476"/>
      <c r="AE68" s="1476"/>
      <c r="AF68" s="1476"/>
    </row>
    <row r="69" spans="1:37" ht="15.15" customHeight="1" thickTop="1" thickBot="1" x14ac:dyDescent="0.3">
      <c r="A69" s="1474" t="s">
        <v>803</v>
      </c>
      <c r="B69" s="1474"/>
      <c r="C69" s="1474"/>
      <c r="D69" s="1474"/>
      <c r="E69" s="1474"/>
      <c r="F69" s="1474"/>
      <c r="G69" s="1474"/>
      <c r="H69" s="1474"/>
      <c r="I69" s="1474"/>
      <c r="J69" s="1474"/>
      <c r="K69" s="1475" t="s">
        <v>918</v>
      </c>
      <c r="L69" s="1475"/>
      <c r="M69" s="1475"/>
      <c r="N69" s="1475"/>
      <c r="O69" s="1475" t="s">
        <v>805</v>
      </c>
      <c r="P69" s="1475"/>
      <c r="Q69" s="1475"/>
      <c r="R69" s="1475"/>
      <c r="S69" s="1475"/>
      <c r="T69" s="1475"/>
      <c r="U69" s="1475" t="s">
        <v>805</v>
      </c>
      <c r="V69" s="1475"/>
      <c r="W69" s="1475"/>
      <c r="X69" s="1475"/>
      <c r="Y69" s="1475"/>
      <c r="Z69" s="1475"/>
      <c r="AA69" s="1476" t="s">
        <v>805</v>
      </c>
      <c r="AB69" s="1476"/>
      <c r="AC69" s="1476"/>
      <c r="AD69" s="1476"/>
      <c r="AE69" s="1476"/>
      <c r="AF69" s="1476"/>
    </row>
    <row r="70" spans="1:37" ht="25.35" customHeight="1" thickTop="1" thickBot="1" x14ac:dyDescent="0.3">
      <c r="A70" s="1474" t="s">
        <v>806</v>
      </c>
      <c r="B70" s="1474"/>
      <c r="C70" s="1474"/>
      <c r="D70" s="1474"/>
      <c r="E70" s="1474"/>
      <c r="F70" s="1474"/>
      <c r="G70" s="1474"/>
      <c r="H70" s="1474"/>
      <c r="I70" s="1474"/>
      <c r="J70" s="1474"/>
      <c r="K70" s="1475" t="s">
        <v>919</v>
      </c>
      <c r="L70" s="1475"/>
      <c r="M70" s="1475"/>
      <c r="N70" s="1475"/>
      <c r="O70" s="1475" t="s">
        <v>805</v>
      </c>
      <c r="P70" s="1475"/>
      <c r="Q70" s="1475"/>
      <c r="R70" s="1475"/>
      <c r="S70" s="1475"/>
      <c r="T70" s="1475"/>
      <c r="U70" s="1475" t="s">
        <v>805</v>
      </c>
      <c r="V70" s="1475"/>
      <c r="W70" s="1475"/>
      <c r="X70" s="1475"/>
      <c r="Y70" s="1475"/>
      <c r="Z70" s="1475"/>
      <c r="AA70" s="1476" t="s">
        <v>805</v>
      </c>
      <c r="AB70" s="1476"/>
      <c r="AC70" s="1476"/>
      <c r="AD70" s="1476"/>
      <c r="AE70" s="1476"/>
      <c r="AF70" s="1476"/>
    </row>
    <row r="71" spans="1:37" ht="15.15" customHeight="1" thickTop="1" thickBot="1" x14ac:dyDescent="0.3">
      <c r="A71" s="1474" t="s">
        <v>808</v>
      </c>
      <c r="B71" s="1474"/>
      <c r="C71" s="1474"/>
      <c r="D71" s="1474"/>
      <c r="E71" s="1474"/>
      <c r="F71" s="1474"/>
      <c r="G71" s="1474"/>
      <c r="H71" s="1474"/>
      <c r="I71" s="1474"/>
      <c r="J71" s="1474"/>
      <c r="K71" s="1475" t="s">
        <v>920</v>
      </c>
      <c r="L71" s="1475"/>
      <c r="M71" s="1475"/>
      <c r="N71" s="1475"/>
      <c r="O71" s="1475" t="s">
        <v>805</v>
      </c>
      <c r="P71" s="1475"/>
      <c r="Q71" s="1475"/>
      <c r="R71" s="1475"/>
      <c r="S71" s="1475"/>
      <c r="T71" s="1475"/>
      <c r="U71" s="1475" t="s">
        <v>805</v>
      </c>
      <c r="V71" s="1475"/>
      <c r="W71" s="1475"/>
      <c r="X71" s="1475"/>
      <c r="Y71" s="1475"/>
      <c r="Z71" s="1475"/>
      <c r="AA71" s="1476" t="s">
        <v>805</v>
      </c>
      <c r="AB71" s="1476"/>
      <c r="AC71" s="1476"/>
      <c r="AD71" s="1476"/>
      <c r="AE71" s="1476"/>
      <c r="AF71" s="1476"/>
    </row>
    <row r="72" spans="1:37" ht="15.15" customHeight="1" thickTop="1" thickBot="1" x14ac:dyDescent="0.3">
      <c r="A72" s="1474" t="s">
        <v>810</v>
      </c>
      <c r="B72" s="1474"/>
      <c r="C72" s="1474"/>
      <c r="D72" s="1474"/>
      <c r="E72" s="1474"/>
      <c r="F72" s="1474"/>
      <c r="G72" s="1474"/>
      <c r="H72" s="1474"/>
      <c r="I72" s="1474"/>
      <c r="J72" s="1474"/>
      <c r="K72" s="1475" t="s">
        <v>921</v>
      </c>
      <c r="L72" s="1475"/>
      <c r="M72" s="1475"/>
      <c r="N72" s="1475"/>
      <c r="O72" s="1475" t="s">
        <v>805</v>
      </c>
      <c r="P72" s="1475"/>
      <c r="Q72" s="1475"/>
      <c r="R72" s="1475"/>
      <c r="S72" s="1475"/>
      <c r="T72" s="1475"/>
      <c r="U72" s="1475" t="s">
        <v>805</v>
      </c>
      <c r="V72" s="1475"/>
      <c r="W72" s="1475"/>
      <c r="X72" s="1475"/>
      <c r="Y72" s="1475"/>
      <c r="Z72" s="1475"/>
      <c r="AA72" s="1476" t="s">
        <v>805</v>
      </c>
      <c r="AB72" s="1476"/>
      <c r="AC72" s="1476"/>
      <c r="AD72" s="1476"/>
      <c r="AE72" s="1476"/>
      <c r="AF72" s="1476"/>
    </row>
    <row r="73" spans="1:37" ht="25.35" customHeight="1" thickTop="1" thickBot="1" x14ac:dyDescent="0.3">
      <c r="A73" s="1474" t="s">
        <v>922</v>
      </c>
      <c r="B73" s="1474"/>
      <c r="C73" s="1474"/>
      <c r="D73" s="1474"/>
      <c r="E73" s="1474"/>
      <c r="F73" s="1474"/>
      <c r="G73" s="1474"/>
      <c r="H73" s="1474"/>
      <c r="I73" s="1474"/>
      <c r="J73" s="1474"/>
      <c r="K73" s="1475" t="s">
        <v>923</v>
      </c>
      <c r="L73" s="1475"/>
      <c r="M73" s="1475"/>
      <c r="N73" s="1475"/>
      <c r="O73" s="1475" t="s">
        <v>805</v>
      </c>
      <c r="P73" s="1475"/>
      <c r="Q73" s="1475"/>
      <c r="R73" s="1475"/>
      <c r="S73" s="1475"/>
      <c r="T73" s="1475"/>
      <c r="U73" s="1475" t="s">
        <v>805</v>
      </c>
      <c r="V73" s="1475"/>
      <c r="W73" s="1475"/>
      <c r="X73" s="1475"/>
      <c r="Y73" s="1475"/>
      <c r="Z73" s="1475"/>
      <c r="AA73" s="1476" t="s">
        <v>805</v>
      </c>
      <c r="AB73" s="1476"/>
      <c r="AC73" s="1476"/>
      <c r="AD73" s="1476"/>
      <c r="AE73" s="1476"/>
      <c r="AF73" s="1476"/>
    </row>
    <row r="74" spans="1:37" ht="15.15" customHeight="1" thickTop="1" thickBot="1" x14ac:dyDescent="0.3">
      <c r="A74" s="1474" t="s">
        <v>803</v>
      </c>
      <c r="B74" s="1474"/>
      <c r="C74" s="1474"/>
      <c r="D74" s="1474"/>
      <c r="E74" s="1474"/>
      <c r="F74" s="1474"/>
      <c r="G74" s="1474"/>
      <c r="H74" s="1474"/>
      <c r="I74" s="1474"/>
      <c r="J74" s="1474"/>
      <c r="K74" s="1475" t="s">
        <v>924</v>
      </c>
      <c r="L74" s="1475"/>
      <c r="M74" s="1475"/>
      <c r="N74" s="1475"/>
      <c r="O74" s="1475" t="s">
        <v>805</v>
      </c>
      <c r="P74" s="1475"/>
      <c r="Q74" s="1475"/>
      <c r="R74" s="1475"/>
      <c r="S74" s="1475"/>
      <c r="T74" s="1475"/>
      <c r="U74" s="1475" t="s">
        <v>805</v>
      </c>
      <c r="V74" s="1475"/>
      <c r="W74" s="1475"/>
      <c r="X74" s="1475"/>
      <c r="Y74" s="1475"/>
      <c r="Z74" s="1475"/>
      <c r="AA74" s="1476" t="s">
        <v>805</v>
      </c>
      <c r="AB74" s="1476"/>
      <c r="AC74" s="1476"/>
      <c r="AD74" s="1476"/>
      <c r="AE74" s="1476"/>
      <c r="AF74" s="1476"/>
    </row>
    <row r="75" spans="1:37" ht="25.35" customHeight="1" thickTop="1" thickBot="1" x14ac:dyDescent="0.3">
      <c r="A75" s="1474" t="s">
        <v>806</v>
      </c>
      <c r="B75" s="1474"/>
      <c r="C75" s="1474"/>
      <c r="D75" s="1474"/>
      <c r="E75" s="1474"/>
      <c r="F75" s="1474"/>
      <c r="G75" s="1474"/>
      <c r="H75" s="1474"/>
      <c r="I75" s="1474"/>
      <c r="J75" s="1474"/>
      <c r="K75" s="1475" t="s">
        <v>925</v>
      </c>
      <c r="L75" s="1475"/>
      <c r="M75" s="1475"/>
      <c r="N75" s="1475"/>
      <c r="O75" s="1475" t="s">
        <v>805</v>
      </c>
      <c r="P75" s="1475"/>
      <c r="Q75" s="1475"/>
      <c r="R75" s="1475"/>
      <c r="S75" s="1475"/>
      <c r="T75" s="1475"/>
      <c r="U75" s="1475" t="s">
        <v>805</v>
      </c>
      <c r="V75" s="1475"/>
      <c r="W75" s="1475"/>
      <c r="X75" s="1475"/>
      <c r="Y75" s="1475"/>
      <c r="Z75" s="1475"/>
      <c r="AA75" s="1476" t="s">
        <v>805</v>
      </c>
      <c r="AB75" s="1476"/>
      <c r="AC75" s="1476"/>
      <c r="AD75" s="1476"/>
      <c r="AE75" s="1476"/>
      <c r="AF75" s="1476"/>
    </row>
    <row r="76" spans="1:37" ht="15.15" customHeight="1" thickTop="1" thickBot="1" x14ac:dyDescent="0.3">
      <c r="A76" s="1474" t="s">
        <v>808</v>
      </c>
      <c r="B76" s="1474"/>
      <c r="C76" s="1474"/>
      <c r="D76" s="1474"/>
      <c r="E76" s="1474"/>
      <c r="F76" s="1474"/>
      <c r="G76" s="1474"/>
      <c r="H76" s="1474"/>
      <c r="I76" s="1474"/>
      <c r="J76" s="1474"/>
      <c r="K76" s="1475" t="s">
        <v>926</v>
      </c>
      <c r="L76" s="1475"/>
      <c r="M76" s="1475"/>
      <c r="N76" s="1475"/>
      <c r="O76" s="1475" t="s">
        <v>805</v>
      </c>
      <c r="P76" s="1475"/>
      <c r="Q76" s="1475"/>
      <c r="R76" s="1475"/>
      <c r="S76" s="1475"/>
      <c r="T76" s="1475"/>
      <c r="U76" s="1475" t="s">
        <v>805</v>
      </c>
      <c r="V76" s="1475"/>
      <c r="W76" s="1475"/>
      <c r="X76" s="1475"/>
      <c r="Y76" s="1475"/>
      <c r="Z76" s="1475"/>
      <c r="AA76" s="1476" t="s">
        <v>805</v>
      </c>
      <c r="AB76" s="1476"/>
      <c r="AC76" s="1476"/>
      <c r="AD76" s="1476"/>
      <c r="AE76" s="1476"/>
      <c r="AF76" s="1476"/>
    </row>
    <row r="77" spans="1:37" ht="15.15" customHeight="1" thickTop="1" thickBot="1" x14ac:dyDescent="0.3">
      <c r="A77" s="1474" t="s">
        <v>810</v>
      </c>
      <c r="B77" s="1474"/>
      <c r="C77" s="1474"/>
      <c r="D77" s="1474"/>
      <c r="E77" s="1474"/>
      <c r="F77" s="1474"/>
      <c r="G77" s="1474"/>
      <c r="H77" s="1474"/>
      <c r="I77" s="1474"/>
      <c r="J77" s="1474"/>
      <c r="K77" s="1475" t="s">
        <v>927</v>
      </c>
      <c r="L77" s="1475"/>
      <c r="M77" s="1475"/>
      <c r="N77" s="1475"/>
      <c r="O77" s="1475" t="s">
        <v>805</v>
      </c>
      <c r="P77" s="1475"/>
      <c r="Q77" s="1475"/>
      <c r="R77" s="1475"/>
      <c r="S77" s="1475"/>
      <c r="T77" s="1475"/>
      <c r="U77" s="1475" t="s">
        <v>805</v>
      </c>
      <c r="V77" s="1475"/>
      <c r="W77" s="1475"/>
      <c r="X77" s="1475"/>
      <c r="Y77" s="1475"/>
      <c r="Z77" s="1475"/>
      <c r="AA77" s="1476" t="s">
        <v>805</v>
      </c>
      <c r="AB77" s="1476"/>
      <c r="AC77" s="1476"/>
      <c r="AD77" s="1476"/>
      <c r="AE77" s="1476"/>
      <c r="AF77" s="1476"/>
    </row>
    <row r="78" spans="1:37" ht="25.35" customHeight="1" thickTop="1" thickBot="1" x14ac:dyDescent="0.3">
      <c r="A78" s="1474" t="s">
        <v>928</v>
      </c>
      <c r="B78" s="1474"/>
      <c r="C78" s="1474"/>
      <c r="D78" s="1474"/>
      <c r="E78" s="1474"/>
      <c r="F78" s="1474"/>
      <c r="G78" s="1474"/>
      <c r="H78" s="1474"/>
      <c r="I78" s="1474"/>
      <c r="J78" s="1474"/>
      <c r="K78" s="1475" t="s">
        <v>929</v>
      </c>
      <c r="L78" s="1475"/>
      <c r="M78" s="1475"/>
      <c r="N78" s="1475"/>
      <c r="O78" s="1475" t="s">
        <v>930</v>
      </c>
      <c r="P78" s="1475"/>
      <c r="Q78" s="1475"/>
      <c r="R78" s="1475"/>
      <c r="S78" s="1475"/>
      <c r="T78" s="1475"/>
      <c r="U78" s="1475" t="s">
        <v>931</v>
      </c>
      <c r="V78" s="1475"/>
      <c r="W78" s="1475"/>
      <c r="X78" s="1475"/>
      <c r="Y78" s="1475"/>
      <c r="Z78" s="1475"/>
      <c r="AA78" s="1476" t="s">
        <v>932</v>
      </c>
      <c r="AB78" s="1476"/>
      <c r="AC78" s="1476"/>
      <c r="AD78" s="1476"/>
      <c r="AE78" s="1476"/>
      <c r="AF78" s="1476"/>
      <c r="AK78" s="1079"/>
    </row>
    <row r="79" spans="1:37" ht="15.15" customHeight="1" thickTop="1" thickBot="1" x14ac:dyDescent="0.3">
      <c r="A79" s="1474" t="s">
        <v>933</v>
      </c>
      <c r="B79" s="1474"/>
      <c r="C79" s="1474"/>
      <c r="D79" s="1474"/>
      <c r="E79" s="1474"/>
      <c r="F79" s="1474"/>
      <c r="G79" s="1474"/>
      <c r="H79" s="1474"/>
      <c r="I79" s="1474"/>
      <c r="J79" s="1474"/>
      <c r="K79" s="1475" t="s">
        <v>934</v>
      </c>
      <c r="L79" s="1475"/>
      <c r="M79" s="1475"/>
      <c r="N79" s="1475"/>
      <c r="O79" s="1475" t="s">
        <v>930</v>
      </c>
      <c r="P79" s="1475"/>
      <c r="Q79" s="1475"/>
      <c r="R79" s="1475"/>
      <c r="S79" s="1475"/>
      <c r="T79" s="1475"/>
      <c r="U79" s="1475" t="s">
        <v>931</v>
      </c>
      <c r="V79" s="1475"/>
      <c r="W79" s="1475"/>
      <c r="X79" s="1475"/>
      <c r="Y79" s="1475"/>
      <c r="Z79" s="1475"/>
      <c r="AA79" s="1476" t="s">
        <v>932</v>
      </c>
      <c r="AB79" s="1476"/>
      <c r="AC79" s="1476"/>
      <c r="AD79" s="1476"/>
      <c r="AE79" s="1476"/>
      <c r="AF79" s="1476"/>
    </row>
    <row r="80" spans="1:37" ht="15.15" customHeight="1" thickTop="1" thickBot="1" x14ac:dyDescent="0.3">
      <c r="A80" s="1474" t="s">
        <v>935</v>
      </c>
      <c r="B80" s="1474"/>
      <c r="C80" s="1474"/>
      <c r="D80" s="1474"/>
      <c r="E80" s="1474"/>
      <c r="F80" s="1474"/>
      <c r="G80" s="1474"/>
      <c r="H80" s="1474"/>
      <c r="I80" s="1474"/>
      <c r="J80" s="1474"/>
      <c r="K80" s="1475" t="s">
        <v>936</v>
      </c>
      <c r="L80" s="1475"/>
      <c r="M80" s="1475"/>
      <c r="N80" s="1475"/>
      <c r="O80" s="1475" t="s">
        <v>805</v>
      </c>
      <c r="P80" s="1475"/>
      <c r="Q80" s="1475"/>
      <c r="R80" s="1475"/>
      <c r="S80" s="1475"/>
      <c r="T80" s="1475"/>
      <c r="U80" s="1475" t="s">
        <v>805</v>
      </c>
      <c r="V80" s="1475"/>
      <c r="W80" s="1475"/>
      <c r="X80" s="1475"/>
      <c r="Y80" s="1475"/>
      <c r="Z80" s="1475"/>
      <c r="AA80" s="1476" t="s">
        <v>805</v>
      </c>
      <c r="AB80" s="1476"/>
      <c r="AC80" s="1476"/>
      <c r="AD80" s="1476"/>
      <c r="AE80" s="1476"/>
      <c r="AF80" s="1476"/>
    </row>
    <row r="81" spans="1:38" ht="15.15" customHeight="1" thickTop="1" thickBot="1" x14ac:dyDescent="0.3">
      <c r="A81" s="1474" t="s">
        <v>937</v>
      </c>
      <c r="B81" s="1474"/>
      <c r="C81" s="1474"/>
      <c r="D81" s="1474"/>
      <c r="E81" s="1474"/>
      <c r="F81" s="1474"/>
      <c r="G81" s="1474"/>
      <c r="H81" s="1474"/>
      <c r="I81" s="1474"/>
      <c r="J81" s="1474"/>
      <c r="K81" s="1475" t="s">
        <v>938</v>
      </c>
      <c r="L81" s="1475"/>
      <c r="M81" s="1475"/>
      <c r="N81" s="1475"/>
      <c r="O81" s="1475" t="s">
        <v>939</v>
      </c>
      <c r="P81" s="1475"/>
      <c r="Q81" s="1475"/>
      <c r="R81" s="1475"/>
      <c r="S81" s="1475"/>
      <c r="T81" s="1475"/>
      <c r="U81" s="1475" t="s">
        <v>1388</v>
      </c>
      <c r="V81" s="1475"/>
      <c r="W81" s="1475"/>
      <c r="X81" s="1475"/>
      <c r="Y81" s="1475"/>
      <c r="Z81" s="1475"/>
      <c r="AA81" s="1476" t="s">
        <v>1389</v>
      </c>
      <c r="AB81" s="1476"/>
      <c r="AC81" s="1476"/>
      <c r="AD81" s="1476"/>
      <c r="AE81" s="1476"/>
      <c r="AF81" s="1476"/>
      <c r="AK81" s="1079"/>
    </row>
    <row r="82" spans="1:38" ht="15.15" customHeight="1" thickTop="1" thickBot="1" x14ac:dyDescent="0.3">
      <c r="A82" s="1474" t="s">
        <v>940</v>
      </c>
      <c r="B82" s="1474"/>
      <c r="C82" s="1474"/>
      <c r="D82" s="1474"/>
      <c r="E82" s="1474"/>
      <c r="F82" s="1474"/>
      <c r="G82" s="1474"/>
      <c r="H82" s="1474"/>
      <c r="I82" s="1474"/>
      <c r="J82" s="1474"/>
      <c r="K82" s="1475" t="s">
        <v>941</v>
      </c>
      <c r="L82" s="1475"/>
      <c r="M82" s="1475"/>
      <c r="N82" s="1475"/>
      <c r="O82" s="1475" t="s">
        <v>805</v>
      </c>
      <c r="P82" s="1475"/>
      <c r="Q82" s="1475"/>
      <c r="R82" s="1475"/>
      <c r="S82" s="1475"/>
      <c r="T82" s="1475"/>
      <c r="U82" s="1475" t="s">
        <v>805</v>
      </c>
      <c r="V82" s="1475"/>
      <c r="W82" s="1475"/>
      <c r="X82" s="1475"/>
      <c r="Y82" s="1475"/>
      <c r="Z82" s="1475"/>
      <c r="AA82" s="1476" t="s">
        <v>805</v>
      </c>
      <c r="AB82" s="1476"/>
      <c r="AC82" s="1476"/>
      <c r="AD82" s="1476"/>
      <c r="AE82" s="1476"/>
      <c r="AF82" s="1476"/>
    </row>
    <row r="83" spans="1:38" ht="15.15" customHeight="1" thickTop="1" thickBot="1" x14ac:dyDescent="0.3">
      <c r="A83" s="1474" t="s">
        <v>942</v>
      </c>
      <c r="B83" s="1474"/>
      <c r="C83" s="1474"/>
      <c r="D83" s="1474"/>
      <c r="E83" s="1474"/>
      <c r="F83" s="1474"/>
      <c r="G83" s="1474"/>
      <c r="H83" s="1474"/>
      <c r="I83" s="1474"/>
      <c r="J83" s="1474"/>
      <c r="K83" s="1475" t="s">
        <v>943</v>
      </c>
      <c r="L83" s="1475"/>
      <c r="M83" s="1475"/>
      <c r="N83" s="1475"/>
      <c r="O83" s="1475" t="s">
        <v>944</v>
      </c>
      <c r="P83" s="1475"/>
      <c r="Q83" s="1475"/>
      <c r="R83" s="1475"/>
      <c r="S83" s="1475"/>
      <c r="T83" s="1475"/>
      <c r="U83" s="1475" t="s">
        <v>945</v>
      </c>
      <c r="V83" s="1475"/>
      <c r="W83" s="1475"/>
      <c r="X83" s="1475"/>
      <c r="Y83" s="1475"/>
      <c r="Z83" s="1475"/>
      <c r="AA83" s="1476" t="s">
        <v>946</v>
      </c>
      <c r="AB83" s="1476"/>
      <c r="AC83" s="1476"/>
      <c r="AD83" s="1476"/>
      <c r="AE83" s="1476"/>
      <c r="AF83" s="1476"/>
    </row>
    <row r="84" spans="1:38" ht="15.15" customHeight="1" thickTop="1" thickBot="1" x14ac:dyDescent="0.3">
      <c r="A84" s="1474" t="s">
        <v>947</v>
      </c>
      <c r="B84" s="1474"/>
      <c r="C84" s="1474"/>
      <c r="D84" s="1474"/>
      <c r="E84" s="1474"/>
      <c r="F84" s="1474"/>
      <c r="G84" s="1474"/>
      <c r="H84" s="1474"/>
      <c r="I84" s="1474"/>
      <c r="J84" s="1474"/>
      <c r="K84" s="1475" t="s">
        <v>948</v>
      </c>
      <c r="L84" s="1475"/>
      <c r="M84" s="1475"/>
      <c r="N84" s="1475"/>
      <c r="O84" s="1475" t="s">
        <v>949</v>
      </c>
      <c r="P84" s="1475"/>
      <c r="Q84" s="1475"/>
      <c r="R84" s="1475"/>
      <c r="S84" s="1475"/>
      <c r="T84" s="1475"/>
      <c r="U84" s="1475" t="s">
        <v>1387</v>
      </c>
      <c r="V84" s="1475"/>
      <c r="W84" s="1475"/>
      <c r="X84" s="1475"/>
      <c r="Y84" s="1475"/>
      <c r="Z84" s="1475"/>
      <c r="AA84" s="1476" t="s">
        <v>950</v>
      </c>
      <c r="AB84" s="1476"/>
      <c r="AC84" s="1476"/>
      <c r="AD84" s="1476"/>
      <c r="AE84" s="1476"/>
      <c r="AF84" s="1476"/>
    </row>
    <row r="85" spans="1:38" ht="15.15" customHeight="1" thickTop="1" thickBot="1" x14ac:dyDescent="0.3">
      <c r="A85" s="1474" t="s">
        <v>951</v>
      </c>
      <c r="B85" s="1474"/>
      <c r="C85" s="1474"/>
      <c r="D85" s="1474"/>
      <c r="E85" s="1474"/>
      <c r="F85" s="1474"/>
      <c r="G85" s="1474"/>
      <c r="H85" s="1474"/>
      <c r="I85" s="1474"/>
      <c r="J85" s="1474"/>
      <c r="K85" s="1475" t="s">
        <v>952</v>
      </c>
      <c r="L85" s="1475"/>
      <c r="M85" s="1475"/>
      <c r="N85" s="1475"/>
      <c r="O85" s="1475" t="s">
        <v>805</v>
      </c>
      <c r="P85" s="1475"/>
      <c r="Q85" s="1475"/>
      <c r="R85" s="1475"/>
      <c r="S85" s="1475"/>
      <c r="T85" s="1475"/>
      <c r="U85" s="1475" t="s">
        <v>805</v>
      </c>
      <c r="V85" s="1475"/>
      <c r="W85" s="1475"/>
      <c r="X85" s="1475"/>
      <c r="Y85" s="1475"/>
      <c r="Z85" s="1475"/>
      <c r="AA85" s="1476" t="s">
        <v>805</v>
      </c>
      <c r="AB85" s="1476"/>
      <c r="AC85" s="1476"/>
      <c r="AD85" s="1476"/>
      <c r="AE85" s="1476"/>
      <c r="AF85" s="1476"/>
    </row>
    <row r="86" spans="1:38" ht="15.15" customHeight="1" thickTop="1" thickBot="1" x14ac:dyDescent="0.3">
      <c r="A86" s="1474" t="s">
        <v>953</v>
      </c>
      <c r="B86" s="1474"/>
      <c r="C86" s="1474"/>
      <c r="D86" s="1474"/>
      <c r="E86" s="1474"/>
      <c r="F86" s="1474"/>
      <c r="G86" s="1474"/>
      <c r="H86" s="1474"/>
      <c r="I86" s="1474"/>
      <c r="J86" s="1474"/>
      <c r="K86" s="1475" t="s">
        <v>954</v>
      </c>
      <c r="L86" s="1475"/>
      <c r="M86" s="1475"/>
      <c r="N86" s="1475"/>
      <c r="O86" s="1475" t="s">
        <v>955</v>
      </c>
      <c r="P86" s="1475"/>
      <c r="Q86" s="1475"/>
      <c r="R86" s="1475"/>
      <c r="S86" s="1475"/>
      <c r="T86" s="1475"/>
      <c r="U86" s="1475" t="s">
        <v>956</v>
      </c>
      <c r="V86" s="1475"/>
      <c r="W86" s="1475"/>
      <c r="X86" s="1475"/>
      <c r="Y86" s="1475"/>
      <c r="Z86" s="1475"/>
      <c r="AA86" s="1476" t="s">
        <v>957</v>
      </c>
      <c r="AB86" s="1476"/>
      <c r="AC86" s="1476"/>
      <c r="AD86" s="1476"/>
      <c r="AE86" s="1476"/>
      <c r="AF86" s="1476"/>
      <c r="AK86" s="1079"/>
    </row>
    <row r="87" spans="1:38" ht="15.15" customHeight="1" thickTop="1" thickBot="1" x14ac:dyDescent="0.3">
      <c r="A87" s="1474" t="s">
        <v>958</v>
      </c>
      <c r="B87" s="1474"/>
      <c r="C87" s="1474"/>
      <c r="D87" s="1474"/>
      <c r="E87" s="1474"/>
      <c r="F87" s="1474"/>
      <c r="G87" s="1474"/>
      <c r="H87" s="1474"/>
      <c r="I87" s="1474"/>
      <c r="J87" s="1474"/>
      <c r="K87" s="1475" t="s">
        <v>959</v>
      </c>
      <c r="L87" s="1475"/>
      <c r="M87" s="1475"/>
      <c r="N87" s="1475"/>
      <c r="O87" s="1475" t="s">
        <v>960</v>
      </c>
      <c r="P87" s="1475"/>
      <c r="Q87" s="1475"/>
      <c r="R87" s="1475"/>
      <c r="S87" s="1475"/>
      <c r="T87" s="1475"/>
      <c r="U87" s="1475" t="s">
        <v>961</v>
      </c>
      <c r="V87" s="1475"/>
      <c r="W87" s="1475"/>
      <c r="X87" s="1475"/>
      <c r="Y87" s="1475"/>
      <c r="Z87" s="1475"/>
      <c r="AA87" s="1476" t="s">
        <v>962</v>
      </c>
      <c r="AB87" s="1476"/>
      <c r="AC87" s="1476"/>
      <c r="AD87" s="1476"/>
      <c r="AE87" s="1476"/>
      <c r="AF87" s="1476"/>
    </row>
    <row r="88" spans="1:38" ht="25.35" customHeight="1" thickTop="1" thickBot="1" x14ac:dyDescent="0.3">
      <c r="A88" s="1474" t="s">
        <v>963</v>
      </c>
      <c r="B88" s="1474"/>
      <c r="C88" s="1474"/>
      <c r="D88" s="1474"/>
      <c r="E88" s="1474"/>
      <c r="F88" s="1474"/>
      <c r="G88" s="1474"/>
      <c r="H88" s="1474"/>
      <c r="I88" s="1474"/>
      <c r="J88" s="1474"/>
      <c r="K88" s="1475" t="s">
        <v>964</v>
      </c>
      <c r="L88" s="1475"/>
      <c r="M88" s="1475"/>
      <c r="N88" s="1475"/>
      <c r="O88" s="1475" t="s">
        <v>965</v>
      </c>
      <c r="P88" s="1475"/>
      <c r="Q88" s="1475"/>
      <c r="R88" s="1475"/>
      <c r="S88" s="1475"/>
      <c r="T88" s="1475"/>
      <c r="U88" s="1475" t="s">
        <v>966</v>
      </c>
      <c r="V88" s="1475"/>
      <c r="W88" s="1475"/>
      <c r="X88" s="1475"/>
      <c r="Y88" s="1475"/>
      <c r="Z88" s="1475"/>
      <c r="AA88" s="1476" t="s">
        <v>967</v>
      </c>
      <c r="AB88" s="1476"/>
      <c r="AC88" s="1476"/>
      <c r="AD88" s="1476"/>
      <c r="AE88" s="1476"/>
      <c r="AF88" s="1476"/>
    </row>
    <row r="89" spans="1:38" ht="15.15" customHeight="1" thickTop="1" thickBot="1" x14ac:dyDescent="0.3">
      <c r="A89" s="1474" t="s">
        <v>968</v>
      </c>
      <c r="B89" s="1474"/>
      <c r="C89" s="1474"/>
      <c r="D89" s="1474"/>
      <c r="E89" s="1474"/>
      <c r="F89" s="1474"/>
      <c r="G89" s="1474"/>
      <c r="H89" s="1474"/>
      <c r="I89" s="1474"/>
      <c r="J89" s="1474"/>
      <c r="K89" s="1475" t="s">
        <v>969</v>
      </c>
      <c r="L89" s="1475"/>
      <c r="M89" s="1475"/>
      <c r="N89" s="1475"/>
      <c r="O89" s="1475" t="s">
        <v>970</v>
      </c>
      <c r="P89" s="1475"/>
      <c r="Q89" s="1475"/>
      <c r="R89" s="1475"/>
      <c r="S89" s="1475"/>
      <c r="T89" s="1475"/>
      <c r="U89" s="1475" t="s">
        <v>971</v>
      </c>
      <c r="V89" s="1475"/>
      <c r="W89" s="1475"/>
      <c r="X89" s="1475"/>
      <c r="Y89" s="1475"/>
      <c r="Z89" s="1475"/>
      <c r="AA89" s="1476" t="s">
        <v>972</v>
      </c>
      <c r="AB89" s="1476"/>
      <c r="AC89" s="1476"/>
      <c r="AD89" s="1476"/>
      <c r="AE89" s="1476"/>
      <c r="AF89" s="1476"/>
    </row>
    <row r="90" spans="1:38" ht="25.35" customHeight="1" thickTop="1" thickBot="1" x14ac:dyDescent="0.3">
      <c r="A90" s="1474" t="s">
        <v>973</v>
      </c>
      <c r="B90" s="1474"/>
      <c r="C90" s="1474"/>
      <c r="D90" s="1474"/>
      <c r="E90" s="1474"/>
      <c r="F90" s="1474"/>
      <c r="G90" s="1474"/>
      <c r="H90" s="1474"/>
      <c r="I90" s="1474"/>
      <c r="J90" s="1474"/>
      <c r="K90" s="1475" t="s">
        <v>974</v>
      </c>
      <c r="L90" s="1475"/>
      <c r="M90" s="1475"/>
      <c r="N90" s="1475"/>
      <c r="O90" s="1475" t="s">
        <v>975</v>
      </c>
      <c r="P90" s="1475"/>
      <c r="Q90" s="1475"/>
      <c r="R90" s="1475"/>
      <c r="S90" s="1475"/>
      <c r="T90" s="1475"/>
      <c r="U90" s="1475" t="s">
        <v>976</v>
      </c>
      <c r="V90" s="1475"/>
      <c r="W90" s="1475"/>
      <c r="X90" s="1475"/>
      <c r="Y90" s="1475"/>
      <c r="Z90" s="1475"/>
      <c r="AA90" s="1476" t="s">
        <v>977</v>
      </c>
      <c r="AB90" s="1476"/>
      <c r="AC90" s="1476"/>
      <c r="AD90" s="1476"/>
      <c r="AE90" s="1476"/>
      <c r="AF90" s="1476"/>
      <c r="AK90" s="1079"/>
    </row>
    <row r="91" spans="1:38" ht="15.15" customHeight="1" thickTop="1" thickBot="1" x14ac:dyDescent="0.3">
      <c r="A91" s="1474" t="s">
        <v>978</v>
      </c>
      <c r="B91" s="1474"/>
      <c r="C91" s="1474"/>
      <c r="D91" s="1474"/>
      <c r="E91" s="1474"/>
      <c r="F91" s="1474"/>
      <c r="G91" s="1474"/>
      <c r="H91" s="1474"/>
      <c r="I91" s="1474"/>
      <c r="J91" s="1474"/>
      <c r="K91" s="1475" t="s">
        <v>979</v>
      </c>
      <c r="L91" s="1475"/>
      <c r="M91" s="1475"/>
      <c r="N91" s="1475"/>
      <c r="O91" s="1475" t="s">
        <v>805</v>
      </c>
      <c r="P91" s="1475"/>
      <c r="Q91" s="1475"/>
      <c r="R91" s="1475"/>
      <c r="S91" s="1475"/>
      <c r="T91" s="1475"/>
      <c r="U91" s="1475" t="s">
        <v>805</v>
      </c>
      <c r="V91" s="1475"/>
      <c r="W91" s="1475"/>
      <c r="X91" s="1475"/>
      <c r="Y91" s="1475"/>
      <c r="Z91" s="1475"/>
      <c r="AA91" s="1476" t="s">
        <v>805</v>
      </c>
      <c r="AB91" s="1476"/>
      <c r="AC91" s="1476"/>
      <c r="AD91" s="1476"/>
      <c r="AE91" s="1476"/>
      <c r="AF91" s="1476"/>
    </row>
    <row r="92" spans="1:38" ht="15.15" customHeight="1" thickTop="1" thickBot="1" x14ac:dyDescent="0.3">
      <c r="A92" s="1477" t="s">
        <v>980</v>
      </c>
      <c r="B92" s="1477"/>
      <c r="C92" s="1477"/>
      <c r="D92" s="1477"/>
      <c r="E92" s="1477"/>
      <c r="F92" s="1477"/>
      <c r="G92" s="1477"/>
      <c r="H92" s="1477"/>
      <c r="I92" s="1477"/>
      <c r="J92" s="1477"/>
      <c r="K92" s="1478" t="s">
        <v>981</v>
      </c>
      <c r="L92" s="1478"/>
      <c r="M92" s="1478"/>
      <c r="N92" s="1478"/>
      <c r="O92" s="1478" t="s">
        <v>982</v>
      </c>
      <c r="P92" s="1478"/>
      <c r="Q92" s="1478"/>
      <c r="R92" s="1478"/>
      <c r="S92" s="1478"/>
      <c r="T92" s="1478"/>
      <c r="U92" s="1478" t="s">
        <v>1390</v>
      </c>
      <c r="V92" s="1478"/>
      <c r="W92" s="1478"/>
      <c r="X92" s="1478"/>
      <c r="Y92" s="1478"/>
      <c r="Z92" s="1478"/>
      <c r="AA92" s="1479" t="s">
        <v>983</v>
      </c>
      <c r="AB92" s="1479"/>
      <c r="AC92" s="1479"/>
      <c r="AD92" s="1479"/>
      <c r="AE92" s="1479"/>
      <c r="AF92" s="1479"/>
      <c r="AK92" s="1080"/>
    </row>
    <row r="93" spans="1:38" ht="15.15" customHeight="1" thickTop="1" thickBot="1" x14ac:dyDescent="0.3">
      <c r="A93" s="1474" t="s">
        <v>505</v>
      </c>
      <c r="B93" s="1474"/>
      <c r="C93" s="1474"/>
      <c r="D93" s="1474"/>
      <c r="E93" s="1474"/>
      <c r="F93" s="1474"/>
      <c r="G93" s="1474"/>
      <c r="H93" s="1474"/>
      <c r="I93" s="1474"/>
      <c r="J93" s="1474"/>
      <c r="K93" s="1475" t="s">
        <v>505</v>
      </c>
      <c r="L93" s="1475"/>
      <c r="M93" s="1475"/>
      <c r="N93" s="1475"/>
      <c r="O93" s="1475" t="s">
        <v>505</v>
      </c>
      <c r="P93" s="1475"/>
      <c r="Q93" s="1475"/>
      <c r="R93" s="1475"/>
      <c r="S93" s="1475"/>
      <c r="T93" s="1475"/>
      <c r="U93" s="1475" t="s">
        <v>505</v>
      </c>
      <c r="V93" s="1475"/>
      <c r="W93" s="1475"/>
      <c r="X93" s="1475"/>
      <c r="Y93" s="1475"/>
      <c r="Z93" s="1475"/>
      <c r="AA93" s="1476" t="s">
        <v>505</v>
      </c>
      <c r="AB93" s="1476"/>
      <c r="AC93" s="1476"/>
      <c r="AD93" s="1476"/>
      <c r="AE93" s="1476"/>
      <c r="AF93" s="1476"/>
    </row>
    <row r="94" spans="1:38" ht="15.15" customHeight="1" thickTop="1" thickBot="1" x14ac:dyDescent="0.3">
      <c r="A94" s="1474" t="s">
        <v>984</v>
      </c>
      <c r="B94" s="1474"/>
      <c r="C94" s="1474"/>
      <c r="D94" s="1474"/>
      <c r="E94" s="1474"/>
      <c r="F94" s="1474"/>
      <c r="G94" s="1474"/>
      <c r="H94" s="1474"/>
      <c r="I94" s="1474"/>
      <c r="J94" s="1474"/>
      <c r="K94" s="1475" t="s">
        <v>505</v>
      </c>
      <c r="L94" s="1475"/>
      <c r="M94" s="1475"/>
      <c r="N94" s="1475"/>
      <c r="O94" s="1475" t="s">
        <v>505</v>
      </c>
      <c r="P94" s="1475"/>
      <c r="Q94" s="1475"/>
      <c r="R94" s="1475"/>
      <c r="S94" s="1475"/>
      <c r="T94" s="1475"/>
      <c r="U94" s="1475" t="s">
        <v>505</v>
      </c>
      <c r="V94" s="1475"/>
      <c r="W94" s="1475"/>
      <c r="X94" s="1475"/>
      <c r="Y94" s="1475"/>
      <c r="Z94" s="1475"/>
      <c r="AA94" s="1476" t="s">
        <v>505</v>
      </c>
      <c r="AB94" s="1476"/>
      <c r="AC94" s="1476"/>
      <c r="AD94" s="1476"/>
      <c r="AE94" s="1476"/>
      <c r="AF94" s="1476"/>
    </row>
    <row r="95" spans="1:38" ht="15.15" customHeight="1" thickTop="1" thickBot="1" x14ac:dyDescent="0.3">
      <c r="A95" s="1474" t="s">
        <v>985</v>
      </c>
      <c r="B95" s="1474"/>
      <c r="C95" s="1474"/>
      <c r="D95" s="1474"/>
      <c r="E95" s="1474"/>
      <c r="F95" s="1474"/>
      <c r="G95" s="1474"/>
      <c r="H95" s="1474"/>
      <c r="I95" s="1474"/>
      <c r="J95" s="1474"/>
      <c r="K95" s="1475" t="s">
        <v>986</v>
      </c>
      <c r="L95" s="1475"/>
      <c r="M95" s="1475"/>
      <c r="N95" s="1475"/>
      <c r="O95" s="1475" t="s">
        <v>987</v>
      </c>
      <c r="P95" s="1475"/>
      <c r="Q95" s="1475"/>
      <c r="R95" s="1475"/>
      <c r="S95" s="1475"/>
      <c r="T95" s="1475"/>
      <c r="U95" s="1475" t="s">
        <v>1394</v>
      </c>
      <c r="V95" s="1475"/>
      <c r="W95" s="1475"/>
      <c r="X95" s="1475"/>
      <c r="Y95" s="1475"/>
      <c r="Z95" s="1475"/>
      <c r="AA95" s="1476" t="s">
        <v>988</v>
      </c>
      <c r="AB95" s="1476"/>
      <c r="AC95" s="1476"/>
      <c r="AD95" s="1476"/>
      <c r="AE95" s="1476"/>
      <c r="AF95" s="1476"/>
      <c r="AK95" s="1079"/>
      <c r="AL95" s="819"/>
    </row>
    <row r="96" spans="1:38" ht="15.15" customHeight="1" thickTop="1" thickBot="1" x14ac:dyDescent="0.3">
      <c r="A96" s="1474" t="s">
        <v>989</v>
      </c>
      <c r="B96" s="1474"/>
      <c r="C96" s="1474"/>
      <c r="D96" s="1474"/>
      <c r="E96" s="1474"/>
      <c r="F96" s="1474"/>
      <c r="G96" s="1474"/>
      <c r="H96" s="1474"/>
      <c r="I96" s="1474"/>
      <c r="J96" s="1474"/>
      <c r="K96" s="1475" t="s">
        <v>990</v>
      </c>
      <c r="L96" s="1475"/>
      <c r="M96" s="1475"/>
      <c r="N96" s="1475"/>
      <c r="O96" s="1475" t="s">
        <v>991</v>
      </c>
      <c r="P96" s="1475"/>
      <c r="Q96" s="1475"/>
      <c r="R96" s="1475"/>
      <c r="S96" s="1475"/>
      <c r="T96" s="1475"/>
      <c r="U96" s="1475" t="s">
        <v>991</v>
      </c>
      <c r="V96" s="1475"/>
      <c r="W96" s="1475"/>
      <c r="X96" s="1475"/>
      <c r="Y96" s="1475"/>
      <c r="Z96" s="1475"/>
      <c r="AA96" s="1476" t="s">
        <v>895</v>
      </c>
      <c r="AB96" s="1476"/>
      <c r="AC96" s="1476"/>
      <c r="AD96" s="1476"/>
      <c r="AE96" s="1476"/>
      <c r="AF96" s="1476"/>
      <c r="AK96" s="1081"/>
      <c r="AL96" s="819"/>
    </row>
    <row r="97" spans="1:38" ht="15.15" customHeight="1" thickTop="1" thickBot="1" x14ac:dyDescent="0.3">
      <c r="A97" s="1474" t="s">
        <v>992</v>
      </c>
      <c r="B97" s="1474"/>
      <c r="C97" s="1474"/>
      <c r="D97" s="1474"/>
      <c r="E97" s="1474"/>
      <c r="F97" s="1474"/>
      <c r="G97" s="1474"/>
      <c r="H97" s="1474"/>
      <c r="I97" s="1474"/>
      <c r="J97" s="1474"/>
      <c r="K97" s="1475" t="s">
        <v>993</v>
      </c>
      <c r="L97" s="1475"/>
      <c r="M97" s="1475"/>
      <c r="N97" s="1475"/>
      <c r="O97" s="1475" t="s">
        <v>994</v>
      </c>
      <c r="P97" s="1475"/>
      <c r="Q97" s="1475"/>
      <c r="R97" s="1475"/>
      <c r="S97" s="1475"/>
      <c r="T97" s="1475"/>
      <c r="U97" s="1475" t="s">
        <v>994</v>
      </c>
      <c r="V97" s="1475"/>
      <c r="W97" s="1475"/>
      <c r="X97" s="1475"/>
      <c r="Y97" s="1475"/>
      <c r="Z97" s="1475"/>
      <c r="AA97" s="1476" t="s">
        <v>895</v>
      </c>
      <c r="AB97" s="1476"/>
      <c r="AC97" s="1476"/>
      <c r="AD97" s="1476"/>
      <c r="AE97" s="1476"/>
      <c r="AF97" s="1476"/>
      <c r="AK97" s="1081"/>
      <c r="AL97" s="819"/>
    </row>
    <row r="98" spans="1:38" ht="25.35" customHeight="1" thickTop="1" thickBot="1" x14ac:dyDescent="0.3">
      <c r="A98" s="1474" t="s">
        <v>995</v>
      </c>
      <c r="B98" s="1474"/>
      <c r="C98" s="1474"/>
      <c r="D98" s="1474"/>
      <c r="E98" s="1474"/>
      <c r="F98" s="1474"/>
      <c r="G98" s="1474"/>
      <c r="H98" s="1474"/>
      <c r="I98" s="1474"/>
      <c r="J98" s="1474"/>
      <c r="K98" s="1475" t="s">
        <v>996</v>
      </c>
      <c r="L98" s="1475"/>
      <c r="M98" s="1475"/>
      <c r="N98" s="1475"/>
      <c r="O98" s="1475" t="s">
        <v>997</v>
      </c>
      <c r="P98" s="1475"/>
      <c r="Q98" s="1475"/>
      <c r="R98" s="1475"/>
      <c r="S98" s="1475"/>
      <c r="T98" s="1475"/>
      <c r="U98" s="1475" t="s">
        <v>997</v>
      </c>
      <c r="V98" s="1475"/>
      <c r="W98" s="1475"/>
      <c r="X98" s="1475"/>
      <c r="Y98" s="1475"/>
      <c r="Z98" s="1475"/>
      <c r="AA98" s="1476" t="s">
        <v>895</v>
      </c>
      <c r="AB98" s="1476"/>
      <c r="AC98" s="1476"/>
      <c r="AD98" s="1476"/>
      <c r="AE98" s="1476"/>
      <c r="AF98" s="1476"/>
      <c r="AK98" s="1081"/>
      <c r="AL98" s="819"/>
    </row>
    <row r="99" spans="1:38" ht="15.15" customHeight="1" thickTop="1" thickBot="1" x14ac:dyDescent="0.3">
      <c r="A99" s="1474" t="s">
        <v>998</v>
      </c>
      <c r="B99" s="1474"/>
      <c r="C99" s="1474"/>
      <c r="D99" s="1474"/>
      <c r="E99" s="1474"/>
      <c r="F99" s="1474"/>
      <c r="G99" s="1474"/>
      <c r="H99" s="1474"/>
      <c r="I99" s="1474"/>
      <c r="J99" s="1474"/>
      <c r="K99" s="1475" t="s">
        <v>999</v>
      </c>
      <c r="L99" s="1475"/>
      <c r="M99" s="1475"/>
      <c r="N99" s="1475"/>
      <c r="O99" s="1475" t="s">
        <v>1000</v>
      </c>
      <c r="P99" s="1475"/>
      <c r="Q99" s="1475"/>
      <c r="R99" s="1475"/>
      <c r="S99" s="1475"/>
      <c r="T99" s="1475"/>
      <c r="U99" s="1475" t="s">
        <v>1391</v>
      </c>
      <c r="V99" s="1475"/>
      <c r="W99" s="1475"/>
      <c r="X99" s="1475"/>
      <c r="Y99" s="1475"/>
      <c r="Z99" s="1475"/>
      <c r="AA99" s="1476" t="s">
        <v>1001</v>
      </c>
      <c r="AB99" s="1476"/>
      <c r="AC99" s="1476"/>
      <c r="AD99" s="1476"/>
      <c r="AE99" s="1476"/>
      <c r="AF99" s="1476"/>
      <c r="AK99" s="1081"/>
      <c r="AL99" s="819"/>
    </row>
    <row r="100" spans="1:38" ht="15.15" customHeight="1" thickTop="1" thickBot="1" x14ac:dyDescent="0.3">
      <c r="A100" s="1474" t="s">
        <v>1002</v>
      </c>
      <c r="B100" s="1474"/>
      <c r="C100" s="1474"/>
      <c r="D100" s="1474"/>
      <c r="E100" s="1474"/>
      <c r="F100" s="1474"/>
      <c r="G100" s="1474"/>
      <c r="H100" s="1474"/>
      <c r="I100" s="1474"/>
      <c r="J100" s="1474"/>
      <c r="K100" s="1475" t="s">
        <v>1003</v>
      </c>
      <c r="L100" s="1475"/>
      <c r="M100" s="1475"/>
      <c r="N100" s="1475"/>
      <c r="O100" s="1475" t="s">
        <v>805</v>
      </c>
      <c r="P100" s="1475"/>
      <c r="Q100" s="1475"/>
      <c r="R100" s="1475"/>
      <c r="S100" s="1475"/>
      <c r="T100" s="1475"/>
      <c r="U100" s="1475" t="s">
        <v>805</v>
      </c>
      <c r="V100" s="1475"/>
      <c r="W100" s="1475"/>
      <c r="X100" s="1475"/>
      <c r="Y100" s="1475"/>
      <c r="Z100" s="1475"/>
      <c r="AA100" s="1476" t="s">
        <v>805</v>
      </c>
      <c r="AB100" s="1476"/>
      <c r="AC100" s="1476"/>
      <c r="AD100" s="1476"/>
      <c r="AE100" s="1476"/>
      <c r="AF100" s="1476"/>
      <c r="AL100" s="819"/>
    </row>
    <row r="101" spans="1:38" ht="15.15" customHeight="1" thickTop="1" thickBot="1" x14ac:dyDescent="0.3">
      <c r="A101" s="1474" t="s">
        <v>1004</v>
      </c>
      <c r="B101" s="1474"/>
      <c r="C101" s="1474"/>
      <c r="D101" s="1474"/>
      <c r="E101" s="1474"/>
      <c r="F101" s="1474"/>
      <c r="G101" s="1474"/>
      <c r="H101" s="1474"/>
      <c r="I101" s="1474"/>
      <c r="J101" s="1474"/>
      <c r="K101" s="1475" t="s">
        <v>1005</v>
      </c>
      <c r="L101" s="1475"/>
      <c r="M101" s="1475"/>
      <c r="N101" s="1475"/>
      <c r="O101" s="1475" t="s">
        <v>1006</v>
      </c>
      <c r="P101" s="1475"/>
      <c r="Q101" s="1475"/>
      <c r="R101" s="1475"/>
      <c r="S101" s="1475"/>
      <c r="T101" s="1475"/>
      <c r="U101" s="1475" t="s">
        <v>1392</v>
      </c>
      <c r="V101" s="1475"/>
      <c r="W101" s="1475"/>
      <c r="X101" s="1475"/>
      <c r="Y101" s="1475"/>
      <c r="Z101" s="1475"/>
      <c r="AA101" s="1476" t="s">
        <v>1007</v>
      </c>
      <c r="AB101" s="1476"/>
      <c r="AC101" s="1476"/>
      <c r="AD101" s="1476"/>
      <c r="AE101" s="1476"/>
      <c r="AF101" s="1476"/>
      <c r="AK101" s="1081"/>
      <c r="AL101" s="819"/>
    </row>
    <row r="102" spans="1:38" ht="15.15" customHeight="1" thickTop="1" thickBot="1" x14ac:dyDescent="0.3">
      <c r="A102" s="1474" t="s">
        <v>1008</v>
      </c>
      <c r="B102" s="1474"/>
      <c r="C102" s="1474"/>
      <c r="D102" s="1474"/>
      <c r="E102" s="1474"/>
      <c r="F102" s="1474"/>
      <c r="G102" s="1474"/>
      <c r="H102" s="1474"/>
      <c r="I102" s="1474"/>
      <c r="J102" s="1474"/>
      <c r="K102" s="1475" t="s">
        <v>1009</v>
      </c>
      <c r="L102" s="1475"/>
      <c r="M102" s="1475"/>
      <c r="N102" s="1475"/>
      <c r="O102" s="1475" t="s">
        <v>1010</v>
      </c>
      <c r="P102" s="1475"/>
      <c r="Q102" s="1475"/>
      <c r="R102" s="1475"/>
      <c r="S102" s="1475"/>
      <c r="T102" s="1475"/>
      <c r="U102" s="1475" t="s">
        <v>1393</v>
      </c>
      <c r="V102" s="1475"/>
      <c r="W102" s="1475"/>
      <c r="X102" s="1475"/>
      <c r="Y102" s="1475"/>
      <c r="Z102" s="1475"/>
      <c r="AA102" s="1476" t="s">
        <v>1011</v>
      </c>
      <c r="AB102" s="1476"/>
      <c r="AC102" s="1476"/>
      <c r="AD102" s="1476"/>
      <c r="AE102" s="1476"/>
      <c r="AF102" s="1476"/>
      <c r="AK102" s="1079"/>
      <c r="AL102" s="819"/>
    </row>
    <row r="103" spans="1:38" ht="25.35" customHeight="1" thickTop="1" thickBot="1" x14ac:dyDescent="0.3">
      <c r="A103" s="1474" t="s">
        <v>1012</v>
      </c>
      <c r="B103" s="1474"/>
      <c r="C103" s="1474"/>
      <c r="D103" s="1474"/>
      <c r="E103" s="1474"/>
      <c r="F103" s="1474"/>
      <c r="G103" s="1474"/>
      <c r="H103" s="1474"/>
      <c r="I103" s="1474"/>
      <c r="J103" s="1474"/>
      <c r="K103" s="1475" t="s">
        <v>1013</v>
      </c>
      <c r="L103" s="1475"/>
      <c r="M103" s="1475"/>
      <c r="N103" s="1475"/>
      <c r="O103" s="1475" t="s">
        <v>1014</v>
      </c>
      <c r="P103" s="1475"/>
      <c r="Q103" s="1475"/>
      <c r="R103" s="1475"/>
      <c r="S103" s="1475"/>
      <c r="T103" s="1475"/>
      <c r="U103" s="1475" t="s">
        <v>1015</v>
      </c>
      <c r="V103" s="1475"/>
      <c r="W103" s="1475"/>
      <c r="X103" s="1475"/>
      <c r="Y103" s="1475"/>
      <c r="Z103" s="1475"/>
      <c r="AA103" s="1476" t="s">
        <v>1016</v>
      </c>
      <c r="AB103" s="1476"/>
      <c r="AC103" s="1476"/>
      <c r="AD103" s="1476"/>
      <c r="AE103" s="1476"/>
      <c r="AF103" s="1476"/>
      <c r="AK103" s="1079"/>
      <c r="AL103" s="819"/>
    </row>
    <row r="104" spans="1:38" ht="25.35" customHeight="1" thickTop="1" thickBot="1" x14ac:dyDescent="0.3">
      <c r="A104" s="1474" t="s">
        <v>1017</v>
      </c>
      <c r="B104" s="1474"/>
      <c r="C104" s="1474"/>
      <c r="D104" s="1474"/>
      <c r="E104" s="1474"/>
      <c r="F104" s="1474"/>
      <c r="G104" s="1474"/>
      <c r="H104" s="1474"/>
      <c r="I104" s="1474"/>
      <c r="J104" s="1474"/>
      <c r="K104" s="1475" t="s">
        <v>1018</v>
      </c>
      <c r="L104" s="1475"/>
      <c r="M104" s="1475"/>
      <c r="N104" s="1475"/>
      <c r="O104" s="1475" t="s">
        <v>1019</v>
      </c>
      <c r="P104" s="1475"/>
      <c r="Q104" s="1475"/>
      <c r="R104" s="1475"/>
      <c r="S104" s="1475"/>
      <c r="T104" s="1475"/>
      <c r="U104" s="1475" t="s">
        <v>1020</v>
      </c>
      <c r="V104" s="1475"/>
      <c r="W104" s="1475"/>
      <c r="X104" s="1475"/>
      <c r="Y104" s="1475"/>
      <c r="Z104" s="1475"/>
      <c r="AA104" s="1476" t="s">
        <v>1021</v>
      </c>
      <c r="AB104" s="1476"/>
      <c r="AC104" s="1476"/>
      <c r="AD104" s="1476"/>
      <c r="AE104" s="1476"/>
      <c r="AF104" s="1476"/>
      <c r="AK104" s="1081"/>
      <c r="AL104" s="819"/>
    </row>
    <row r="105" spans="1:38" ht="15.15" customHeight="1" thickTop="1" thickBot="1" x14ac:dyDescent="0.3">
      <c r="A105" s="1474" t="s">
        <v>1022</v>
      </c>
      <c r="B105" s="1474"/>
      <c r="C105" s="1474"/>
      <c r="D105" s="1474"/>
      <c r="E105" s="1474"/>
      <c r="F105" s="1474"/>
      <c r="G105" s="1474"/>
      <c r="H105" s="1474"/>
      <c r="I105" s="1474"/>
      <c r="J105" s="1474"/>
      <c r="K105" s="1475" t="s">
        <v>1023</v>
      </c>
      <c r="L105" s="1475"/>
      <c r="M105" s="1475"/>
      <c r="N105" s="1475"/>
      <c r="O105" s="1475" t="s">
        <v>1024</v>
      </c>
      <c r="P105" s="1475"/>
      <c r="Q105" s="1475"/>
      <c r="R105" s="1475"/>
      <c r="S105" s="1475"/>
      <c r="T105" s="1475"/>
      <c r="U105" s="1475" t="s">
        <v>1395</v>
      </c>
      <c r="V105" s="1475"/>
      <c r="W105" s="1475"/>
      <c r="X105" s="1475"/>
      <c r="Y105" s="1475"/>
      <c r="Z105" s="1475"/>
      <c r="AA105" s="1476" t="s">
        <v>1025</v>
      </c>
      <c r="AB105" s="1476"/>
      <c r="AC105" s="1476"/>
      <c r="AD105" s="1476"/>
      <c r="AE105" s="1476"/>
      <c r="AF105" s="1476"/>
      <c r="AK105" s="1079"/>
      <c r="AL105" s="819"/>
    </row>
    <row r="106" spans="1:38" ht="25.35" customHeight="1" thickTop="1" thickBot="1" x14ac:dyDescent="0.3">
      <c r="A106" s="1474" t="s">
        <v>1026</v>
      </c>
      <c r="B106" s="1474"/>
      <c r="C106" s="1474"/>
      <c r="D106" s="1474"/>
      <c r="E106" s="1474"/>
      <c r="F106" s="1474"/>
      <c r="G106" s="1474"/>
      <c r="H106" s="1474"/>
      <c r="I106" s="1474"/>
      <c r="J106" s="1474"/>
      <c r="K106" s="1475" t="s">
        <v>1027</v>
      </c>
      <c r="L106" s="1475"/>
      <c r="M106" s="1475"/>
      <c r="N106" s="1475"/>
      <c r="O106" s="1475" t="s">
        <v>805</v>
      </c>
      <c r="P106" s="1475"/>
      <c r="Q106" s="1475"/>
      <c r="R106" s="1475"/>
      <c r="S106" s="1475"/>
      <c r="T106" s="1475"/>
      <c r="U106" s="1475" t="s">
        <v>805</v>
      </c>
      <c r="V106" s="1475"/>
      <c r="W106" s="1475"/>
      <c r="X106" s="1475"/>
      <c r="Y106" s="1475"/>
      <c r="Z106" s="1475"/>
      <c r="AA106" s="1476" t="s">
        <v>805</v>
      </c>
      <c r="AB106" s="1476"/>
      <c r="AC106" s="1476"/>
      <c r="AD106" s="1476"/>
      <c r="AE106" s="1476"/>
      <c r="AF106" s="1476"/>
      <c r="AL106" s="819"/>
    </row>
    <row r="107" spans="1:38" ht="25.35" customHeight="1" thickTop="1" thickBot="1" x14ac:dyDescent="0.3">
      <c r="A107" s="1474" t="s">
        <v>1028</v>
      </c>
      <c r="B107" s="1474"/>
      <c r="C107" s="1474"/>
      <c r="D107" s="1474"/>
      <c r="E107" s="1474"/>
      <c r="F107" s="1474"/>
      <c r="G107" s="1474"/>
      <c r="H107" s="1474"/>
      <c r="I107" s="1474"/>
      <c r="J107" s="1474"/>
      <c r="K107" s="1475" t="s">
        <v>1029</v>
      </c>
      <c r="L107" s="1475"/>
      <c r="M107" s="1475"/>
      <c r="N107" s="1475"/>
      <c r="O107" s="1475" t="s">
        <v>1030</v>
      </c>
      <c r="P107" s="1475"/>
      <c r="Q107" s="1475"/>
      <c r="R107" s="1475"/>
      <c r="S107" s="1475"/>
      <c r="T107" s="1475"/>
      <c r="U107" s="1475" t="s">
        <v>1031</v>
      </c>
      <c r="V107" s="1475"/>
      <c r="W107" s="1475"/>
      <c r="X107" s="1475"/>
      <c r="Y107" s="1475"/>
      <c r="Z107" s="1475"/>
      <c r="AA107" s="1476" t="s">
        <v>1032</v>
      </c>
      <c r="AB107" s="1476"/>
      <c r="AC107" s="1476"/>
      <c r="AD107" s="1476"/>
      <c r="AE107" s="1476"/>
      <c r="AF107" s="1476"/>
      <c r="AK107" s="1079"/>
      <c r="AL107" s="819"/>
    </row>
    <row r="108" spans="1:38" ht="15.15" customHeight="1" thickTop="1" thickBot="1" x14ac:dyDescent="0.3">
      <c r="A108" s="1474" t="s">
        <v>1033</v>
      </c>
      <c r="B108" s="1474"/>
      <c r="C108" s="1474"/>
      <c r="D108" s="1474"/>
      <c r="E108" s="1474"/>
      <c r="F108" s="1474"/>
      <c r="G108" s="1474"/>
      <c r="H108" s="1474"/>
      <c r="I108" s="1474"/>
      <c r="J108" s="1474"/>
      <c r="K108" s="1475" t="s">
        <v>1034</v>
      </c>
      <c r="L108" s="1475"/>
      <c r="M108" s="1475"/>
      <c r="N108" s="1475"/>
      <c r="O108" s="1475" t="s">
        <v>982</v>
      </c>
      <c r="P108" s="1475"/>
      <c r="Q108" s="1475"/>
      <c r="R108" s="1475"/>
      <c r="S108" s="1475"/>
      <c r="T108" s="1475"/>
      <c r="U108" s="1475" t="s">
        <v>1390</v>
      </c>
      <c r="V108" s="1475"/>
      <c r="W108" s="1475"/>
      <c r="X108" s="1475"/>
      <c r="Y108" s="1475"/>
      <c r="Z108" s="1475"/>
      <c r="AA108" s="1476" t="s">
        <v>983</v>
      </c>
      <c r="AB108" s="1476"/>
      <c r="AC108" s="1476"/>
      <c r="AD108" s="1476"/>
      <c r="AE108" s="1476"/>
      <c r="AF108" s="1476"/>
      <c r="AK108" s="1080"/>
    </row>
    <row r="109" spans="1:38" ht="15.15" customHeight="1" thickTop="1" thickBot="1" x14ac:dyDescent="0.3">
      <c r="A109" s="1474" t="s">
        <v>505</v>
      </c>
      <c r="B109" s="1474"/>
      <c r="C109" s="1474"/>
      <c r="D109" s="1474"/>
      <c r="E109" s="1474"/>
      <c r="F109" s="1474"/>
      <c r="G109" s="1474"/>
      <c r="H109" s="1474"/>
      <c r="I109" s="1474"/>
      <c r="J109" s="1474"/>
      <c r="K109" s="1475" t="s">
        <v>505</v>
      </c>
      <c r="L109" s="1475"/>
      <c r="M109" s="1475"/>
      <c r="N109" s="1475"/>
      <c r="O109" s="1475" t="s">
        <v>505</v>
      </c>
      <c r="P109" s="1475"/>
      <c r="Q109" s="1475"/>
      <c r="R109" s="1475"/>
      <c r="S109" s="1475"/>
      <c r="T109" s="1475"/>
      <c r="U109" s="1475" t="s">
        <v>505</v>
      </c>
      <c r="V109" s="1475"/>
      <c r="W109" s="1475"/>
      <c r="X109" s="1475"/>
      <c r="Y109" s="1475"/>
      <c r="Z109" s="1475"/>
      <c r="AA109" s="1476" t="s">
        <v>505</v>
      </c>
      <c r="AB109" s="1476"/>
      <c r="AC109" s="1476"/>
      <c r="AD109" s="1476"/>
      <c r="AE109" s="1476"/>
      <c r="AF109" s="1476"/>
    </row>
    <row r="110" spans="1:38" ht="15.15" customHeight="1" thickTop="1" thickBot="1" x14ac:dyDescent="0.3">
      <c r="A110" s="1474" t="s">
        <v>1035</v>
      </c>
      <c r="B110" s="1474"/>
      <c r="C110" s="1474"/>
      <c r="D110" s="1474"/>
      <c r="E110" s="1474"/>
      <c r="F110" s="1474"/>
      <c r="G110" s="1474"/>
      <c r="H110" s="1474"/>
      <c r="I110" s="1474"/>
      <c r="J110" s="1474"/>
      <c r="K110" s="1475" t="s">
        <v>1036</v>
      </c>
      <c r="L110" s="1475"/>
      <c r="M110" s="1475"/>
      <c r="N110" s="1475"/>
      <c r="O110" s="1475" t="s">
        <v>505</v>
      </c>
      <c r="P110" s="1475"/>
      <c r="Q110" s="1475"/>
      <c r="R110" s="1475"/>
      <c r="S110" s="1475"/>
      <c r="T110" s="1475"/>
      <c r="U110" s="1475" t="s">
        <v>505</v>
      </c>
      <c r="V110" s="1475"/>
      <c r="W110" s="1475"/>
      <c r="X110" s="1475"/>
      <c r="Y110" s="1475"/>
      <c r="Z110" s="1475"/>
      <c r="AA110" s="1476" t="s">
        <v>505</v>
      </c>
      <c r="AB110" s="1476"/>
      <c r="AC110" s="1476"/>
      <c r="AD110" s="1476"/>
      <c r="AE110" s="1476"/>
      <c r="AF110" s="1476"/>
    </row>
    <row r="111" spans="1:38" ht="15.15" customHeight="1" thickTop="1" thickBot="1" x14ac:dyDescent="0.3">
      <c r="A111" s="1474" t="s">
        <v>1037</v>
      </c>
      <c r="B111" s="1474"/>
      <c r="C111" s="1474"/>
      <c r="D111" s="1474"/>
      <c r="E111" s="1474"/>
      <c r="F111" s="1474"/>
      <c r="G111" s="1474"/>
      <c r="H111" s="1474"/>
      <c r="I111" s="1474"/>
      <c r="J111" s="1474"/>
      <c r="K111" s="1475" t="s">
        <v>1038</v>
      </c>
      <c r="L111" s="1475"/>
      <c r="M111" s="1475"/>
      <c r="N111" s="1475"/>
      <c r="O111" s="1475" t="s">
        <v>1039</v>
      </c>
      <c r="P111" s="1475"/>
      <c r="Q111" s="1475"/>
      <c r="R111" s="1475"/>
      <c r="S111" s="1475"/>
      <c r="T111" s="1475"/>
      <c r="U111" s="1475" t="s">
        <v>1040</v>
      </c>
      <c r="V111" s="1475"/>
      <c r="W111" s="1475"/>
      <c r="X111" s="1475"/>
      <c r="Y111" s="1475"/>
      <c r="Z111" s="1475"/>
      <c r="AA111" s="1476" t="s">
        <v>1041</v>
      </c>
      <c r="AB111" s="1476"/>
      <c r="AC111" s="1476"/>
      <c r="AD111" s="1476"/>
      <c r="AE111" s="1476"/>
      <c r="AF111" s="1476"/>
    </row>
    <row r="112" spans="1:38" ht="25.35" customHeight="1" thickTop="1" thickBot="1" x14ac:dyDescent="0.3">
      <c r="A112" s="1474" t="s">
        <v>1042</v>
      </c>
      <c r="B112" s="1474"/>
      <c r="C112" s="1474"/>
      <c r="D112" s="1474"/>
      <c r="E112" s="1474"/>
      <c r="F112" s="1474"/>
      <c r="G112" s="1474"/>
      <c r="H112" s="1474"/>
      <c r="I112" s="1474"/>
      <c r="J112" s="1474"/>
      <c r="K112" s="1475" t="s">
        <v>1043</v>
      </c>
      <c r="L112" s="1475"/>
      <c r="M112" s="1475"/>
      <c r="N112" s="1475"/>
      <c r="O112" s="1475" t="s">
        <v>1044</v>
      </c>
      <c r="P112" s="1475"/>
      <c r="Q112" s="1475"/>
      <c r="R112" s="1475"/>
      <c r="S112" s="1475"/>
      <c r="T112" s="1475"/>
      <c r="U112" s="1475" t="s">
        <v>1045</v>
      </c>
      <c r="V112" s="1475"/>
      <c r="W112" s="1475"/>
      <c r="X112" s="1475"/>
      <c r="Y112" s="1475"/>
      <c r="Z112" s="1475"/>
      <c r="AA112" s="1476" t="s">
        <v>1046</v>
      </c>
      <c r="AB112" s="1476"/>
      <c r="AC112" s="1476"/>
      <c r="AD112" s="1476"/>
      <c r="AE112" s="1476"/>
      <c r="AF112" s="1476"/>
    </row>
    <row r="113" spans="1:32" ht="15.15" customHeight="1" thickTop="1" thickBot="1" x14ac:dyDescent="0.3">
      <c r="A113" s="1474" t="s">
        <v>1047</v>
      </c>
      <c r="B113" s="1474"/>
      <c r="C113" s="1474"/>
      <c r="D113" s="1474"/>
      <c r="E113" s="1474"/>
      <c r="F113" s="1474"/>
      <c r="G113" s="1474"/>
      <c r="H113" s="1474"/>
      <c r="I113" s="1474"/>
      <c r="J113" s="1474"/>
      <c r="K113" s="1475" t="s">
        <v>1048</v>
      </c>
      <c r="L113" s="1475"/>
      <c r="M113" s="1475"/>
      <c r="N113" s="1475"/>
      <c r="O113" s="1475" t="s">
        <v>805</v>
      </c>
      <c r="P113" s="1475"/>
      <c r="Q113" s="1475"/>
      <c r="R113" s="1475"/>
      <c r="S113" s="1475"/>
      <c r="T113" s="1475"/>
      <c r="U113" s="1475" t="s">
        <v>805</v>
      </c>
      <c r="V113" s="1475"/>
      <c r="W113" s="1475"/>
      <c r="X113" s="1475"/>
      <c r="Y113" s="1475"/>
      <c r="Z113" s="1475"/>
      <c r="AA113" s="1476" t="s">
        <v>805</v>
      </c>
      <c r="AB113" s="1476"/>
      <c r="AC113" s="1476"/>
      <c r="AD113" s="1476"/>
      <c r="AE113" s="1476"/>
      <c r="AF113" s="1476"/>
    </row>
    <row r="114" spans="1:32" ht="46.2" customHeight="1" thickTop="1" thickBot="1" x14ac:dyDescent="0.3">
      <c r="A114" s="1474" t="s">
        <v>1049</v>
      </c>
      <c r="B114" s="1474"/>
      <c r="C114" s="1474"/>
      <c r="D114" s="1474"/>
      <c r="E114" s="1474"/>
      <c r="F114" s="1474"/>
      <c r="G114" s="1474"/>
      <c r="H114" s="1474"/>
      <c r="I114" s="1474"/>
      <c r="J114" s="1474"/>
      <c r="K114" s="1475" t="s">
        <v>1050</v>
      </c>
      <c r="L114" s="1475"/>
      <c r="M114" s="1475"/>
      <c r="N114" s="1475"/>
      <c r="O114" s="1475" t="s">
        <v>1051</v>
      </c>
      <c r="P114" s="1475"/>
      <c r="Q114" s="1475"/>
      <c r="R114" s="1475"/>
      <c r="S114" s="1475"/>
      <c r="T114" s="1475"/>
      <c r="U114" s="1475" t="s">
        <v>1052</v>
      </c>
      <c r="V114" s="1475"/>
      <c r="W114" s="1475"/>
      <c r="X114" s="1475"/>
      <c r="Y114" s="1475"/>
      <c r="Z114" s="1475"/>
      <c r="AA114" s="1476" t="s">
        <v>1053</v>
      </c>
      <c r="AB114" s="1476"/>
      <c r="AC114" s="1476"/>
      <c r="AD114" s="1476"/>
      <c r="AE114" s="1476"/>
      <c r="AF114" s="1476"/>
    </row>
    <row r="115" spans="1:32" ht="46.2" customHeight="1" thickTop="1" thickBot="1" x14ac:dyDescent="0.3">
      <c r="A115" s="1474" t="s">
        <v>1054</v>
      </c>
      <c r="B115" s="1474"/>
      <c r="C115" s="1474"/>
      <c r="D115" s="1474"/>
      <c r="E115" s="1474"/>
      <c r="F115" s="1474"/>
      <c r="G115" s="1474"/>
      <c r="H115" s="1474"/>
      <c r="I115" s="1474"/>
      <c r="J115" s="1474"/>
      <c r="K115" s="1475" t="s">
        <v>1055</v>
      </c>
      <c r="L115" s="1475"/>
      <c r="M115" s="1475"/>
      <c r="N115" s="1475"/>
      <c r="O115" s="1475" t="s">
        <v>805</v>
      </c>
      <c r="P115" s="1475"/>
      <c r="Q115" s="1475"/>
      <c r="R115" s="1475"/>
      <c r="S115" s="1475"/>
      <c r="T115" s="1475"/>
      <c r="U115" s="1475" t="s">
        <v>805</v>
      </c>
      <c r="V115" s="1475"/>
      <c r="W115" s="1475"/>
      <c r="X115" s="1475"/>
      <c r="Y115" s="1475"/>
      <c r="Z115" s="1475"/>
      <c r="AA115" s="1476" t="s">
        <v>805</v>
      </c>
      <c r="AB115" s="1476"/>
      <c r="AC115" s="1476"/>
      <c r="AD115" s="1476"/>
      <c r="AE115" s="1476"/>
      <c r="AF115" s="1476"/>
    </row>
    <row r="116" spans="1:32" ht="15.15" customHeight="1" thickTop="1" thickBot="1" x14ac:dyDescent="0.3">
      <c r="A116" s="1474" t="s">
        <v>1056</v>
      </c>
      <c r="B116" s="1474"/>
      <c r="C116" s="1474"/>
      <c r="D116" s="1474"/>
      <c r="E116" s="1474"/>
      <c r="F116" s="1474"/>
      <c r="G116" s="1474"/>
      <c r="H116" s="1474"/>
      <c r="I116" s="1474"/>
      <c r="J116" s="1474"/>
      <c r="K116" s="1475" t="s">
        <v>1057</v>
      </c>
      <c r="L116" s="1475"/>
      <c r="M116" s="1475"/>
      <c r="N116" s="1475"/>
      <c r="O116" s="1475" t="s">
        <v>805</v>
      </c>
      <c r="P116" s="1475"/>
      <c r="Q116" s="1475"/>
      <c r="R116" s="1475"/>
      <c r="S116" s="1475"/>
      <c r="T116" s="1475"/>
      <c r="U116" s="1475" t="s">
        <v>805</v>
      </c>
      <c r="V116" s="1475"/>
      <c r="W116" s="1475"/>
      <c r="X116" s="1475"/>
      <c r="Y116" s="1475"/>
      <c r="Z116" s="1475"/>
      <c r="AA116" s="1476" t="s">
        <v>805</v>
      </c>
      <c r="AB116" s="1476"/>
      <c r="AC116" s="1476"/>
      <c r="AD116" s="1476"/>
      <c r="AE116" s="1476"/>
      <c r="AF116" s="1476"/>
    </row>
    <row r="117" spans="1:32" ht="15.15" customHeight="1" thickTop="1" thickBot="1" x14ac:dyDescent="0.3">
      <c r="A117" s="1474" t="s">
        <v>1058</v>
      </c>
      <c r="B117" s="1474"/>
      <c r="C117" s="1474"/>
      <c r="D117" s="1474"/>
      <c r="E117" s="1474"/>
      <c r="F117" s="1474"/>
      <c r="G117" s="1474"/>
      <c r="H117" s="1474"/>
      <c r="I117" s="1474"/>
      <c r="J117" s="1474"/>
      <c r="K117" s="1475" t="s">
        <v>1059</v>
      </c>
      <c r="L117" s="1475"/>
      <c r="M117" s="1475"/>
      <c r="N117" s="1475"/>
      <c r="O117" s="1475" t="s">
        <v>1060</v>
      </c>
      <c r="P117" s="1475"/>
      <c r="Q117" s="1475"/>
      <c r="R117" s="1475"/>
      <c r="S117" s="1475"/>
      <c r="T117" s="1475"/>
      <c r="U117" s="1475" t="s">
        <v>1060</v>
      </c>
      <c r="V117" s="1475"/>
      <c r="W117" s="1475"/>
      <c r="X117" s="1475"/>
      <c r="Y117" s="1475"/>
      <c r="Z117" s="1475"/>
      <c r="AA117" s="1476" t="s">
        <v>895</v>
      </c>
      <c r="AB117" s="1476"/>
      <c r="AC117" s="1476"/>
      <c r="AD117" s="1476"/>
      <c r="AE117" s="1476"/>
      <c r="AF117" s="1476"/>
    </row>
    <row r="118" spans="1:32" ht="15.15" customHeight="1" thickTop="1" thickBot="1" x14ac:dyDescent="0.3">
      <c r="A118" s="1474" t="s">
        <v>1061</v>
      </c>
      <c r="B118" s="1474"/>
      <c r="C118" s="1474"/>
      <c r="D118" s="1474"/>
      <c r="E118" s="1474"/>
      <c r="F118" s="1474"/>
      <c r="G118" s="1474"/>
      <c r="H118" s="1474"/>
      <c r="I118" s="1474"/>
      <c r="J118" s="1474"/>
      <c r="K118" s="1475" t="s">
        <v>1062</v>
      </c>
      <c r="L118" s="1475"/>
      <c r="M118" s="1475"/>
      <c r="N118" s="1475"/>
      <c r="O118" s="1475" t="s">
        <v>805</v>
      </c>
      <c r="P118" s="1475"/>
      <c r="Q118" s="1475"/>
      <c r="R118" s="1475"/>
      <c r="S118" s="1475"/>
      <c r="T118" s="1475"/>
      <c r="U118" s="1475" t="s">
        <v>805</v>
      </c>
      <c r="V118" s="1475"/>
      <c r="W118" s="1475"/>
      <c r="X118" s="1475"/>
      <c r="Y118" s="1475"/>
      <c r="Z118" s="1475"/>
      <c r="AA118" s="1476" t="s">
        <v>805</v>
      </c>
      <c r="AB118" s="1476"/>
      <c r="AC118" s="1476"/>
      <c r="AD118" s="1476"/>
      <c r="AE118" s="1476"/>
      <c r="AF118" s="1476"/>
    </row>
    <row r="119" spans="1:32" ht="13.8" thickTop="1" x14ac:dyDescent="0.25">
      <c r="A119" s="820"/>
      <c r="B119" s="820"/>
      <c r="C119" s="820"/>
      <c r="D119" s="820"/>
      <c r="E119" s="820"/>
      <c r="F119" s="820"/>
      <c r="G119" s="820"/>
      <c r="H119" s="820"/>
      <c r="I119" s="820"/>
      <c r="J119" s="820"/>
      <c r="K119" s="820"/>
      <c r="L119" s="820"/>
      <c r="M119" s="820"/>
      <c r="N119" s="820"/>
      <c r="O119" s="820"/>
      <c r="P119" s="820"/>
      <c r="Q119" s="820"/>
      <c r="R119" s="820"/>
      <c r="S119" s="820"/>
      <c r="T119" s="820"/>
      <c r="U119" s="820"/>
    </row>
  </sheetData>
  <mergeCells count="574">
    <mergeCell ref="A118:J118"/>
    <mergeCell ref="K118:N118"/>
    <mergeCell ref="O118:T118"/>
    <mergeCell ref="U118:Z118"/>
    <mergeCell ref="AA118:AF118"/>
    <mergeCell ref="A1:AF1"/>
    <mergeCell ref="A2:AF2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  <mergeCell ref="A114:J114"/>
    <mergeCell ref="K114:N114"/>
    <mergeCell ref="O114:T114"/>
    <mergeCell ref="U114:Z114"/>
    <mergeCell ref="AA114:AF114"/>
    <mergeCell ref="A115:J115"/>
    <mergeCell ref="K115:N115"/>
    <mergeCell ref="A111:J111"/>
    <mergeCell ref="K111:N111"/>
    <mergeCell ref="O111:T111"/>
    <mergeCell ref="U111:Z111"/>
    <mergeCell ref="AA111:AF111"/>
    <mergeCell ref="O115:T115"/>
    <mergeCell ref="U115:Z115"/>
    <mergeCell ref="AA115:AF115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3:AF3"/>
    <mergeCell ref="A4:AF4"/>
    <mergeCell ref="A5:J5"/>
    <mergeCell ref="K5:N5"/>
    <mergeCell ref="O5:T5"/>
    <mergeCell ref="U5:Z5"/>
    <mergeCell ref="AA5:AF5"/>
    <mergeCell ref="A6:J6"/>
    <mergeCell ref="K6:N6"/>
    <mergeCell ref="O6:T6"/>
    <mergeCell ref="U6:Z6"/>
    <mergeCell ref="AA6:AF6"/>
  </mergeCells>
  <conditionalFormatting sqref="A7:A118">
    <cfRule type="cellIs" dxfId="4" priority="5" stopIfTrue="1" operator="equal">
      <formula>#REF!</formula>
    </cfRule>
  </conditionalFormatting>
  <conditionalFormatting sqref="K7:K118 O7:O118 U7:U83 AA7:AA118 U85:U91 U93:U97 U106:U118">
    <cfRule type="cellIs" dxfId="3" priority="6" stopIfTrue="1" operator="equal">
      <formula>#REF!</formula>
    </cfRule>
  </conditionalFormatting>
  <conditionalFormatting sqref="U84">
    <cfRule type="cellIs" dxfId="2" priority="4" stopIfTrue="1" operator="equal">
      <formula>#REF!</formula>
    </cfRule>
  </conditionalFormatting>
  <conditionalFormatting sqref="U92">
    <cfRule type="cellIs" dxfId="1" priority="3" stopIfTrue="1" operator="equal">
      <formula>#REF!</formula>
    </cfRule>
  </conditionalFormatting>
  <conditionalFormatting sqref="U98:U105">
    <cfRule type="cellIs" dxfId="0" priority="1" stopIfTrue="1" operator="equal">
      <formula>#REF!</formula>
    </cfRule>
  </conditionalFormatting>
  <pageMargins left="0.7" right="0.7" top="0.75" bottom="0.75" header="0.3" footer="0.3"/>
  <pageSetup paperSize="9" scale="8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A2" sqref="A2:E2"/>
    </sheetView>
  </sheetViews>
  <sheetFormatPr defaultRowHeight="13.2" x14ac:dyDescent="0.25"/>
  <cols>
    <col min="1" max="1" width="8.21875" customWidth="1"/>
    <col min="2" max="2" width="41" customWidth="1"/>
    <col min="3" max="3" width="32.77734375" customWidth="1"/>
    <col min="4" max="4" width="22.6640625" customWidth="1"/>
    <col min="5" max="5" width="32.77734375" customWidth="1"/>
    <col min="257" max="257" width="8.21875" customWidth="1"/>
    <col min="258" max="258" width="41" customWidth="1"/>
    <col min="259" max="261" width="32.77734375" customWidth="1"/>
    <col min="513" max="513" width="8.21875" customWidth="1"/>
    <col min="514" max="514" width="41" customWidth="1"/>
    <col min="515" max="517" width="32.77734375" customWidth="1"/>
    <col min="769" max="769" width="8.21875" customWidth="1"/>
    <col min="770" max="770" width="41" customWidth="1"/>
    <col min="771" max="773" width="32.77734375" customWidth="1"/>
    <col min="1025" max="1025" width="8.21875" customWidth="1"/>
    <col min="1026" max="1026" width="41" customWidth="1"/>
    <col min="1027" max="1029" width="32.77734375" customWidth="1"/>
    <col min="1281" max="1281" width="8.21875" customWidth="1"/>
    <col min="1282" max="1282" width="41" customWidth="1"/>
    <col min="1283" max="1285" width="32.77734375" customWidth="1"/>
    <col min="1537" max="1537" width="8.21875" customWidth="1"/>
    <col min="1538" max="1538" width="41" customWidth="1"/>
    <col min="1539" max="1541" width="32.77734375" customWidth="1"/>
    <col min="1793" max="1793" width="8.21875" customWidth="1"/>
    <col min="1794" max="1794" width="41" customWidth="1"/>
    <col min="1795" max="1797" width="32.77734375" customWidth="1"/>
    <col min="2049" max="2049" width="8.21875" customWidth="1"/>
    <col min="2050" max="2050" width="41" customWidth="1"/>
    <col min="2051" max="2053" width="32.77734375" customWidth="1"/>
    <col min="2305" max="2305" width="8.21875" customWidth="1"/>
    <col min="2306" max="2306" width="41" customWidth="1"/>
    <col min="2307" max="2309" width="32.77734375" customWidth="1"/>
    <col min="2561" max="2561" width="8.21875" customWidth="1"/>
    <col min="2562" max="2562" width="41" customWidth="1"/>
    <col min="2563" max="2565" width="32.77734375" customWidth="1"/>
    <col min="2817" max="2817" width="8.21875" customWidth="1"/>
    <col min="2818" max="2818" width="41" customWidth="1"/>
    <col min="2819" max="2821" width="32.77734375" customWidth="1"/>
    <col min="3073" max="3073" width="8.21875" customWidth="1"/>
    <col min="3074" max="3074" width="41" customWidth="1"/>
    <col min="3075" max="3077" width="32.77734375" customWidth="1"/>
    <col min="3329" max="3329" width="8.21875" customWidth="1"/>
    <col min="3330" max="3330" width="41" customWidth="1"/>
    <col min="3331" max="3333" width="32.77734375" customWidth="1"/>
    <col min="3585" max="3585" width="8.21875" customWidth="1"/>
    <col min="3586" max="3586" width="41" customWidth="1"/>
    <col min="3587" max="3589" width="32.77734375" customWidth="1"/>
    <col min="3841" max="3841" width="8.21875" customWidth="1"/>
    <col min="3842" max="3842" width="41" customWidth="1"/>
    <col min="3843" max="3845" width="32.77734375" customWidth="1"/>
    <col min="4097" max="4097" width="8.21875" customWidth="1"/>
    <col min="4098" max="4098" width="41" customWidth="1"/>
    <col min="4099" max="4101" width="32.77734375" customWidth="1"/>
    <col min="4353" max="4353" width="8.21875" customWidth="1"/>
    <col min="4354" max="4354" width="41" customWidth="1"/>
    <col min="4355" max="4357" width="32.77734375" customWidth="1"/>
    <col min="4609" max="4609" width="8.21875" customWidth="1"/>
    <col min="4610" max="4610" width="41" customWidth="1"/>
    <col min="4611" max="4613" width="32.77734375" customWidth="1"/>
    <col min="4865" max="4865" width="8.21875" customWidth="1"/>
    <col min="4866" max="4866" width="41" customWidth="1"/>
    <col min="4867" max="4869" width="32.77734375" customWidth="1"/>
    <col min="5121" max="5121" width="8.21875" customWidth="1"/>
    <col min="5122" max="5122" width="41" customWidth="1"/>
    <col min="5123" max="5125" width="32.77734375" customWidth="1"/>
    <col min="5377" max="5377" width="8.21875" customWidth="1"/>
    <col min="5378" max="5378" width="41" customWidth="1"/>
    <col min="5379" max="5381" width="32.77734375" customWidth="1"/>
    <col min="5633" max="5633" width="8.21875" customWidth="1"/>
    <col min="5634" max="5634" width="41" customWidth="1"/>
    <col min="5635" max="5637" width="32.77734375" customWidth="1"/>
    <col min="5889" max="5889" width="8.21875" customWidth="1"/>
    <col min="5890" max="5890" width="41" customWidth="1"/>
    <col min="5891" max="5893" width="32.77734375" customWidth="1"/>
    <col min="6145" max="6145" width="8.21875" customWidth="1"/>
    <col min="6146" max="6146" width="41" customWidth="1"/>
    <col min="6147" max="6149" width="32.77734375" customWidth="1"/>
    <col min="6401" max="6401" width="8.21875" customWidth="1"/>
    <col min="6402" max="6402" width="41" customWidth="1"/>
    <col min="6403" max="6405" width="32.77734375" customWidth="1"/>
    <col min="6657" max="6657" width="8.21875" customWidth="1"/>
    <col min="6658" max="6658" width="41" customWidth="1"/>
    <col min="6659" max="6661" width="32.77734375" customWidth="1"/>
    <col min="6913" max="6913" width="8.21875" customWidth="1"/>
    <col min="6914" max="6914" width="41" customWidth="1"/>
    <col min="6915" max="6917" width="32.77734375" customWidth="1"/>
    <col min="7169" max="7169" width="8.21875" customWidth="1"/>
    <col min="7170" max="7170" width="41" customWidth="1"/>
    <col min="7171" max="7173" width="32.77734375" customWidth="1"/>
    <col min="7425" max="7425" width="8.21875" customWidth="1"/>
    <col min="7426" max="7426" width="41" customWidth="1"/>
    <col min="7427" max="7429" width="32.77734375" customWidth="1"/>
    <col min="7681" max="7681" width="8.21875" customWidth="1"/>
    <col min="7682" max="7682" width="41" customWidth="1"/>
    <col min="7683" max="7685" width="32.77734375" customWidth="1"/>
    <col min="7937" max="7937" width="8.21875" customWidth="1"/>
    <col min="7938" max="7938" width="41" customWidth="1"/>
    <col min="7939" max="7941" width="32.77734375" customWidth="1"/>
    <col min="8193" max="8193" width="8.21875" customWidth="1"/>
    <col min="8194" max="8194" width="41" customWidth="1"/>
    <col min="8195" max="8197" width="32.77734375" customWidth="1"/>
    <col min="8449" max="8449" width="8.21875" customWidth="1"/>
    <col min="8450" max="8450" width="41" customWidth="1"/>
    <col min="8451" max="8453" width="32.77734375" customWidth="1"/>
    <col min="8705" max="8705" width="8.21875" customWidth="1"/>
    <col min="8706" max="8706" width="41" customWidth="1"/>
    <col min="8707" max="8709" width="32.77734375" customWidth="1"/>
    <col min="8961" max="8961" width="8.21875" customWidth="1"/>
    <col min="8962" max="8962" width="41" customWidth="1"/>
    <col min="8963" max="8965" width="32.77734375" customWidth="1"/>
    <col min="9217" max="9217" width="8.21875" customWidth="1"/>
    <col min="9218" max="9218" width="41" customWidth="1"/>
    <col min="9219" max="9221" width="32.77734375" customWidth="1"/>
    <col min="9473" max="9473" width="8.21875" customWidth="1"/>
    <col min="9474" max="9474" width="41" customWidth="1"/>
    <col min="9475" max="9477" width="32.77734375" customWidth="1"/>
    <col min="9729" max="9729" width="8.21875" customWidth="1"/>
    <col min="9730" max="9730" width="41" customWidth="1"/>
    <col min="9731" max="9733" width="32.77734375" customWidth="1"/>
    <col min="9985" max="9985" width="8.21875" customWidth="1"/>
    <col min="9986" max="9986" width="41" customWidth="1"/>
    <col min="9987" max="9989" width="32.77734375" customWidth="1"/>
    <col min="10241" max="10241" width="8.21875" customWidth="1"/>
    <col min="10242" max="10242" width="41" customWidth="1"/>
    <col min="10243" max="10245" width="32.77734375" customWidth="1"/>
    <col min="10497" max="10497" width="8.21875" customWidth="1"/>
    <col min="10498" max="10498" width="41" customWidth="1"/>
    <col min="10499" max="10501" width="32.77734375" customWidth="1"/>
    <col min="10753" max="10753" width="8.21875" customWidth="1"/>
    <col min="10754" max="10754" width="41" customWidth="1"/>
    <col min="10755" max="10757" width="32.77734375" customWidth="1"/>
    <col min="11009" max="11009" width="8.21875" customWidth="1"/>
    <col min="11010" max="11010" width="41" customWidth="1"/>
    <col min="11011" max="11013" width="32.77734375" customWidth="1"/>
    <col min="11265" max="11265" width="8.21875" customWidth="1"/>
    <col min="11266" max="11266" width="41" customWidth="1"/>
    <col min="11267" max="11269" width="32.77734375" customWidth="1"/>
    <col min="11521" max="11521" width="8.21875" customWidth="1"/>
    <col min="11522" max="11522" width="41" customWidth="1"/>
    <col min="11523" max="11525" width="32.77734375" customWidth="1"/>
    <col min="11777" max="11777" width="8.21875" customWidth="1"/>
    <col min="11778" max="11778" width="41" customWidth="1"/>
    <col min="11779" max="11781" width="32.77734375" customWidth="1"/>
    <col min="12033" max="12033" width="8.21875" customWidth="1"/>
    <col min="12034" max="12034" width="41" customWidth="1"/>
    <col min="12035" max="12037" width="32.77734375" customWidth="1"/>
    <col min="12289" max="12289" width="8.21875" customWidth="1"/>
    <col min="12290" max="12290" width="41" customWidth="1"/>
    <col min="12291" max="12293" width="32.77734375" customWidth="1"/>
    <col min="12545" max="12545" width="8.21875" customWidth="1"/>
    <col min="12546" max="12546" width="41" customWidth="1"/>
    <col min="12547" max="12549" width="32.77734375" customWidth="1"/>
    <col min="12801" max="12801" width="8.21875" customWidth="1"/>
    <col min="12802" max="12802" width="41" customWidth="1"/>
    <col min="12803" max="12805" width="32.77734375" customWidth="1"/>
    <col min="13057" max="13057" width="8.21875" customWidth="1"/>
    <col min="13058" max="13058" width="41" customWidth="1"/>
    <col min="13059" max="13061" width="32.77734375" customWidth="1"/>
    <col min="13313" max="13313" width="8.21875" customWidth="1"/>
    <col min="13314" max="13314" width="41" customWidth="1"/>
    <col min="13315" max="13317" width="32.77734375" customWidth="1"/>
    <col min="13569" max="13569" width="8.21875" customWidth="1"/>
    <col min="13570" max="13570" width="41" customWidth="1"/>
    <col min="13571" max="13573" width="32.77734375" customWidth="1"/>
    <col min="13825" max="13825" width="8.21875" customWidth="1"/>
    <col min="13826" max="13826" width="41" customWidth="1"/>
    <col min="13827" max="13829" width="32.77734375" customWidth="1"/>
    <col min="14081" max="14081" width="8.21875" customWidth="1"/>
    <col min="14082" max="14082" width="41" customWidth="1"/>
    <col min="14083" max="14085" width="32.77734375" customWidth="1"/>
    <col min="14337" max="14337" width="8.21875" customWidth="1"/>
    <col min="14338" max="14338" width="41" customWidth="1"/>
    <col min="14339" max="14341" width="32.77734375" customWidth="1"/>
    <col min="14593" max="14593" width="8.21875" customWidth="1"/>
    <col min="14594" max="14594" width="41" customWidth="1"/>
    <col min="14595" max="14597" width="32.77734375" customWidth="1"/>
    <col min="14849" max="14849" width="8.21875" customWidth="1"/>
    <col min="14850" max="14850" width="41" customWidth="1"/>
    <col min="14851" max="14853" width="32.77734375" customWidth="1"/>
    <col min="15105" max="15105" width="8.21875" customWidth="1"/>
    <col min="15106" max="15106" width="41" customWidth="1"/>
    <col min="15107" max="15109" width="32.77734375" customWidth="1"/>
    <col min="15361" max="15361" width="8.21875" customWidth="1"/>
    <col min="15362" max="15362" width="41" customWidth="1"/>
    <col min="15363" max="15365" width="32.77734375" customWidth="1"/>
    <col min="15617" max="15617" width="8.21875" customWidth="1"/>
    <col min="15618" max="15618" width="41" customWidth="1"/>
    <col min="15619" max="15621" width="32.77734375" customWidth="1"/>
    <col min="15873" max="15873" width="8.21875" customWidth="1"/>
    <col min="15874" max="15874" width="41" customWidth="1"/>
    <col min="15875" max="15877" width="32.77734375" customWidth="1"/>
    <col min="16129" max="16129" width="8.21875" customWidth="1"/>
    <col min="16130" max="16130" width="41" customWidth="1"/>
    <col min="16131" max="16133" width="32.77734375" customWidth="1"/>
  </cols>
  <sheetData>
    <row r="1" spans="1:5" ht="18.600000000000001" customHeight="1" x14ac:dyDescent="0.25">
      <c r="A1" s="1484" t="s">
        <v>467</v>
      </c>
      <c r="B1" s="1485"/>
      <c r="C1" s="1485"/>
      <c r="D1" s="1485"/>
      <c r="E1" s="1485"/>
    </row>
    <row r="2" spans="1:5" ht="18" customHeight="1" x14ac:dyDescent="0.25">
      <c r="A2" s="1484" t="s">
        <v>1116</v>
      </c>
      <c r="B2" s="1485"/>
      <c r="C2" s="1485"/>
      <c r="D2" s="1485"/>
      <c r="E2" s="1485"/>
    </row>
    <row r="3" spans="1:5" ht="15.6" thickBot="1" x14ac:dyDescent="0.3">
      <c r="A3" s="830"/>
      <c r="B3" s="831"/>
      <c r="C3" s="831"/>
      <c r="D3" s="831"/>
      <c r="E3" s="832" t="s">
        <v>1113</v>
      </c>
    </row>
    <row r="4" spans="1:5" ht="22.8" customHeight="1" x14ac:dyDescent="0.25">
      <c r="A4" s="1481" t="s">
        <v>1117</v>
      </c>
      <c r="B4" s="1482"/>
      <c r="C4" s="1482"/>
      <c r="D4" s="1482"/>
      <c r="E4" s="1483"/>
    </row>
    <row r="5" spans="1:5" ht="15" x14ac:dyDescent="0.25">
      <c r="A5" s="748"/>
      <c r="B5" s="743" t="s">
        <v>366</v>
      </c>
      <c r="C5" s="743" t="s">
        <v>595</v>
      </c>
      <c r="D5" s="743" t="s">
        <v>596</v>
      </c>
      <c r="E5" s="749" t="s">
        <v>597</v>
      </c>
    </row>
    <row r="6" spans="1:5" ht="15.6" thickBot="1" x14ac:dyDescent="0.3">
      <c r="A6" s="759">
        <v>1</v>
      </c>
      <c r="B6" s="760">
        <v>2</v>
      </c>
      <c r="C6" s="760">
        <v>3</v>
      </c>
      <c r="D6" s="760">
        <v>4</v>
      </c>
      <c r="E6" s="761">
        <v>5</v>
      </c>
    </row>
    <row r="7" spans="1:5" x14ac:dyDescent="0.25">
      <c r="A7" s="851" t="s">
        <v>528</v>
      </c>
      <c r="B7" s="852" t="s">
        <v>1076</v>
      </c>
      <c r="C7" s="853">
        <v>235225956</v>
      </c>
      <c r="D7" s="853">
        <v>0</v>
      </c>
      <c r="E7" s="854">
        <v>280131713</v>
      </c>
    </row>
    <row r="8" spans="1:5" ht="26.4" x14ac:dyDescent="0.25">
      <c r="A8" s="750" t="s">
        <v>530</v>
      </c>
      <c r="B8" s="744" t="s">
        <v>1077</v>
      </c>
      <c r="C8" s="745">
        <v>70354709</v>
      </c>
      <c r="D8" s="745">
        <v>0</v>
      </c>
      <c r="E8" s="751">
        <v>245485488</v>
      </c>
    </row>
    <row r="9" spans="1:5" ht="26.4" x14ac:dyDescent="0.25">
      <c r="A9" s="849" t="s">
        <v>534</v>
      </c>
      <c r="B9" s="746" t="s">
        <v>1078</v>
      </c>
      <c r="C9" s="747">
        <v>305580665</v>
      </c>
      <c r="D9" s="747">
        <v>0</v>
      </c>
      <c r="E9" s="850">
        <v>525617201</v>
      </c>
    </row>
    <row r="10" spans="1:5" x14ac:dyDescent="0.25">
      <c r="A10" s="750" t="s">
        <v>579</v>
      </c>
      <c r="B10" s="744" t="s">
        <v>1079</v>
      </c>
      <c r="C10" s="745">
        <v>-179186</v>
      </c>
      <c r="D10" s="745">
        <v>0</v>
      </c>
      <c r="E10" s="751">
        <v>0</v>
      </c>
    </row>
    <row r="11" spans="1:5" x14ac:dyDescent="0.25">
      <c r="A11" s="750" t="s">
        <v>581</v>
      </c>
      <c r="B11" s="744" t="s">
        <v>1080</v>
      </c>
      <c r="C11" s="745">
        <v>14030299</v>
      </c>
      <c r="D11" s="745">
        <v>0</v>
      </c>
      <c r="E11" s="751">
        <v>0</v>
      </c>
    </row>
    <row r="12" spans="1:5" ht="26.4" x14ac:dyDescent="0.25">
      <c r="A12" s="849" t="s">
        <v>583</v>
      </c>
      <c r="B12" s="746" t="s">
        <v>1081</v>
      </c>
      <c r="C12" s="747">
        <v>13851113</v>
      </c>
      <c r="D12" s="747">
        <v>0</v>
      </c>
      <c r="E12" s="850">
        <v>0</v>
      </c>
    </row>
    <row r="13" spans="1:5" ht="26.4" x14ac:dyDescent="0.25">
      <c r="A13" s="750" t="s">
        <v>536</v>
      </c>
      <c r="B13" s="744" t="s">
        <v>1082</v>
      </c>
      <c r="C13" s="745">
        <v>547659376</v>
      </c>
      <c r="D13" s="745">
        <v>0</v>
      </c>
      <c r="E13" s="751">
        <v>545833966</v>
      </c>
    </row>
    <row r="14" spans="1:5" ht="26.4" x14ac:dyDescent="0.25">
      <c r="A14" s="750" t="s">
        <v>585</v>
      </c>
      <c r="B14" s="744" t="s">
        <v>1083</v>
      </c>
      <c r="C14" s="745">
        <v>72087702</v>
      </c>
      <c r="D14" s="745">
        <v>0</v>
      </c>
      <c r="E14" s="751">
        <v>59033559</v>
      </c>
    </row>
    <row r="15" spans="1:5" ht="26.4" x14ac:dyDescent="0.25">
      <c r="A15" s="750" t="s">
        <v>587</v>
      </c>
      <c r="B15" s="744" t="s">
        <v>1084</v>
      </c>
      <c r="C15" s="745">
        <v>127727397</v>
      </c>
      <c r="D15" s="745">
        <v>0</v>
      </c>
      <c r="E15" s="751">
        <v>141486355</v>
      </c>
    </row>
    <row r="16" spans="1:5" ht="26.4" x14ac:dyDescent="0.25">
      <c r="A16" s="750" t="s">
        <v>589</v>
      </c>
      <c r="B16" s="744" t="s">
        <v>1085</v>
      </c>
      <c r="C16" s="745">
        <v>70861044</v>
      </c>
      <c r="D16" s="745">
        <v>0</v>
      </c>
      <c r="E16" s="751">
        <v>80042845</v>
      </c>
    </row>
    <row r="17" spans="1:5" ht="26.4" x14ac:dyDescent="0.25">
      <c r="A17" s="849" t="s">
        <v>591</v>
      </c>
      <c r="B17" s="746" t="s">
        <v>1086</v>
      </c>
      <c r="C17" s="747">
        <v>818335519</v>
      </c>
      <c r="D17" s="747">
        <v>0</v>
      </c>
      <c r="E17" s="850">
        <v>826396725</v>
      </c>
    </row>
    <row r="18" spans="1:5" x14ac:dyDescent="0.25">
      <c r="A18" s="750" t="s">
        <v>756</v>
      </c>
      <c r="B18" s="744" t="s">
        <v>1087</v>
      </c>
      <c r="C18" s="745">
        <v>14099989</v>
      </c>
      <c r="D18" s="745">
        <v>0</v>
      </c>
      <c r="E18" s="751">
        <v>14785206</v>
      </c>
    </row>
    <row r="19" spans="1:5" x14ac:dyDescent="0.25">
      <c r="A19" s="750" t="s">
        <v>538</v>
      </c>
      <c r="B19" s="744" t="s">
        <v>1088</v>
      </c>
      <c r="C19" s="745">
        <v>131404622</v>
      </c>
      <c r="D19" s="745">
        <v>0</v>
      </c>
      <c r="E19" s="751">
        <v>62931837</v>
      </c>
    </row>
    <row r="20" spans="1:5" x14ac:dyDescent="0.25">
      <c r="A20" s="750" t="s">
        <v>759</v>
      </c>
      <c r="B20" s="744" t="s">
        <v>1089</v>
      </c>
      <c r="C20" s="745">
        <v>0</v>
      </c>
      <c r="D20" s="745">
        <v>0</v>
      </c>
      <c r="E20" s="751">
        <v>205966427</v>
      </c>
    </row>
    <row r="21" spans="1:5" x14ac:dyDescent="0.25">
      <c r="A21" s="750" t="s">
        <v>605</v>
      </c>
      <c r="B21" s="744" t="s">
        <v>1090</v>
      </c>
      <c r="C21" s="745">
        <v>20961765</v>
      </c>
      <c r="D21" s="745">
        <v>0</v>
      </c>
      <c r="E21" s="751">
        <v>13183344</v>
      </c>
    </row>
    <row r="22" spans="1:5" x14ac:dyDescent="0.25">
      <c r="A22" s="849" t="s">
        <v>762</v>
      </c>
      <c r="B22" s="746" t="s">
        <v>1091</v>
      </c>
      <c r="C22" s="747">
        <v>166466376</v>
      </c>
      <c r="D22" s="747">
        <v>0</v>
      </c>
      <c r="E22" s="850">
        <v>296866814</v>
      </c>
    </row>
    <row r="23" spans="1:5" x14ac:dyDescent="0.25">
      <c r="A23" s="750" t="s">
        <v>764</v>
      </c>
      <c r="B23" s="744" t="s">
        <v>1092</v>
      </c>
      <c r="C23" s="745">
        <v>56239260</v>
      </c>
      <c r="D23" s="745">
        <v>0</v>
      </c>
      <c r="E23" s="751">
        <v>47312003</v>
      </c>
    </row>
    <row r="24" spans="1:5" x14ac:dyDescent="0.25">
      <c r="A24" s="750" t="s">
        <v>540</v>
      </c>
      <c r="B24" s="744" t="s">
        <v>1093</v>
      </c>
      <c r="C24" s="745">
        <v>24268330</v>
      </c>
      <c r="D24" s="745">
        <v>0</v>
      </c>
      <c r="E24" s="751">
        <v>25789559</v>
      </c>
    </row>
    <row r="25" spans="1:5" x14ac:dyDescent="0.25">
      <c r="A25" s="750" t="s">
        <v>1094</v>
      </c>
      <c r="B25" s="744" t="s">
        <v>1095</v>
      </c>
      <c r="C25" s="745">
        <v>13004367</v>
      </c>
      <c r="D25" s="745">
        <v>0</v>
      </c>
      <c r="E25" s="751">
        <v>11905457</v>
      </c>
    </row>
    <row r="26" spans="1:5" x14ac:dyDescent="0.25">
      <c r="A26" s="849" t="s">
        <v>607</v>
      </c>
      <c r="B26" s="746" t="s">
        <v>1096</v>
      </c>
      <c r="C26" s="747">
        <v>93511957</v>
      </c>
      <c r="D26" s="747">
        <v>0</v>
      </c>
      <c r="E26" s="850">
        <v>85007019</v>
      </c>
    </row>
    <row r="27" spans="1:5" x14ac:dyDescent="0.25">
      <c r="A27" s="849" t="s">
        <v>1097</v>
      </c>
      <c r="B27" s="746" t="s">
        <v>1098</v>
      </c>
      <c r="C27" s="747">
        <v>191190597</v>
      </c>
      <c r="D27" s="747">
        <v>0</v>
      </c>
      <c r="E27" s="850">
        <v>181275691</v>
      </c>
    </row>
    <row r="28" spans="1:5" x14ac:dyDescent="0.25">
      <c r="A28" s="849" t="s">
        <v>1099</v>
      </c>
      <c r="B28" s="746" t="s">
        <v>1100</v>
      </c>
      <c r="C28" s="747">
        <v>717354449</v>
      </c>
      <c r="D28" s="747">
        <v>0</v>
      </c>
      <c r="E28" s="850">
        <v>794029094</v>
      </c>
    </row>
    <row r="29" spans="1:5" ht="26.4" x14ac:dyDescent="0.25">
      <c r="A29" s="849" t="s">
        <v>767</v>
      </c>
      <c r="B29" s="746" t="s">
        <v>1101</v>
      </c>
      <c r="C29" s="747">
        <v>-30756082</v>
      </c>
      <c r="D29" s="747">
        <v>0</v>
      </c>
      <c r="E29" s="850">
        <v>-5164692</v>
      </c>
    </row>
    <row r="30" spans="1:5" ht="26.4" x14ac:dyDescent="0.25">
      <c r="A30" s="750" t="s">
        <v>609</v>
      </c>
      <c r="B30" s="744" t="s">
        <v>1102</v>
      </c>
      <c r="C30" s="745">
        <v>47935</v>
      </c>
      <c r="D30" s="745">
        <v>0</v>
      </c>
      <c r="E30" s="751">
        <v>3488291</v>
      </c>
    </row>
    <row r="31" spans="1:5" ht="26.4" x14ac:dyDescent="0.25">
      <c r="A31" s="750" t="s">
        <v>611</v>
      </c>
      <c r="B31" s="744" t="s">
        <v>1103</v>
      </c>
      <c r="C31" s="745">
        <v>0</v>
      </c>
      <c r="D31" s="745">
        <v>0</v>
      </c>
      <c r="E31" s="751">
        <v>4054875</v>
      </c>
    </row>
    <row r="32" spans="1:5" ht="26.4" x14ac:dyDescent="0.25">
      <c r="A32" s="849" t="s">
        <v>613</v>
      </c>
      <c r="B32" s="746" t="s">
        <v>1104</v>
      </c>
      <c r="C32" s="747">
        <v>47935</v>
      </c>
      <c r="D32" s="747">
        <v>0</v>
      </c>
      <c r="E32" s="850">
        <v>7543166</v>
      </c>
    </row>
    <row r="33" spans="1:5" ht="26.4" x14ac:dyDescent="0.25">
      <c r="A33" s="750" t="s">
        <v>546</v>
      </c>
      <c r="B33" s="744" t="s">
        <v>1105</v>
      </c>
      <c r="C33" s="745">
        <v>0</v>
      </c>
      <c r="D33" s="745">
        <v>0</v>
      </c>
      <c r="E33" s="751">
        <v>2415728</v>
      </c>
    </row>
    <row r="34" spans="1:5" ht="26.4" x14ac:dyDescent="0.25">
      <c r="A34" s="849" t="s">
        <v>1106</v>
      </c>
      <c r="B34" s="746" t="s">
        <v>1107</v>
      </c>
      <c r="C34" s="747">
        <v>0</v>
      </c>
      <c r="D34" s="747">
        <v>0</v>
      </c>
      <c r="E34" s="850">
        <v>2415728</v>
      </c>
    </row>
    <row r="35" spans="1:5" ht="26.4" x14ac:dyDescent="0.25">
      <c r="A35" s="849" t="s">
        <v>550</v>
      </c>
      <c r="B35" s="746" t="s">
        <v>1108</v>
      </c>
      <c r="C35" s="747">
        <v>47935</v>
      </c>
      <c r="D35" s="747">
        <v>0</v>
      </c>
      <c r="E35" s="850">
        <v>5127438</v>
      </c>
    </row>
    <row r="36" spans="1:5" ht="13.8" thickBot="1" x14ac:dyDescent="0.3">
      <c r="A36" s="752" t="s">
        <v>1109</v>
      </c>
      <c r="B36" s="753" t="s">
        <v>1110</v>
      </c>
      <c r="C36" s="754">
        <v>-30708147</v>
      </c>
      <c r="D36" s="754">
        <v>0</v>
      </c>
      <c r="E36" s="755">
        <v>-37254</v>
      </c>
    </row>
  </sheetData>
  <mergeCells count="3">
    <mergeCell ref="A4:E4"/>
    <mergeCell ref="A1:E1"/>
    <mergeCell ref="A2:E2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53"/>
  <sheetViews>
    <sheetView view="pageBreakPreview" zoomScale="75" zoomScaleNormal="75" zoomScaleSheetLayoutView="75" workbookViewId="0">
      <selection activeCell="J118" sqref="J118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9.33203125" style="22" customWidth="1"/>
    <col min="4" max="5" width="18.5546875" style="23" customWidth="1"/>
    <col min="6" max="6" width="15.33203125" style="23" bestFit="1" customWidth="1"/>
    <col min="7" max="7" width="0.6640625" style="23" customWidth="1"/>
    <col min="8" max="8" width="15.5546875" style="22" customWidth="1"/>
    <col min="9" max="9" width="15.5546875" style="23" customWidth="1"/>
    <col min="10" max="10" width="22.44140625" style="23" customWidth="1"/>
    <col min="11" max="11" width="0.6640625" style="23" customWidth="1"/>
    <col min="12" max="12" width="10.5546875" style="22" customWidth="1"/>
    <col min="13" max="13" width="15.33203125" style="22" customWidth="1"/>
    <col min="14" max="14" width="14.33203125" style="22" customWidth="1"/>
    <col min="15" max="15" width="0.6640625" style="23" customWidth="1"/>
    <col min="16" max="17" width="14.5546875" style="22" customWidth="1"/>
    <col min="18" max="18" width="14.5546875" style="22" hidden="1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26" t="s">
        <v>454</v>
      </c>
      <c r="B1" s="225"/>
      <c r="C1" s="225"/>
      <c r="D1" s="225"/>
      <c r="E1" s="225"/>
      <c r="F1" s="338"/>
      <c r="G1" s="224"/>
      <c r="H1" s="223"/>
      <c r="I1" s="223"/>
      <c r="J1" s="221" t="str">
        <f>+'1. Sülysáp összesen'!J1</f>
        <v>2019. ÉVI ZÁRSZÁMADÁS</v>
      </c>
      <c r="K1" s="227"/>
      <c r="L1" s="227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3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3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39"/>
      <c r="D5" s="339"/>
      <c r="E5" s="339"/>
      <c r="F5" s="339"/>
      <c r="G5" s="339"/>
      <c r="H5" s="340"/>
      <c r="I5" s="340"/>
      <c r="J5" s="340"/>
      <c r="K5" s="339"/>
      <c r="L5" s="341"/>
      <c r="M5" s="36"/>
      <c r="N5" s="36"/>
      <c r="O5" s="339"/>
      <c r="P5" s="340"/>
      <c r="Q5" s="340"/>
      <c r="R5" s="340"/>
      <c r="S5" s="340"/>
      <c r="T5" s="36"/>
      <c r="U5" s="263"/>
    </row>
    <row r="6" spans="1:27" ht="14.1" hidden="1" customHeight="1" x14ac:dyDescent="0.25">
      <c r="A6" s="46"/>
      <c r="B6" s="46"/>
      <c r="C6" s="339"/>
      <c r="D6" s="339"/>
      <c r="E6" s="339"/>
      <c r="F6" s="339"/>
      <c r="G6" s="339"/>
      <c r="H6" s="340"/>
      <c r="I6" s="340"/>
      <c r="J6" s="340"/>
      <c r="K6" s="339"/>
      <c r="L6" s="341"/>
      <c r="M6" s="36"/>
      <c r="N6" s="36"/>
      <c r="O6" s="339"/>
      <c r="P6" s="340"/>
      <c r="Q6" s="340"/>
      <c r="R6" s="340"/>
      <c r="S6" s="340"/>
      <c r="T6" s="36"/>
      <c r="U6" s="263"/>
    </row>
    <row r="7" spans="1:27" ht="15.6" x14ac:dyDescent="0.3">
      <c r="A7" s="46"/>
      <c r="B7" s="46"/>
      <c r="C7" s="1386" t="s">
        <v>403</v>
      </c>
      <c r="D7" s="1387"/>
      <c r="E7" s="1387"/>
      <c r="F7" s="1388"/>
      <c r="G7" s="342"/>
      <c r="H7" s="1386" t="s">
        <v>402</v>
      </c>
      <c r="I7" s="1389"/>
      <c r="J7" s="1389"/>
      <c r="K7" s="1389"/>
      <c r="L7" s="1389"/>
      <c r="M7" s="1389"/>
      <c r="N7" s="1390"/>
      <c r="O7" s="342"/>
      <c r="P7" s="1386" t="s">
        <v>399</v>
      </c>
      <c r="Q7" s="1387"/>
      <c r="R7" s="1387"/>
      <c r="S7" s="1387"/>
      <c r="T7" s="1388"/>
      <c r="U7"/>
    </row>
    <row r="8" spans="1:27" ht="13.8" x14ac:dyDescent="0.25">
      <c r="A8" s="46"/>
      <c r="B8" s="46"/>
      <c r="C8" s="514"/>
      <c r="D8" s="461"/>
      <c r="E8" s="461"/>
      <c r="F8" s="486"/>
      <c r="G8" s="339"/>
      <c r="H8" s="1391" t="s">
        <v>412</v>
      </c>
      <c r="I8" s="1392"/>
      <c r="J8" s="1392"/>
      <c r="K8" s="460"/>
      <c r="L8" s="1393" t="s">
        <v>411</v>
      </c>
      <c r="M8" s="1392"/>
      <c r="N8" s="1394"/>
      <c r="O8" s="339"/>
      <c r="P8" s="485">
        <f>+'1. Sülysáp összesen'!P8</f>
        <v>1</v>
      </c>
      <c r="Q8" s="343">
        <f>+'2. Önk. Bevételek'!Q8</f>
        <v>1</v>
      </c>
      <c r="R8" s="343">
        <f>+'1. Sülysáp összesen'!R8</f>
        <v>1</v>
      </c>
      <c r="S8" s="461"/>
      <c r="T8" s="486"/>
      <c r="U8"/>
    </row>
    <row r="9" spans="1:27" ht="20.100000000000001" customHeight="1" x14ac:dyDescent="0.25">
      <c r="A9" s="344"/>
      <c r="B9" s="345" t="s">
        <v>372</v>
      </c>
      <c r="C9" s="487">
        <f>+C22</f>
        <v>1950141657.9999998</v>
      </c>
      <c r="D9" s="346">
        <f t="shared" ref="D9:J9" si="0">+D22</f>
        <v>1962128521</v>
      </c>
      <c r="E9" s="346">
        <f t="shared" si="0"/>
        <v>1972413317</v>
      </c>
      <c r="F9" s="515">
        <f t="shared" si="0"/>
        <v>1961864060</v>
      </c>
      <c r="G9" s="346"/>
      <c r="H9" s="487">
        <f t="shared" si="0"/>
        <v>1189751244</v>
      </c>
      <c r="I9" s="346">
        <f t="shared" si="0"/>
        <v>1488837849</v>
      </c>
      <c r="J9" s="346">
        <f t="shared" si="0"/>
        <v>1878462663</v>
      </c>
      <c r="K9" s="347"/>
      <c r="L9" s="683">
        <f>IF(D9=0,0,H9/D9)</f>
        <v>0.60635744869232244</v>
      </c>
      <c r="M9" s="684">
        <f>IF(E9=0,0,I9/E9)</f>
        <v>0.75483056019135564</v>
      </c>
      <c r="N9" s="685">
        <f>IF(F9=0,0,J9/F9)</f>
        <v>0.95748869725458963</v>
      </c>
      <c r="O9" s="347"/>
      <c r="P9" s="487">
        <f>IF(D9&gt;0,+D9-C9,0)</f>
        <v>11986863.000000238</v>
      </c>
      <c r="Q9" s="346">
        <f>IF(E9&gt;0,+E9-D9,0)</f>
        <v>10284796</v>
      </c>
      <c r="R9" s="346">
        <f>IF(F9&gt;0,+F9-E9,0)</f>
        <v>-10549257</v>
      </c>
      <c r="S9" s="346">
        <f>+P9*P$8+Q9*Q$8+R9*R$8</f>
        <v>11722402.000000238</v>
      </c>
      <c r="T9" s="488">
        <f>+S9/C9</f>
        <v>6.0110515315191732E-3</v>
      </c>
      <c r="U9" s="244"/>
      <c r="V9" s="230">
        <f>+S9-E9+C9</f>
        <v>-10549257</v>
      </c>
    </row>
    <row r="10" spans="1:27" ht="13.8" x14ac:dyDescent="0.25">
      <c r="A10" s="350"/>
      <c r="B10" s="351"/>
      <c r="C10" s="489"/>
      <c r="D10" s="339"/>
      <c r="E10" s="339"/>
      <c r="F10" s="516"/>
      <c r="G10" s="339"/>
      <c r="H10" s="489"/>
      <c r="I10" s="339"/>
      <c r="J10" s="339"/>
      <c r="K10" s="339"/>
      <c r="L10" s="352"/>
      <c r="M10" s="353"/>
      <c r="N10" s="490"/>
      <c r="O10" s="339"/>
      <c r="P10" s="489"/>
      <c r="Q10" s="339"/>
      <c r="R10" s="339"/>
      <c r="S10" s="339"/>
      <c r="T10" s="490"/>
      <c r="U10" s="236"/>
      <c r="V10" s="237"/>
    </row>
    <row r="11" spans="1:27" s="1" customFormat="1" ht="64.5" customHeight="1" x14ac:dyDescent="0.25">
      <c r="A11" s="354" t="s">
        <v>368</v>
      </c>
      <c r="B11" s="354" t="s">
        <v>366</v>
      </c>
      <c r="C11" s="517" t="s">
        <v>484</v>
      </c>
      <c r="D11" s="355" t="s">
        <v>485</v>
      </c>
      <c r="E11" s="355" t="s">
        <v>486</v>
      </c>
      <c r="F11" s="518" t="s">
        <v>512</v>
      </c>
      <c r="G11" s="355"/>
      <c r="H11" s="491" t="s">
        <v>487</v>
      </c>
      <c r="I11" s="356" t="s">
        <v>488</v>
      </c>
      <c r="J11" s="356" t="s">
        <v>501</v>
      </c>
      <c r="K11" s="355"/>
      <c r="L11" s="357" t="s">
        <v>489</v>
      </c>
      <c r="M11" s="357" t="s">
        <v>490</v>
      </c>
      <c r="N11" s="492" t="s">
        <v>511</v>
      </c>
      <c r="O11" s="355"/>
      <c r="P11" s="491" t="s">
        <v>491</v>
      </c>
      <c r="Q11" s="356" t="s">
        <v>492</v>
      </c>
      <c r="R11" s="356" t="s">
        <v>510</v>
      </c>
      <c r="S11" s="356" t="s">
        <v>400</v>
      </c>
      <c r="T11" s="492" t="s">
        <v>401</v>
      </c>
      <c r="U11" s="337"/>
      <c r="V11" s="131" t="s">
        <v>405</v>
      </c>
    </row>
    <row r="12" spans="1:27" x14ac:dyDescent="0.25">
      <c r="A12" s="358"/>
      <c r="B12" s="47"/>
      <c r="C12" s="519"/>
      <c r="D12" s="359"/>
      <c r="E12" s="359"/>
      <c r="F12" s="520"/>
      <c r="G12" s="359"/>
      <c r="H12" s="493"/>
      <c r="I12" s="338"/>
      <c r="J12" s="338"/>
      <c r="K12" s="359"/>
      <c r="L12" s="693"/>
      <c r="M12" s="693"/>
      <c r="N12" s="694"/>
      <c r="O12" s="359"/>
      <c r="P12" s="493"/>
      <c r="Q12" s="338"/>
      <c r="R12" s="338"/>
      <c r="S12" s="338"/>
      <c r="T12" s="494"/>
      <c r="U12" s="363"/>
      <c r="V12" s="192"/>
    </row>
    <row r="13" spans="1:27" x14ac:dyDescent="0.25">
      <c r="A13" s="34" t="s">
        <v>237</v>
      </c>
      <c r="B13" s="511" t="s">
        <v>442</v>
      </c>
      <c r="C13" s="159">
        <f>+C36</f>
        <v>572340889</v>
      </c>
      <c r="D13" s="159">
        <f>+D36</f>
        <v>583546237</v>
      </c>
      <c r="E13" s="159">
        <f>+E36</f>
        <v>583793086</v>
      </c>
      <c r="F13" s="159">
        <f>+F36</f>
        <v>609944327</v>
      </c>
      <c r="G13" s="503"/>
      <c r="H13" s="370">
        <f>+H36</f>
        <v>304959425</v>
      </c>
      <c r="I13" s="159">
        <f>+I36</f>
        <v>464974939</v>
      </c>
      <c r="J13" s="159">
        <f>+J36</f>
        <v>609817886</v>
      </c>
      <c r="K13" s="159"/>
      <c r="L13" s="670">
        <f t="shared" ref="L13:N22" si="1">IF(D13=0,0,H13/D13)</f>
        <v>0.52259684951065843</v>
      </c>
      <c r="M13" s="670">
        <f t="shared" si="1"/>
        <v>0.79647215794535808</v>
      </c>
      <c r="N13" s="670">
        <f t="shared" si="1"/>
        <v>0.99979270075250659</v>
      </c>
      <c r="O13" s="677"/>
      <c r="P13" s="171">
        <f t="shared" ref="P13:R19" si="2">+(D13-C13)*P$8</f>
        <v>11205348</v>
      </c>
      <c r="Q13" s="171">
        <f t="shared" si="2"/>
        <v>246849</v>
      </c>
      <c r="R13" s="171">
        <f t="shared" si="2"/>
        <v>26151241</v>
      </c>
      <c r="S13" s="171">
        <f>+P13*P$8+Q13*Q$8+R13*R$8</f>
        <v>37603438</v>
      </c>
      <c r="T13" s="172">
        <f t="shared" ref="T13:T23" si="3">IF(C13=0,0,+S13/C13)</f>
        <v>6.5701120997490009E-2</v>
      </c>
      <c r="U13" s="482"/>
      <c r="V13" s="237">
        <f t="shared" ref="V13:V23" si="4">+S13-E13+C13</f>
        <v>26151241</v>
      </c>
    </row>
    <row r="14" spans="1:27" ht="15" customHeight="1" x14ac:dyDescent="0.25">
      <c r="A14" s="34" t="s">
        <v>258</v>
      </c>
      <c r="B14" s="511" t="s">
        <v>441</v>
      </c>
      <c r="C14" s="159">
        <f>+C48</f>
        <v>285600000</v>
      </c>
      <c r="D14" s="159">
        <f>+D48</f>
        <v>285600000</v>
      </c>
      <c r="E14" s="159">
        <f>+E48</f>
        <v>285600000</v>
      </c>
      <c r="F14" s="159">
        <f>+F48</f>
        <v>241108000</v>
      </c>
      <c r="G14" s="503"/>
      <c r="H14" s="159">
        <f>+H48</f>
        <v>52664113</v>
      </c>
      <c r="I14" s="159">
        <f>+I48</f>
        <v>50464113</v>
      </c>
      <c r="J14" s="159">
        <f>+J48</f>
        <v>147169193</v>
      </c>
      <c r="K14" s="159"/>
      <c r="L14" s="670">
        <f t="shared" si="1"/>
        <v>0.18439815476190477</v>
      </c>
      <c r="M14" s="670">
        <f t="shared" si="1"/>
        <v>0.17669507352941177</v>
      </c>
      <c r="N14" s="670">
        <f t="shared" si="1"/>
        <v>0.61038701743616963</v>
      </c>
      <c r="O14" s="677"/>
      <c r="P14" s="171">
        <f t="shared" si="2"/>
        <v>0</v>
      </c>
      <c r="Q14" s="171">
        <f t="shared" si="2"/>
        <v>0</v>
      </c>
      <c r="R14" s="171">
        <f t="shared" si="2"/>
        <v>-44492000</v>
      </c>
      <c r="S14" s="171">
        <f t="shared" ref="S14:S22" si="5">+P14*P$8+Q14*Q$8+R14*R$8</f>
        <v>-44492000</v>
      </c>
      <c r="T14" s="172">
        <f t="shared" si="3"/>
        <v>-0.1557843137254902</v>
      </c>
      <c r="U14" s="482"/>
      <c r="V14" s="237">
        <f t="shared" si="4"/>
        <v>-44492000</v>
      </c>
    </row>
    <row r="15" spans="1:27" x14ac:dyDescent="0.25">
      <c r="A15" s="34" t="s">
        <v>266</v>
      </c>
      <c r="B15" s="511" t="s">
        <v>267</v>
      </c>
      <c r="C15" s="159">
        <f>+C60</f>
        <v>238500000</v>
      </c>
      <c r="D15" s="159">
        <f>+D60</f>
        <v>238500000</v>
      </c>
      <c r="E15" s="159">
        <f>+E60</f>
        <v>238500000</v>
      </c>
      <c r="F15" s="159">
        <f>+F60</f>
        <v>274449000</v>
      </c>
      <c r="G15" s="503"/>
      <c r="H15" s="159">
        <f>+H60</f>
        <v>126487519</v>
      </c>
      <c r="I15" s="159">
        <f>+I60</f>
        <v>188691308</v>
      </c>
      <c r="J15" s="159">
        <f>+J60</f>
        <v>274433456</v>
      </c>
      <c r="K15" s="159"/>
      <c r="L15" s="670">
        <f t="shared" si="1"/>
        <v>0.53034599161425577</v>
      </c>
      <c r="M15" s="670">
        <f t="shared" si="1"/>
        <v>0.79115852410901466</v>
      </c>
      <c r="N15" s="670">
        <f t="shared" si="1"/>
        <v>0.99994336288345009</v>
      </c>
      <c r="O15" s="677"/>
      <c r="P15" s="171">
        <f t="shared" si="2"/>
        <v>0</v>
      </c>
      <c r="Q15" s="171">
        <f t="shared" si="2"/>
        <v>0</v>
      </c>
      <c r="R15" s="171">
        <f t="shared" si="2"/>
        <v>35949000</v>
      </c>
      <c r="S15" s="171">
        <f t="shared" si="5"/>
        <v>35949000</v>
      </c>
      <c r="T15" s="172">
        <f t="shared" si="3"/>
        <v>0.15072955974842767</v>
      </c>
      <c r="U15" s="482"/>
      <c r="V15" s="237">
        <f t="shared" si="4"/>
        <v>35949000</v>
      </c>
    </row>
    <row r="16" spans="1:27" x14ac:dyDescent="0.25">
      <c r="A16" s="34" t="s">
        <v>280</v>
      </c>
      <c r="B16" s="511" t="s">
        <v>281</v>
      </c>
      <c r="C16" s="370">
        <f>+C72</f>
        <v>270513649</v>
      </c>
      <c r="D16" s="159">
        <f>+D72</f>
        <v>330513649</v>
      </c>
      <c r="E16" s="159">
        <f>+E72</f>
        <v>369819560</v>
      </c>
      <c r="F16" s="159">
        <f>+F72</f>
        <v>361511448</v>
      </c>
      <c r="G16" s="503"/>
      <c r="H16" s="370">
        <f>+H72</f>
        <v>256456899</v>
      </c>
      <c r="I16" s="370">
        <f>+I72</f>
        <v>331572601</v>
      </c>
      <c r="J16" s="159">
        <f>+J72</f>
        <v>364307181</v>
      </c>
      <c r="K16" s="159"/>
      <c r="L16" s="670">
        <f t="shared" si="1"/>
        <v>0.77593436693441975</v>
      </c>
      <c r="M16" s="670">
        <f t="shared" si="1"/>
        <v>0.89657940483191312</v>
      </c>
      <c r="N16" s="670">
        <f t="shared" si="1"/>
        <v>1.0077334563413327</v>
      </c>
      <c r="O16" s="677"/>
      <c r="P16" s="171">
        <f t="shared" si="2"/>
        <v>60000000</v>
      </c>
      <c r="Q16" s="171">
        <f t="shared" si="2"/>
        <v>39305911</v>
      </c>
      <c r="R16" s="171">
        <f t="shared" si="2"/>
        <v>-8308112</v>
      </c>
      <c r="S16" s="171">
        <f t="shared" si="5"/>
        <v>90997799</v>
      </c>
      <c r="T16" s="172">
        <f t="shared" si="3"/>
        <v>0.33638893762436362</v>
      </c>
      <c r="U16" s="482"/>
      <c r="V16" s="237">
        <f t="shared" si="4"/>
        <v>-8308112</v>
      </c>
    </row>
    <row r="17" spans="1:22" x14ac:dyDescent="0.25">
      <c r="A17" s="34" t="s">
        <v>306</v>
      </c>
      <c r="B17" s="511" t="s">
        <v>307</v>
      </c>
      <c r="C17" s="159">
        <f>+C84</f>
        <v>99395520</v>
      </c>
      <c r="D17" s="159">
        <f>+D84</f>
        <v>99395520</v>
      </c>
      <c r="E17" s="159">
        <f>+E84</f>
        <v>60089609</v>
      </c>
      <c r="F17" s="159">
        <f>+F84</f>
        <v>40240223</v>
      </c>
      <c r="G17" s="503"/>
      <c r="H17" s="159">
        <f>+H84</f>
        <v>24370866</v>
      </c>
      <c r="I17" s="159">
        <f>+I84</f>
        <v>27956388</v>
      </c>
      <c r="J17" s="159">
        <f>+J84</f>
        <v>36042225</v>
      </c>
      <c r="K17" s="159"/>
      <c r="L17" s="670">
        <f t="shared" si="1"/>
        <v>0.24519078928305824</v>
      </c>
      <c r="M17" s="670">
        <f t="shared" si="1"/>
        <v>0.46524496439975171</v>
      </c>
      <c r="N17" s="670">
        <f t="shared" si="1"/>
        <v>0.89567657217008967</v>
      </c>
      <c r="O17" s="677"/>
      <c r="P17" s="171">
        <f t="shared" si="2"/>
        <v>0</v>
      </c>
      <c r="Q17" s="171">
        <f t="shared" si="2"/>
        <v>-39305911</v>
      </c>
      <c r="R17" s="171">
        <f t="shared" si="2"/>
        <v>-19849386</v>
      </c>
      <c r="S17" s="171">
        <f t="shared" si="5"/>
        <v>-59155297</v>
      </c>
      <c r="T17" s="172">
        <f t="shared" si="3"/>
        <v>-0.59515053595976963</v>
      </c>
      <c r="U17" s="482"/>
      <c r="V17" s="237">
        <f t="shared" si="4"/>
        <v>-19849386</v>
      </c>
    </row>
    <row r="18" spans="1:22" x14ac:dyDescent="0.25">
      <c r="A18" s="34" t="s">
        <v>316</v>
      </c>
      <c r="B18" s="511" t="s">
        <v>317</v>
      </c>
      <c r="C18" s="159">
        <f>+C96</f>
        <v>0</v>
      </c>
      <c r="D18" s="159">
        <f>+D96</f>
        <v>0</v>
      </c>
      <c r="E18" s="159">
        <f>+E96</f>
        <v>10037947</v>
      </c>
      <c r="F18" s="159">
        <f>+F96</f>
        <v>10037947</v>
      </c>
      <c r="G18" s="503"/>
      <c r="H18" s="159">
        <f>+H96</f>
        <v>0</v>
      </c>
      <c r="I18" s="159">
        <f>+I96</f>
        <v>0</v>
      </c>
      <c r="J18" s="159">
        <f>+J96</f>
        <v>0</v>
      </c>
      <c r="K18" s="159"/>
      <c r="L18" s="670">
        <f t="shared" si="1"/>
        <v>0</v>
      </c>
      <c r="M18" s="670">
        <f t="shared" si="1"/>
        <v>0</v>
      </c>
      <c r="N18" s="670">
        <f t="shared" si="1"/>
        <v>0</v>
      </c>
      <c r="O18" s="677"/>
      <c r="P18" s="171">
        <f t="shared" si="2"/>
        <v>0</v>
      </c>
      <c r="Q18" s="171">
        <f t="shared" si="2"/>
        <v>10037947</v>
      </c>
      <c r="R18" s="171">
        <f t="shared" si="2"/>
        <v>0</v>
      </c>
      <c r="S18" s="171">
        <f t="shared" si="5"/>
        <v>10037947</v>
      </c>
      <c r="T18" s="172">
        <f t="shared" si="3"/>
        <v>0</v>
      </c>
      <c r="U18" s="482"/>
      <c r="V18" s="237">
        <f t="shared" si="4"/>
        <v>0</v>
      </c>
    </row>
    <row r="19" spans="1:22" x14ac:dyDescent="0.25">
      <c r="A19" s="34" t="s">
        <v>322</v>
      </c>
      <c r="B19" s="511" t="s">
        <v>323</v>
      </c>
      <c r="C19" s="159">
        <f>+C108</f>
        <v>60000000</v>
      </c>
      <c r="D19" s="159">
        <f>+D108</f>
        <v>112693</v>
      </c>
      <c r="E19" s="159">
        <f>+E108</f>
        <v>112693</v>
      </c>
      <c r="F19" s="159">
        <f>+F108</f>
        <v>112693</v>
      </c>
      <c r="G19" s="503"/>
      <c r="H19" s="159">
        <f>+H108</f>
        <v>352000</v>
      </c>
      <c r="I19" s="159">
        <f>+I108</f>
        <v>718078</v>
      </c>
      <c r="J19" s="159">
        <f>+J108</f>
        <v>939676</v>
      </c>
      <c r="K19" s="159"/>
      <c r="L19" s="670">
        <f t="shared" si="1"/>
        <v>3.1235302991312683</v>
      </c>
      <c r="M19" s="670">
        <f t="shared" si="1"/>
        <v>6.3719840628965416</v>
      </c>
      <c r="N19" s="670">
        <f t="shared" si="1"/>
        <v>8.3383706175183914</v>
      </c>
      <c r="O19" s="677"/>
      <c r="P19" s="171">
        <f t="shared" si="2"/>
        <v>-59887307</v>
      </c>
      <c r="Q19" s="171">
        <f t="shared" si="2"/>
        <v>0</v>
      </c>
      <c r="R19" s="171">
        <f t="shared" si="2"/>
        <v>0</v>
      </c>
      <c r="S19" s="171">
        <f t="shared" si="5"/>
        <v>-59887307</v>
      </c>
      <c r="T19" s="172">
        <f t="shared" si="3"/>
        <v>-0.99812178333333335</v>
      </c>
      <c r="U19" s="482"/>
      <c r="V19" s="237">
        <f t="shared" si="4"/>
        <v>0</v>
      </c>
    </row>
    <row r="20" spans="1:22" x14ac:dyDescent="0.25">
      <c r="A20" s="34" t="s">
        <v>329</v>
      </c>
      <c r="B20" s="511" t="s">
        <v>330</v>
      </c>
      <c r="C20" s="159">
        <f>+C120</f>
        <v>941116459.02999997</v>
      </c>
      <c r="D20" s="159">
        <f t="shared" ref="D20:J20" si="6">+D120</f>
        <v>950632459</v>
      </c>
      <c r="E20" s="159">
        <f t="shared" si="6"/>
        <v>953906459</v>
      </c>
      <c r="F20" s="159">
        <f t="shared" si="6"/>
        <v>938189102</v>
      </c>
      <c r="G20" s="503"/>
      <c r="H20" s="159">
        <f t="shared" si="6"/>
        <v>684240604</v>
      </c>
      <c r="I20" s="159">
        <f t="shared" si="6"/>
        <v>808762346</v>
      </c>
      <c r="J20" s="159">
        <f t="shared" si="6"/>
        <v>959481726</v>
      </c>
      <c r="K20" s="159"/>
      <c r="L20" s="670">
        <f t="shared" si="1"/>
        <v>0.71977408042617652</v>
      </c>
      <c r="M20" s="670">
        <f t="shared" si="1"/>
        <v>0.84784240463980332</v>
      </c>
      <c r="N20" s="670">
        <f t="shared" si="1"/>
        <v>1.0226954501545682</v>
      </c>
      <c r="O20" s="677"/>
      <c r="P20" s="159">
        <f>+P120</f>
        <v>8847177.9699999988</v>
      </c>
      <c r="Q20" s="159">
        <f>+Q120</f>
        <v>3274000</v>
      </c>
      <c r="R20" s="159">
        <f>+R120</f>
        <v>-15717357</v>
      </c>
      <c r="S20" s="159">
        <f t="shared" si="5"/>
        <v>-3596179.0300000012</v>
      </c>
      <c r="T20" s="172">
        <f t="shared" si="3"/>
        <v>-3.8211838667730341E-3</v>
      </c>
      <c r="U20" s="482"/>
      <c r="V20" s="237">
        <f t="shared" si="4"/>
        <v>-16386179</v>
      </c>
    </row>
    <row r="21" spans="1:22" x14ac:dyDescent="0.25">
      <c r="A21" s="34"/>
      <c r="B21" s="511" t="s">
        <v>438</v>
      </c>
      <c r="C21" s="159">
        <f>-C144</f>
        <v>-517324859.02999997</v>
      </c>
      <c r="D21" s="159">
        <f t="shared" ref="D21:J21" si="7">-D144</f>
        <v>-526172037</v>
      </c>
      <c r="E21" s="159">
        <f t="shared" si="7"/>
        <v>-529446037</v>
      </c>
      <c r="F21" s="159">
        <f t="shared" si="7"/>
        <v>-513728680</v>
      </c>
      <c r="G21" s="159"/>
      <c r="H21" s="159">
        <f t="shared" si="7"/>
        <v>-259780182</v>
      </c>
      <c r="I21" s="159">
        <f t="shared" si="7"/>
        <v>-384301924</v>
      </c>
      <c r="J21" s="159">
        <f t="shared" si="7"/>
        <v>-513728680</v>
      </c>
      <c r="K21" s="159"/>
      <c r="L21" s="670">
        <f t="shared" si="1"/>
        <v>0.49371719462925395</v>
      </c>
      <c r="M21" s="670">
        <f t="shared" si="1"/>
        <v>0.7258566447632131</v>
      </c>
      <c r="N21" s="670">
        <f t="shared" si="1"/>
        <v>1</v>
      </c>
      <c r="O21" s="677"/>
      <c r="P21" s="159">
        <f>-P144</f>
        <v>-8847177.9699999988</v>
      </c>
      <c r="Q21" s="159">
        <f>-Q144</f>
        <v>-3274000</v>
      </c>
      <c r="R21" s="159">
        <f>-R144</f>
        <v>15717357</v>
      </c>
      <c r="S21" s="159">
        <f t="shared" si="5"/>
        <v>3596179.0300000012</v>
      </c>
      <c r="T21" s="172">
        <f t="shared" si="3"/>
        <v>-6.951490861550608E-3</v>
      </c>
      <c r="U21" s="482"/>
      <c r="V21" s="237">
        <f t="shared" si="4"/>
        <v>15717357</v>
      </c>
    </row>
    <row r="22" spans="1:22" x14ac:dyDescent="0.25">
      <c r="A22" s="12"/>
      <c r="B22" s="512" t="s">
        <v>372</v>
      </c>
      <c r="C22" s="163">
        <f>SUM(C13:C21)</f>
        <v>1950141657.9999998</v>
      </c>
      <c r="D22" s="163">
        <f>SUM(D13:D21)</f>
        <v>1962128521</v>
      </c>
      <c r="E22" s="163">
        <f>SUM(E13:E21)</f>
        <v>1972413317</v>
      </c>
      <c r="F22" s="163">
        <f>SUM(F13:F21)</f>
        <v>1961864060</v>
      </c>
      <c r="G22" s="504"/>
      <c r="H22" s="163">
        <f>SUM(H13:H21)</f>
        <v>1189751244</v>
      </c>
      <c r="I22" s="163">
        <f>SUM(I13:I21)</f>
        <v>1488837849</v>
      </c>
      <c r="J22" s="163">
        <f>SUM(J13:J21)</f>
        <v>1878462663</v>
      </c>
      <c r="K22" s="163"/>
      <c r="L22" s="672">
        <f t="shared" si="1"/>
        <v>0.60635744869232244</v>
      </c>
      <c r="M22" s="672">
        <f t="shared" si="1"/>
        <v>0.75483056019135564</v>
      </c>
      <c r="N22" s="672">
        <f t="shared" si="1"/>
        <v>0.95748869725458963</v>
      </c>
      <c r="O22" s="678"/>
      <c r="P22" s="163">
        <f>SUM(P13:P21)</f>
        <v>11318041</v>
      </c>
      <c r="Q22" s="163">
        <f>SUM(Q13:Q21)</f>
        <v>10284796</v>
      </c>
      <c r="R22" s="163">
        <f>SUM(R13:R21)</f>
        <v>-10549257</v>
      </c>
      <c r="S22" s="163">
        <f t="shared" si="5"/>
        <v>11053580</v>
      </c>
      <c r="T22" s="172">
        <f t="shared" si="3"/>
        <v>5.6680908049193627E-3</v>
      </c>
      <c r="U22" s="483"/>
      <c r="V22" s="237">
        <f t="shared" si="4"/>
        <v>-11218079.000000238</v>
      </c>
    </row>
    <row r="23" spans="1:22" x14ac:dyDescent="0.25">
      <c r="A23" s="34"/>
      <c r="B23" s="513" t="s">
        <v>405</v>
      </c>
      <c r="C23" s="174"/>
      <c r="D23" s="174"/>
      <c r="E23" s="174"/>
      <c r="F23" s="174"/>
      <c r="G23" s="505"/>
      <c r="H23" s="174"/>
      <c r="I23" s="174"/>
      <c r="J23" s="174"/>
      <c r="K23" s="174"/>
      <c r="L23" s="679"/>
      <c r="M23" s="679"/>
      <c r="N23" s="679"/>
      <c r="O23" s="680"/>
      <c r="P23" s="174"/>
      <c r="Q23" s="174"/>
      <c r="R23" s="174"/>
      <c r="S23" s="174"/>
      <c r="T23" s="172">
        <f t="shared" si="3"/>
        <v>0</v>
      </c>
      <c r="U23" s="484"/>
      <c r="V23" s="237">
        <f t="shared" si="4"/>
        <v>0</v>
      </c>
    </row>
    <row r="24" spans="1:22" x14ac:dyDescent="0.25">
      <c r="C24" s="495"/>
      <c r="D24" s="74"/>
      <c r="E24" s="74"/>
      <c r="F24" s="521"/>
      <c r="G24" s="74"/>
      <c r="H24" s="495"/>
      <c r="K24" s="74"/>
      <c r="L24" s="646"/>
      <c r="M24" s="646"/>
      <c r="N24" s="686"/>
      <c r="O24" s="638"/>
      <c r="P24" s="495"/>
      <c r="Q24" s="73"/>
      <c r="R24" s="73"/>
      <c r="S24" s="73"/>
      <c r="T24" s="496"/>
      <c r="U24" s="74"/>
    </row>
    <row r="25" spans="1:22" x14ac:dyDescent="0.25">
      <c r="C25" s="495"/>
      <c r="D25" s="74"/>
      <c r="E25" s="74"/>
      <c r="F25" s="521"/>
      <c r="G25" s="74"/>
      <c r="H25" s="507"/>
      <c r="I25" s="214"/>
      <c r="K25" s="74"/>
      <c r="L25" s="646"/>
      <c r="M25" s="646"/>
      <c r="N25" s="686"/>
      <c r="O25" s="638"/>
      <c r="P25" s="495"/>
      <c r="Q25" s="73"/>
      <c r="R25" s="73"/>
      <c r="S25" s="73"/>
      <c r="T25" s="496"/>
      <c r="U25" s="74"/>
    </row>
    <row r="26" spans="1:22" x14ac:dyDescent="0.25">
      <c r="C26" s="495"/>
      <c r="D26" s="74"/>
      <c r="E26" s="74"/>
      <c r="F26" s="521"/>
      <c r="G26" s="74"/>
      <c r="H26" s="507"/>
      <c r="I26" s="215"/>
      <c r="K26" s="74"/>
      <c r="L26" s="646"/>
      <c r="M26" s="646"/>
      <c r="N26" s="686"/>
      <c r="O26" s="638"/>
      <c r="P26" s="495"/>
      <c r="Q26" s="73"/>
      <c r="R26" s="73"/>
      <c r="S26" s="73"/>
      <c r="T26" s="496"/>
      <c r="U26" s="74"/>
    </row>
    <row r="27" spans="1:22" x14ac:dyDescent="0.25">
      <c r="A27" s="316" t="s">
        <v>237</v>
      </c>
      <c r="B27" s="316" t="str">
        <f>+B13</f>
        <v>Működési célú tám-ok államháztartáson belülről</v>
      </c>
      <c r="C27" s="495"/>
      <c r="D27" s="74"/>
      <c r="E27" s="74"/>
      <c r="F27" s="521"/>
      <c r="G27" s="74"/>
      <c r="H27" s="495"/>
      <c r="K27" s="74"/>
      <c r="L27" s="646"/>
      <c r="M27" s="646"/>
      <c r="N27" s="686"/>
      <c r="O27" s="638"/>
      <c r="P27" s="495"/>
      <c r="Q27" s="73"/>
      <c r="R27" s="73"/>
      <c r="S27" s="73"/>
      <c r="T27" s="496"/>
      <c r="U27" s="74"/>
    </row>
    <row r="28" spans="1:22" x14ac:dyDescent="0.25">
      <c r="B28" s="22" t="str">
        <f>+'3. Önk. Kiadások'!A1</f>
        <v>Sülysáp Város Önkormányzata</v>
      </c>
      <c r="C28" s="495">
        <f>+'2. Önk. Bevételek'!C13</f>
        <v>572340889</v>
      </c>
      <c r="D28" s="73">
        <f>+'2. Önk. Bevételek'!D13</f>
        <v>581856889</v>
      </c>
      <c r="E28" s="73">
        <f>+'2. Önk. Bevételek'!E13</f>
        <v>581856889</v>
      </c>
      <c r="F28" s="456">
        <f>+'2. Önk. Bevételek'!F13</f>
        <v>604993966</v>
      </c>
      <c r="G28" s="73">
        <f>+'3. Önk. Kiadások'!G13</f>
        <v>0</v>
      </c>
      <c r="H28" s="495">
        <f>+'2. Önk. Bevételek'!H13</f>
        <v>303198626</v>
      </c>
      <c r="I28" s="73">
        <f>+'2. Önk. Bevételek'!I13</f>
        <v>462396099</v>
      </c>
      <c r="J28" s="73">
        <f>+'2. Önk. Bevételek'!J13</f>
        <v>604867525</v>
      </c>
      <c r="K28" s="73"/>
      <c r="L28" s="648">
        <f t="shared" ref="L28:N36" si="8">IF(D28=0,0,H28/D28)</f>
        <v>0.52108797151321518</v>
      </c>
      <c r="M28" s="648">
        <f t="shared" si="8"/>
        <v>0.79469042601642204</v>
      </c>
      <c r="N28" s="686">
        <f t="shared" si="8"/>
        <v>0.99979100452714265</v>
      </c>
      <c r="O28" s="630"/>
      <c r="P28" s="495">
        <f>+'2. Önk. Bevételek'!P13</f>
        <v>9516000</v>
      </c>
      <c r="Q28" s="73">
        <f>+'2. Önk. Bevételek'!Q13</f>
        <v>0</v>
      </c>
      <c r="R28" s="73">
        <f>+'2. Önk. Bevételek'!R13</f>
        <v>23137077</v>
      </c>
      <c r="S28" s="73">
        <f t="shared" ref="S28:S34" si="9">+P28*P$8+Q28*Q$8+R28*R$8</f>
        <v>32653077</v>
      </c>
      <c r="T28" s="496"/>
      <c r="U28" s="74"/>
    </row>
    <row r="29" spans="1:22" x14ac:dyDescent="0.25">
      <c r="B29" s="56" t="str">
        <f>+'4. Dr Gáspár HSZK'!A1</f>
        <v>Dr. Gáspár István HSZK</v>
      </c>
      <c r="C29" s="495">
        <f>+'4. Dr Gáspár HSZK'!C93</f>
        <v>0</v>
      </c>
      <c r="D29" s="73">
        <f>+'4. Dr Gáspár HSZK'!D93</f>
        <v>0</v>
      </c>
      <c r="E29" s="73">
        <f>+'4. Dr Gáspár HSZK'!E93</f>
        <v>0</v>
      </c>
      <c r="F29" s="456">
        <f>+'4. Dr Gáspár HSZK'!F93</f>
        <v>0</v>
      </c>
      <c r="G29" s="73"/>
      <c r="H29" s="495">
        <f>+'4. Dr Gáspár HSZK'!H93</f>
        <v>0</v>
      </c>
      <c r="I29" s="73">
        <f>+'4. Dr Gáspár HSZK'!I93</f>
        <v>0</v>
      </c>
      <c r="J29" s="73">
        <f>+'4. Dr Gáspár HSZK'!J93</f>
        <v>0</v>
      </c>
      <c r="K29" s="73"/>
      <c r="L29" s="648">
        <f t="shared" si="8"/>
        <v>0</v>
      </c>
      <c r="M29" s="648">
        <f t="shared" si="8"/>
        <v>0</v>
      </c>
      <c r="N29" s="686">
        <f t="shared" si="8"/>
        <v>0</v>
      </c>
      <c r="O29" s="630"/>
      <c r="P29" s="495">
        <f>+'4. Dr Gáspár HSZK'!P93</f>
        <v>0</v>
      </c>
      <c r="Q29" s="73">
        <f>+'4. Dr Gáspár HSZK'!Q93</f>
        <v>0</v>
      </c>
      <c r="R29" s="73">
        <f>+'4. Dr Gáspár HSZK'!R93</f>
        <v>0</v>
      </c>
      <c r="S29" s="73">
        <f t="shared" si="9"/>
        <v>0</v>
      </c>
      <c r="T29" s="496"/>
      <c r="U29" s="74"/>
    </row>
    <row r="30" spans="1:22" x14ac:dyDescent="0.25">
      <c r="B30" s="56" t="str">
        <f>+'5. Csicsergő'!A1</f>
        <v>SÜLYSÁPI CSICSERGŐ ÓVODA</v>
      </c>
      <c r="C30" s="495">
        <f>+'5. Csicsergő'!C93</f>
        <v>0</v>
      </c>
      <c r="D30" s="73">
        <f>+'5. Csicsergő'!D93</f>
        <v>0</v>
      </c>
      <c r="E30" s="73">
        <f>+'5. Csicsergő'!E93</f>
        <v>0</v>
      </c>
      <c r="F30" s="456">
        <f>+'5. Csicsergő'!F93</f>
        <v>0</v>
      </c>
      <c r="G30" s="73"/>
      <c r="H30" s="495">
        <f>+'5. Csicsergő'!H93</f>
        <v>0</v>
      </c>
      <c r="I30" s="73">
        <f>+'5. Csicsergő'!I93</f>
        <v>0</v>
      </c>
      <c r="J30" s="73">
        <f>+'5. Csicsergő'!J93</f>
        <v>0</v>
      </c>
      <c r="K30" s="73"/>
      <c r="L30" s="648">
        <f t="shared" si="8"/>
        <v>0</v>
      </c>
      <c r="M30" s="648">
        <f t="shared" si="8"/>
        <v>0</v>
      </c>
      <c r="N30" s="686">
        <f t="shared" si="8"/>
        <v>0</v>
      </c>
      <c r="O30" s="630"/>
      <c r="P30" s="495">
        <f>+'5. Csicsergő'!P93</f>
        <v>0</v>
      </c>
      <c r="Q30" s="73">
        <f>+'5. Csicsergő'!Q93</f>
        <v>0</v>
      </c>
      <c r="R30" s="73">
        <f>+'5. Csicsergő'!R93</f>
        <v>0</v>
      </c>
      <c r="S30" s="73">
        <f t="shared" si="9"/>
        <v>0</v>
      </c>
      <c r="T30" s="496"/>
      <c r="U30" s="74"/>
    </row>
    <row r="31" spans="1:22" x14ac:dyDescent="0.25">
      <c r="B31" s="22" t="str">
        <f>+'6. Gólyahír'!A1</f>
        <v>GÓLYAHÍR BÖLCSŐDE</v>
      </c>
      <c r="C31" s="495">
        <f>+'6. Gólyahír'!C93</f>
        <v>0</v>
      </c>
      <c r="D31" s="73">
        <f>+'6. Gólyahír'!D93</f>
        <v>0</v>
      </c>
      <c r="E31" s="73">
        <f>+'6. Gólyahír'!E93</f>
        <v>0</v>
      </c>
      <c r="F31" s="456">
        <f>+'6. Gólyahír'!F93</f>
        <v>0</v>
      </c>
      <c r="G31" s="73"/>
      <c r="H31" s="495">
        <f>+'6. Gólyahír'!H93</f>
        <v>0</v>
      </c>
      <c r="I31" s="73">
        <f>+'6. Gólyahír'!I93</f>
        <v>0</v>
      </c>
      <c r="J31" s="73">
        <f>+'6. Gólyahír'!J93</f>
        <v>0</v>
      </c>
      <c r="K31" s="73"/>
      <c r="L31" s="648">
        <f t="shared" si="8"/>
        <v>0</v>
      </c>
      <c r="M31" s="648">
        <f t="shared" si="8"/>
        <v>0</v>
      </c>
      <c r="N31" s="686">
        <f t="shared" si="8"/>
        <v>0</v>
      </c>
      <c r="O31" s="630"/>
      <c r="P31" s="495">
        <f>+'6. Gólyahír'!P93</f>
        <v>0</v>
      </c>
      <c r="Q31" s="73">
        <f>+'6. Gólyahír'!Q93</f>
        <v>0</v>
      </c>
      <c r="R31" s="73">
        <f>+'6. Gólyahír'!R93</f>
        <v>0</v>
      </c>
      <c r="S31" s="73">
        <f t="shared" si="9"/>
        <v>0</v>
      </c>
      <c r="T31" s="496"/>
      <c r="U31" s="74"/>
    </row>
    <row r="32" spans="1:22" x14ac:dyDescent="0.25">
      <c r="B32" s="73" t="str">
        <f>+'7. Polg.Hiv.'!A1</f>
        <v>POLGÁRMESTERI HIVATAL</v>
      </c>
      <c r="C32" s="495">
        <f>+'7. Polg.Hiv.'!C93</f>
        <v>0</v>
      </c>
      <c r="D32" s="73">
        <f>+'7. Polg.Hiv.'!D93</f>
        <v>1689348</v>
      </c>
      <c r="E32" s="73">
        <f>+'7. Polg.Hiv.'!E93</f>
        <v>1936197</v>
      </c>
      <c r="F32" s="456">
        <f>+'7. Polg.Hiv.'!F93</f>
        <v>4176281</v>
      </c>
      <c r="G32" s="73"/>
      <c r="H32" s="495">
        <f>+'7. Polg.Hiv.'!H93</f>
        <v>1760799</v>
      </c>
      <c r="I32" s="73">
        <f>+'7. Polg.Hiv.'!I93</f>
        <v>2190160</v>
      </c>
      <c r="J32" s="73">
        <f>+'7. Polg.Hiv.'!J93</f>
        <v>4176281</v>
      </c>
      <c r="K32" s="73"/>
      <c r="L32" s="648">
        <f t="shared" si="8"/>
        <v>1.042295015591814</v>
      </c>
      <c r="M32" s="648">
        <f t="shared" si="8"/>
        <v>1.1311658885950138</v>
      </c>
      <c r="N32" s="686">
        <f t="shared" si="8"/>
        <v>1</v>
      </c>
      <c r="O32" s="630"/>
      <c r="P32" s="495">
        <f>+'7. Polg.Hiv.'!P93</f>
        <v>1689348</v>
      </c>
      <c r="Q32" s="73">
        <f>+'7. Polg.Hiv.'!Q93</f>
        <v>246849</v>
      </c>
      <c r="R32" s="73">
        <f>+'7. Polg.Hiv.'!R93</f>
        <v>2240084</v>
      </c>
      <c r="S32" s="73">
        <f t="shared" si="9"/>
        <v>4176281</v>
      </c>
      <c r="T32" s="496"/>
      <c r="U32" s="74"/>
    </row>
    <row r="33" spans="1:21" x14ac:dyDescent="0.25">
      <c r="B33" s="73" t="str">
        <f>+'8. WAMKK'!A1</f>
        <v>Wass Albert Művelődési Központ és Könyvtár</v>
      </c>
      <c r="C33" s="495">
        <f>+'8. WAMKK'!C93</f>
        <v>0</v>
      </c>
      <c r="D33" s="73">
        <f>+'8. WAMKK'!D93</f>
        <v>0</v>
      </c>
      <c r="E33" s="73">
        <f>+'8. WAMKK'!E93</f>
        <v>0</v>
      </c>
      <c r="F33" s="456">
        <f>+'8. WAMKK'!F93</f>
        <v>0</v>
      </c>
      <c r="G33" s="73"/>
      <c r="H33" s="495">
        <f>+'8. WAMKK'!H93</f>
        <v>0</v>
      </c>
      <c r="I33" s="73">
        <f>+'8. WAMKK'!I93</f>
        <v>0</v>
      </c>
      <c r="J33" s="73">
        <f>+'8. WAMKK'!J93</f>
        <v>0</v>
      </c>
      <c r="K33" s="73"/>
      <c r="L33" s="648">
        <f t="shared" si="8"/>
        <v>0</v>
      </c>
      <c r="M33" s="648">
        <f t="shared" si="8"/>
        <v>0</v>
      </c>
      <c r="N33" s="686">
        <f t="shared" si="8"/>
        <v>0</v>
      </c>
      <c r="O33" s="630"/>
      <c r="P33" s="495">
        <f>+'8. WAMKK'!P93</f>
        <v>0</v>
      </c>
      <c r="Q33" s="73">
        <f>+'8. WAMKK'!Q93</f>
        <v>0</v>
      </c>
      <c r="R33" s="73">
        <f>+'8. WAMKK'!R93</f>
        <v>0</v>
      </c>
      <c r="S33" s="73">
        <f t="shared" si="9"/>
        <v>0</v>
      </c>
      <c r="T33" s="496"/>
      <c r="U33" s="74"/>
    </row>
    <row r="34" spans="1:21" x14ac:dyDescent="0.25">
      <c r="B34" s="73" t="str">
        <f>+'9. Közp. Konyha'!A1</f>
        <v>Központi Konyha</v>
      </c>
      <c r="C34" s="495">
        <f>+'9. Közp. Konyha'!C93</f>
        <v>0</v>
      </c>
      <c r="D34" s="73">
        <f>+'9. Közp. Konyha'!D93</f>
        <v>0</v>
      </c>
      <c r="E34" s="73">
        <f>+'9. Közp. Konyha'!E93</f>
        <v>0</v>
      </c>
      <c r="F34" s="456">
        <f>+'9. Közp. Konyha'!F93</f>
        <v>774080</v>
      </c>
      <c r="G34" s="73"/>
      <c r="H34" s="495">
        <f>+'9. Közp. Konyha'!H93</f>
        <v>0</v>
      </c>
      <c r="I34" s="73">
        <f>+'9. Közp. Konyha'!I93</f>
        <v>388680</v>
      </c>
      <c r="J34" s="73">
        <f>+'9. Közp. Konyha'!J93</f>
        <v>774080</v>
      </c>
      <c r="K34" s="73"/>
      <c r="L34" s="648">
        <f t="shared" si="8"/>
        <v>0</v>
      </c>
      <c r="M34" s="648">
        <f t="shared" si="8"/>
        <v>0</v>
      </c>
      <c r="N34" s="686">
        <f t="shared" si="8"/>
        <v>1</v>
      </c>
      <c r="O34" s="630"/>
      <c r="P34" s="495">
        <f>+'9. Közp. Konyha'!P93</f>
        <v>0</v>
      </c>
      <c r="Q34" s="73">
        <f>+'9. Közp. Konyha'!Q93</f>
        <v>0</v>
      </c>
      <c r="R34" s="73">
        <f>+'9. Közp. Konyha'!R93</f>
        <v>774080</v>
      </c>
      <c r="S34" s="73">
        <f t="shared" si="9"/>
        <v>774080</v>
      </c>
      <c r="T34" s="496"/>
      <c r="U34" s="74"/>
    </row>
    <row r="35" spans="1:21" ht="8.1" customHeight="1" x14ac:dyDescent="0.25">
      <c r="B35" s="380" t="s">
        <v>443</v>
      </c>
      <c r="C35" s="497"/>
      <c r="D35" s="379"/>
      <c r="E35" s="379"/>
      <c r="F35" s="508"/>
      <c r="G35" s="379"/>
      <c r="H35" s="497"/>
      <c r="I35" s="379"/>
      <c r="J35" s="379"/>
      <c r="K35" s="379"/>
      <c r="L35" s="687"/>
      <c r="M35" s="687"/>
      <c r="N35" s="688"/>
      <c r="O35" s="681"/>
      <c r="P35" s="497"/>
      <c r="Q35" s="379"/>
      <c r="R35" s="379"/>
      <c r="S35" s="379"/>
      <c r="T35" s="496"/>
      <c r="U35" s="74"/>
    </row>
    <row r="36" spans="1:21" x14ac:dyDescent="0.25">
      <c r="A36" s="381" t="str">
        <f>+A27</f>
        <v>B1</v>
      </c>
      <c r="B36" s="361" t="s">
        <v>437</v>
      </c>
      <c r="C36" s="498">
        <f>SUM(C28:C35)</f>
        <v>572340889</v>
      </c>
      <c r="D36" s="362">
        <f>SUM(D28:D35)</f>
        <v>583546237</v>
      </c>
      <c r="E36" s="362">
        <f>SUM(E28:E35)</f>
        <v>583793086</v>
      </c>
      <c r="F36" s="509">
        <f>SUM(F28:F35)</f>
        <v>609944327</v>
      </c>
      <c r="G36" s="362"/>
      <c r="H36" s="498">
        <f>SUM(H28:H35)</f>
        <v>304959425</v>
      </c>
      <c r="I36" s="362">
        <f>SUM(I28:I35)</f>
        <v>464974939</v>
      </c>
      <c r="J36" s="362">
        <f>SUM(J28:J35)</f>
        <v>609817886</v>
      </c>
      <c r="K36" s="362"/>
      <c r="L36" s="689">
        <f t="shared" si="8"/>
        <v>0.52259684951065843</v>
      </c>
      <c r="M36" s="689">
        <f t="shared" si="8"/>
        <v>0.79647215794535808</v>
      </c>
      <c r="N36" s="690">
        <f t="shared" si="8"/>
        <v>0.99979270075250659</v>
      </c>
      <c r="O36" s="682"/>
      <c r="P36" s="498">
        <f>SUM(P28:P35)</f>
        <v>11205348</v>
      </c>
      <c r="Q36" s="362">
        <f>SUM(Q28:Q35)</f>
        <v>246849</v>
      </c>
      <c r="R36" s="362">
        <f>SUM(R28:R35)</f>
        <v>26151241</v>
      </c>
      <c r="S36" s="362">
        <f>+P36*P$8+Q36*Q$8+R36*R$8</f>
        <v>37603438</v>
      </c>
      <c r="T36" s="496"/>
      <c r="U36" s="74"/>
    </row>
    <row r="37" spans="1:21" x14ac:dyDescent="0.25">
      <c r="C37" s="495"/>
      <c r="D37" s="74"/>
      <c r="E37" s="74"/>
      <c r="F37" s="521"/>
      <c r="G37" s="74"/>
      <c r="H37" s="495"/>
      <c r="K37" s="74"/>
      <c r="L37" s="646"/>
      <c r="M37" s="646"/>
      <c r="N37" s="686"/>
      <c r="O37" s="638"/>
      <c r="P37" s="495"/>
      <c r="Q37" s="73"/>
      <c r="R37" s="73"/>
      <c r="S37" s="73"/>
      <c r="T37" s="496"/>
      <c r="U37" s="74"/>
    </row>
    <row r="38" spans="1:21" x14ac:dyDescent="0.25">
      <c r="C38" s="495"/>
      <c r="D38" s="74"/>
      <c r="E38" s="74"/>
      <c r="F38" s="521"/>
      <c r="G38" s="74"/>
      <c r="H38" s="495"/>
      <c r="K38" s="74"/>
      <c r="L38" s="646"/>
      <c r="M38" s="646"/>
      <c r="N38" s="686"/>
      <c r="O38" s="638"/>
      <c r="P38" s="495"/>
      <c r="Q38" s="73"/>
      <c r="R38" s="73"/>
      <c r="S38" s="73"/>
      <c r="T38" s="496"/>
      <c r="U38" s="74"/>
    </row>
    <row r="39" spans="1:21" x14ac:dyDescent="0.25">
      <c r="A39" s="316" t="s">
        <v>258</v>
      </c>
      <c r="B39" s="316" t="str">
        <f>+B14</f>
        <v>Felhalmozási célú tám-ok államházt-on belülről</v>
      </c>
      <c r="C39" s="495"/>
      <c r="D39" s="74"/>
      <c r="E39" s="74"/>
      <c r="F39" s="521"/>
      <c r="G39" s="74"/>
      <c r="H39" s="495"/>
      <c r="K39" s="74"/>
      <c r="L39" s="646"/>
      <c r="M39" s="646"/>
      <c r="N39" s="686"/>
      <c r="O39" s="638"/>
      <c r="P39" s="495"/>
      <c r="Q39" s="73"/>
      <c r="R39" s="73"/>
      <c r="S39" s="73">
        <f t="shared" ref="S39:S46" si="10">+P39*P$8+Q39*Q$8+R39*R$8</f>
        <v>0</v>
      </c>
      <c r="T39" s="496"/>
      <c r="U39" s="74"/>
    </row>
    <row r="40" spans="1:21" x14ac:dyDescent="0.25">
      <c r="B40" s="56" t="str">
        <f t="shared" ref="B40:B46" si="11">+B28</f>
        <v>Sülysáp Város Önkormányzata</v>
      </c>
      <c r="C40" s="495">
        <f>+'2. Önk. Bevételek'!C30</f>
        <v>285600000</v>
      </c>
      <c r="D40" s="73">
        <f>+'2. Önk. Bevételek'!D30</f>
        <v>285600000</v>
      </c>
      <c r="E40" s="73">
        <f>+'2. Önk. Bevételek'!E30</f>
        <v>285600000</v>
      </c>
      <c r="F40" s="456">
        <f>+'2. Önk. Bevételek'!F30</f>
        <v>241108000</v>
      </c>
      <c r="G40" s="74"/>
      <c r="H40" s="495">
        <f>+'2. Önk. Bevételek'!H30</f>
        <v>52664113</v>
      </c>
      <c r="I40" s="73">
        <f>+'2. Önk. Bevételek'!I30</f>
        <v>50464113</v>
      </c>
      <c r="J40" s="73">
        <f>+'2. Önk. Bevételek'!J30</f>
        <v>147169193</v>
      </c>
      <c r="K40" s="74"/>
      <c r="L40" s="648">
        <f t="shared" ref="L40:L46" si="12">IF(D40=0,0,H40/D40)</f>
        <v>0.18439815476190477</v>
      </c>
      <c r="M40" s="648">
        <f t="shared" ref="M40:M46" si="13">IF(E40=0,0,I40/E40)</f>
        <v>0.17669507352941177</v>
      </c>
      <c r="N40" s="686">
        <f t="shared" ref="N40:N46" si="14">IF(F40=0,0,J40/F40)</f>
        <v>0.61038701743616963</v>
      </c>
      <c r="O40" s="638"/>
      <c r="P40" s="495">
        <f>+'2. Önk. Bevételek'!P30</f>
        <v>0</v>
      </c>
      <c r="Q40" s="73">
        <f>+'2. Önk. Bevételek'!Q30</f>
        <v>0</v>
      </c>
      <c r="R40" s="73">
        <f>+'2. Önk. Bevételek'!R30</f>
        <v>-44492000</v>
      </c>
      <c r="S40" s="73">
        <f t="shared" si="10"/>
        <v>-44492000</v>
      </c>
      <c r="T40" s="496"/>
      <c r="U40" s="74"/>
    </row>
    <row r="41" spans="1:21" x14ac:dyDescent="0.25">
      <c r="B41" s="56" t="str">
        <f t="shared" si="11"/>
        <v>Dr. Gáspár István HSZK</v>
      </c>
      <c r="C41" s="495"/>
      <c r="D41" s="73"/>
      <c r="E41" s="73"/>
      <c r="F41" s="456"/>
      <c r="G41" s="73"/>
      <c r="H41" s="495"/>
      <c r="I41" s="73"/>
      <c r="J41" s="73"/>
      <c r="K41" s="73"/>
      <c r="L41" s="648">
        <f t="shared" si="12"/>
        <v>0</v>
      </c>
      <c r="M41" s="648">
        <f t="shared" si="13"/>
        <v>0</v>
      </c>
      <c r="N41" s="686">
        <f t="shared" si="14"/>
        <v>0</v>
      </c>
      <c r="O41" s="630"/>
      <c r="P41" s="495"/>
      <c r="Q41" s="73"/>
      <c r="R41" s="73"/>
      <c r="S41" s="73">
        <f t="shared" si="10"/>
        <v>0</v>
      </c>
      <c r="T41" s="496"/>
      <c r="U41" s="74"/>
    </row>
    <row r="42" spans="1:21" x14ac:dyDescent="0.25">
      <c r="B42" s="56" t="str">
        <f t="shared" si="11"/>
        <v>SÜLYSÁPI CSICSERGŐ ÓVODA</v>
      </c>
      <c r="C42" s="495"/>
      <c r="D42" s="73"/>
      <c r="E42" s="73"/>
      <c r="F42" s="456"/>
      <c r="G42" s="73"/>
      <c r="H42" s="495"/>
      <c r="I42" s="73"/>
      <c r="J42" s="73"/>
      <c r="K42" s="73"/>
      <c r="L42" s="648">
        <f t="shared" si="12"/>
        <v>0</v>
      </c>
      <c r="M42" s="648">
        <f t="shared" si="13"/>
        <v>0</v>
      </c>
      <c r="N42" s="686">
        <f t="shared" si="14"/>
        <v>0</v>
      </c>
      <c r="O42" s="630"/>
      <c r="P42" s="495"/>
      <c r="Q42" s="73"/>
      <c r="R42" s="73"/>
      <c r="S42" s="73">
        <f t="shared" si="10"/>
        <v>0</v>
      </c>
      <c r="T42" s="496"/>
      <c r="U42" s="74"/>
    </row>
    <row r="43" spans="1:21" x14ac:dyDescent="0.25">
      <c r="B43" s="56" t="str">
        <f t="shared" si="11"/>
        <v>GÓLYAHÍR BÖLCSŐDE</v>
      </c>
      <c r="C43" s="495"/>
      <c r="D43" s="73"/>
      <c r="E43" s="73"/>
      <c r="F43" s="456"/>
      <c r="G43" s="73"/>
      <c r="H43" s="495"/>
      <c r="I43" s="73"/>
      <c r="J43" s="73"/>
      <c r="K43" s="73"/>
      <c r="L43" s="648">
        <f t="shared" si="12"/>
        <v>0</v>
      </c>
      <c r="M43" s="648">
        <f t="shared" si="13"/>
        <v>0</v>
      </c>
      <c r="N43" s="686">
        <f t="shared" si="14"/>
        <v>0</v>
      </c>
      <c r="O43" s="630"/>
      <c r="P43" s="495"/>
      <c r="Q43" s="73"/>
      <c r="R43" s="73"/>
      <c r="S43" s="73">
        <f t="shared" si="10"/>
        <v>0</v>
      </c>
      <c r="T43" s="496"/>
      <c r="U43" s="74"/>
    </row>
    <row r="44" spans="1:21" x14ac:dyDescent="0.25">
      <c r="B44" s="56" t="str">
        <f t="shared" si="11"/>
        <v>POLGÁRMESTERI HIVATAL</v>
      </c>
      <c r="C44" s="495"/>
      <c r="D44" s="73"/>
      <c r="E44" s="73"/>
      <c r="F44" s="456"/>
      <c r="G44" s="73"/>
      <c r="H44" s="495"/>
      <c r="I44" s="73"/>
      <c r="J44" s="73"/>
      <c r="K44" s="73"/>
      <c r="L44" s="648">
        <f t="shared" si="12"/>
        <v>0</v>
      </c>
      <c r="M44" s="648">
        <f t="shared" si="13"/>
        <v>0</v>
      </c>
      <c r="N44" s="686">
        <f t="shared" si="14"/>
        <v>0</v>
      </c>
      <c r="O44" s="630"/>
      <c r="P44" s="495"/>
      <c r="Q44" s="73"/>
      <c r="R44" s="73"/>
      <c r="S44" s="73">
        <f t="shared" si="10"/>
        <v>0</v>
      </c>
      <c r="T44" s="496"/>
      <c r="U44" s="74"/>
    </row>
    <row r="45" spans="1:21" x14ac:dyDescent="0.25">
      <c r="B45" s="56" t="str">
        <f t="shared" si="11"/>
        <v>Wass Albert Művelődési Központ és Könyvtár</v>
      </c>
      <c r="C45" s="495"/>
      <c r="D45" s="73"/>
      <c r="E45" s="73"/>
      <c r="F45" s="456"/>
      <c r="G45" s="73"/>
      <c r="H45" s="495"/>
      <c r="I45" s="73"/>
      <c r="J45" s="73"/>
      <c r="K45" s="73"/>
      <c r="L45" s="648">
        <f t="shared" si="12"/>
        <v>0</v>
      </c>
      <c r="M45" s="648">
        <f t="shared" si="13"/>
        <v>0</v>
      </c>
      <c r="N45" s="686">
        <f t="shared" si="14"/>
        <v>0</v>
      </c>
      <c r="O45" s="630"/>
      <c r="P45" s="495"/>
      <c r="Q45" s="73"/>
      <c r="R45" s="73"/>
      <c r="S45" s="73">
        <f t="shared" si="10"/>
        <v>0</v>
      </c>
      <c r="T45" s="496"/>
      <c r="U45" s="74"/>
    </row>
    <row r="46" spans="1:21" x14ac:dyDescent="0.25">
      <c r="B46" s="56" t="str">
        <f t="shared" si="11"/>
        <v>Központi Konyha</v>
      </c>
      <c r="C46" s="495"/>
      <c r="D46" s="73"/>
      <c r="E46" s="73"/>
      <c r="F46" s="456"/>
      <c r="G46" s="73"/>
      <c r="H46" s="495"/>
      <c r="I46" s="73"/>
      <c r="J46" s="73"/>
      <c r="K46" s="73"/>
      <c r="L46" s="648">
        <f t="shared" si="12"/>
        <v>0</v>
      </c>
      <c r="M46" s="648">
        <f t="shared" si="13"/>
        <v>0</v>
      </c>
      <c r="N46" s="686">
        <f t="shared" si="14"/>
        <v>0</v>
      </c>
      <c r="O46" s="630"/>
      <c r="P46" s="495"/>
      <c r="Q46" s="73"/>
      <c r="R46" s="73"/>
      <c r="S46" s="73">
        <f t="shared" si="10"/>
        <v>0</v>
      </c>
      <c r="T46" s="496"/>
      <c r="U46" s="74"/>
    </row>
    <row r="47" spans="1:21" ht="8.1" customHeight="1" x14ac:dyDescent="0.25">
      <c r="B47" s="380" t="s">
        <v>443</v>
      </c>
      <c r="C47" s="497"/>
      <c r="D47" s="379"/>
      <c r="E47" s="379"/>
      <c r="F47" s="508"/>
      <c r="G47" s="379"/>
      <c r="H47" s="497"/>
      <c r="I47" s="379"/>
      <c r="J47" s="379"/>
      <c r="K47" s="379"/>
      <c r="L47" s="687"/>
      <c r="M47" s="687"/>
      <c r="N47" s="688"/>
      <c r="O47" s="681"/>
      <c r="P47" s="497"/>
      <c r="Q47" s="379"/>
      <c r="R47" s="379"/>
      <c r="S47" s="379"/>
      <c r="T47" s="496"/>
      <c r="U47" s="74"/>
    </row>
    <row r="48" spans="1:21" x14ac:dyDescent="0.25">
      <c r="A48" s="381" t="str">
        <f>+A39</f>
        <v>B2</v>
      </c>
      <c r="B48" s="361" t="s">
        <v>437</v>
      </c>
      <c r="C48" s="498">
        <f>SUM(C40:C47)</f>
        <v>285600000</v>
      </c>
      <c r="D48" s="362">
        <f>SUM(D40:D47)</f>
        <v>285600000</v>
      </c>
      <c r="E48" s="362">
        <f>SUM(E40:E47)</f>
        <v>285600000</v>
      </c>
      <c r="F48" s="509">
        <f>SUM(F40:F47)</f>
        <v>241108000</v>
      </c>
      <c r="G48" s="362"/>
      <c r="H48" s="498">
        <f>SUM(H40:H47)</f>
        <v>52664113</v>
      </c>
      <c r="I48" s="362">
        <f>SUM(I40:I47)</f>
        <v>50464113</v>
      </c>
      <c r="J48" s="362">
        <f>SUM(J40:J47)</f>
        <v>147169193</v>
      </c>
      <c r="K48" s="362"/>
      <c r="L48" s="689">
        <f>IF(D48=0,0,H48/D48)</f>
        <v>0.18439815476190477</v>
      </c>
      <c r="M48" s="689">
        <f>IF(E48=0,0,I48/E48)</f>
        <v>0.17669507352941177</v>
      </c>
      <c r="N48" s="690">
        <f>IF(F48=0,0,J48/F48)</f>
        <v>0.61038701743616963</v>
      </c>
      <c r="O48" s="682"/>
      <c r="P48" s="498">
        <f>SUM(P40:P47)</f>
        <v>0</v>
      </c>
      <c r="Q48" s="362">
        <f>SUM(Q40:Q47)</f>
        <v>0</v>
      </c>
      <c r="R48" s="362">
        <f>SUM(R40:R47)</f>
        <v>-44492000</v>
      </c>
      <c r="S48" s="362">
        <f>+P48*P$8+Q48*Q$8+R48*R$8</f>
        <v>-44492000</v>
      </c>
      <c r="T48" s="496"/>
      <c r="U48" s="74"/>
    </row>
    <row r="49" spans="1:21" x14ac:dyDescent="0.25">
      <c r="C49" s="495"/>
      <c r="D49" s="74"/>
      <c r="E49" s="74"/>
      <c r="F49" s="521"/>
      <c r="G49" s="74"/>
      <c r="H49" s="495"/>
      <c r="K49" s="74"/>
      <c r="L49" s="646"/>
      <c r="M49" s="646"/>
      <c r="N49" s="686"/>
      <c r="O49" s="638"/>
      <c r="P49" s="495"/>
      <c r="Q49" s="73"/>
      <c r="R49" s="73"/>
      <c r="S49" s="73"/>
      <c r="T49" s="496"/>
      <c r="U49" s="74"/>
    </row>
    <row r="50" spans="1:21" x14ac:dyDescent="0.25">
      <c r="C50" s="495"/>
      <c r="D50" s="74"/>
      <c r="E50" s="74"/>
      <c r="F50" s="521"/>
      <c r="G50" s="74"/>
      <c r="H50" s="495"/>
      <c r="K50" s="74"/>
      <c r="L50" s="646"/>
      <c r="M50" s="646"/>
      <c r="N50" s="686"/>
      <c r="O50" s="638"/>
      <c r="P50" s="495"/>
      <c r="Q50" s="73"/>
      <c r="R50" s="73"/>
      <c r="S50" s="73"/>
      <c r="T50" s="496"/>
      <c r="U50" s="74"/>
    </row>
    <row r="51" spans="1:21" x14ac:dyDescent="0.25">
      <c r="A51" s="316" t="s">
        <v>266</v>
      </c>
      <c r="B51" s="378" t="str">
        <f>+B15</f>
        <v>Közhatalmi bevételek</v>
      </c>
      <c r="C51" s="495"/>
      <c r="D51" s="74"/>
      <c r="E51" s="74"/>
      <c r="F51" s="521"/>
      <c r="G51" s="74"/>
      <c r="H51" s="495"/>
      <c r="K51" s="74"/>
      <c r="L51" s="646"/>
      <c r="M51" s="646"/>
      <c r="N51" s="686"/>
      <c r="O51" s="638"/>
      <c r="P51" s="495"/>
      <c r="Q51" s="73"/>
      <c r="R51" s="73"/>
      <c r="S51" s="73"/>
      <c r="T51" s="496"/>
      <c r="U51" s="74"/>
    </row>
    <row r="52" spans="1:21" x14ac:dyDescent="0.25">
      <c r="B52" s="56" t="str">
        <f t="shared" ref="B52:B58" si="15">+B40</f>
        <v>Sülysáp Város Önkormányzata</v>
      </c>
      <c r="C52" s="495">
        <f>+'2. Önk. Bevételek'!C39</f>
        <v>238500000</v>
      </c>
      <c r="D52" s="73">
        <f>+'2. Önk. Bevételek'!D39</f>
        <v>238500000</v>
      </c>
      <c r="E52" s="73">
        <f>+'2. Önk. Bevételek'!E39</f>
        <v>238500000</v>
      </c>
      <c r="F52" s="456">
        <f>+'2. Önk. Bevételek'!F39</f>
        <v>274449000</v>
      </c>
      <c r="G52" s="74"/>
      <c r="H52" s="495">
        <f>+'2. Önk. Bevételek'!H39</f>
        <v>126487519</v>
      </c>
      <c r="I52" s="73">
        <f>+'2. Önk. Bevételek'!I39</f>
        <v>188691308</v>
      </c>
      <c r="J52" s="73">
        <f>+'2. Önk. Bevételek'!J39</f>
        <v>274433456</v>
      </c>
      <c r="K52" s="74"/>
      <c r="L52" s="648">
        <f t="shared" ref="L52:L58" si="16">IF(D52=0,0,H52/D52)</f>
        <v>0.53034599161425577</v>
      </c>
      <c r="M52" s="648">
        <f t="shared" ref="M52:M58" si="17">IF(E52=0,0,I52/E52)</f>
        <v>0.79115852410901466</v>
      </c>
      <c r="N52" s="686">
        <f t="shared" ref="N52:N58" si="18">IF(F52=0,0,J52/F52)</f>
        <v>0.99994336288345009</v>
      </c>
      <c r="O52" s="638"/>
      <c r="P52" s="495">
        <f>+'2. Önk. Bevételek'!P39</f>
        <v>0</v>
      </c>
      <c r="Q52" s="73">
        <f>+'2. Önk. Bevételek'!Q39</f>
        <v>0</v>
      </c>
      <c r="R52" s="73">
        <f>+'2. Önk. Bevételek'!R39</f>
        <v>35949000</v>
      </c>
      <c r="S52" s="73">
        <f t="shared" ref="S52:S58" si="19">+P52*P$8+Q52*Q$8+R52*R$8</f>
        <v>35949000</v>
      </c>
      <c r="T52" s="496"/>
      <c r="U52" s="74"/>
    </row>
    <row r="53" spans="1:21" x14ac:dyDescent="0.25">
      <c r="A53" s="56"/>
      <c r="B53" s="56" t="str">
        <f t="shared" si="15"/>
        <v>Dr. Gáspár István HSZK</v>
      </c>
      <c r="C53" s="495"/>
      <c r="D53" s="73"/>
      <c r="E53" s="73"/>
      <c r="F53" s="456"/>
      <c r="G53" s="73"/>
      <c r="H53" s="495"/>
      <c r="I53" s="73"/>
      <c r="J53" s="73"/>
      <c r="K53" s="73"/>
      <c r="L53" s="648">
        <f t="shared" si="16"/>
        <v>0</v>
      </c>
      <c r="M53" s="648">
        <f t="shared" si="17"/>
        <v>0</v>
      </c>
      <c r="N53" s="686">
        <f t="shared" si="18"/>
        <v>0</v>
      </c>
      <c r="O53" s="630"/>
      <c r="P53" s="495"/>
      <c r="Q53" s="73"/>
      <c r="R53" s="73"/>
      <c r="S53" s="73">
        <f t="shared" si="19"/>
        <v>0</v>
      </c>
      <c r="T53" s="496"/>
      <c r="U53" s="74"/>
    </row>
    <row r="54" spans="1:21" x14ac:dyDescent="0.25">
      <c r="B54" s="56" t="str">
        <f t="shared" si="15"/>
        <v>SÜLYSÁPI CSICSERGŐ ÓVODA</v>
      </c>
      <c r="C54" s="495"/>
      <c r="D54" s="73"/>
      <c r="E54" s="73"/>
      <c r="F54" s="456"/>
      <c r="G54" s="73"/>
      <c r="H54" s="495"/>
      <c r="I54" s="73"/>
      <c r="J54" s="73"/>
      <c r="K54" s="73"/>
      <c r="L54" s="648">
        <f t="shared" si="16"/>
        <v>0</v>
      </c>
      <c r="M54" s="648">
        <f t="shared" si="17"/>
        <v>0</v>
      </c>
      <c r="N54" s="686">
        <f t="shared" si="18"/>
        <v>0</v>
      </c>
      <c r="O54" s="630"/>
      <c r="P54" s="495"/>
      <c r="Q54" s="73"/>
      <c r="R54" s="73"/>
      <c r="S54" s="73">
        <f t="shared" si="19"/>
        <v>0</v>
      </c>
      <c r="T54" s="496"/>
      <c r="U54" s="74"/>
    </row>
    <row r="55" spans="1:21" x14ac:dyDescent="0.25">
      <c r="B55" s="56" t="str">
        <f t="shared" si="15"/>
        <v>GÓLYAHÍR BÖLCSŐDE</v>
      </c>
      <c r="C55" s="495"/>
      <c r="D55" s="73"/>
      <c r="E55" s="73"/>
      <c r="F55" s="456"/>
      <c r="G55" s="73"/>
      <c r="H55" s="495"/>
      <c r="I55" s="73"/>
      <c r="J55" s="73"/>
      <c r="K55" s="73"/>
      <c r="L55" s="648">
        <f t="shared" si="16"/>
        <v>0</v>
      </c>
      <c r="M55" s="648">
        <f t="shared" si="17"/>
        <v>0</v>
      </c>
      <c r="N55" s="686">
        <f t="shared" si="18"/>
        <v>0</v>
      </c>
      <c r="O55" s="630"/>
      <c r="P55" s="495"/>
      <c r="Q55" s="73"/>
      <c r="R55" s="73"/>
      <c r="S55" s="73">
        <f t="shared" si="19"/>
        <v>0</v>
      </c>
      <c r="T55" s="496"/>
      <c r="U55" s="74"/>
    </row>
    <row r="56" spans="1:21" x14ac:dyDescent="0.25">
      <c r="B56" s="56" t="str">
        <f t="shared" si="15"/>
        <v>POLGÁRMESTERI HIVATAL</v>
      </c>
      <c r="C56" s="495"/>
      <c r="D56" s="73"/>
      <c r="E56" s="73"/>
      <c r="F56" s="456"/>
      <c r="G56" s="73"/>
      <c r="H56" s="495"/>
      <c r="I56" s="73"/>
      <c r="J56" s="73"/>
      <c r="K56" s="73"/>
      <c r="L56" s="648">
        <f t="shared" si="16"/>
        <v>0</v>
      </c>
      <c r="M56" s="648">
        <f t="shared" si="17"/>
        <v>0</v>
      </c>
      <c r="N56" s="686">
        <f t="shared" si="18"/>
        <v>0</v>
      </c>
      <c r="O56" s="630"/>
      <c r="P56" s="495"/>
      <c r="Q56" s="73"/>
      <c r="R56" s="73"/>
      <c r="S56" s="73">
        <f t="shared" si="19"/>
        <v>0</v>
      </c>
      <c r="T56" s="496"/>
      <c r="U56" s="74"/>
    </row>
    <row r="57" spans="1:21" x14ac:dyDescent="0.25">
      <c r="B57" s="56" t="str">
        <f t="shared" si="15"/>
        <v>Wass Albert Művelődési Központ és Könyvtár</v>
      </c>
      <c r="C57" s="495"/>
      <c r="D57" s="73"/>
      <c r="E57" s="73"/>
      <c r="F57" s="456"/>
      <c r="G57" s="73"/>
      <c r="H57" s="495"/>
      <c r="I57" s="73"/>
      <c r="J57" s="73"/>
      <c r="K57" s="73"/>
      <c r="L57" s="648">
        <f t="shared" si="16"/>
        <v>0</v>
      </c>
      <c r="M57" s="648">
        <f t="shared" si="17"/>
        <v>0</v>
      </c>
      <c r="N57" s="686">
        <f t="shared" si="18"/>
        <v>0</v>
      </c>
      <c r="O57" s="630"/>
      <c r="P57" s="495"/>
      <c r="Q57" s="73"/>
      <c r="R57" s="73"/>
      <c r="S57" s="73">
        <f t="shared" si="19"/>
        <v>0</v>
      </c>
      <c r="T57" s="496"/>
      <c r="U57" s="74"/>
    </row>
    <row r="58" spans="1:21" x14ac:dyDescent="0.25">
      <c r="B58" s="56" t="str">
        <f t="shared" si="15"/>
        <v>Központi Konyha</v>
      </c>
      <c r="C58" s="495"/>
      <c r="D58" s="73"/>
      <c r="E58" s="73"/>
      <c r="F58" s="456"/>
      <c r="G58" s="73"/>
      <c r="H58" s="495"/>
      <c r="I58" s="73"/>
      <c r="J58" s="73"/>
      <c r="K58" s="73"/>
      <c r="L58" s="648">
        <f t="shared" si="16"/>
        <v>0</v>
      </c>
      <c r="M58" s="648">
        <f t="shared" si="17"/>
        <v>0</v>
      </c>
      <c r="N58" s="686">
        <f t="shared" si="18"/>
        <v>0</v>
      </c>
      <c r="O58" s="630"/>
      <c r="P58" s="495"/>
      <c r="Q58" s="73"/>
      <c r="R58" s="73"/>
      <c r="S58" s="73">
        <f t="shared" si="19"/>
        <v>0</v>
      </c>
      <c r="T58" s="496"/>
      <c r="U58" s="74"/>
    </row>
    <row r="59" spans="1:21" ht="8.1" customHeight="1" x14ac:dyDescent="0.25">
      <c r="B59" s="380" t="s">
        <v>443</v>
      </c>
      <c r="C59" s="497"/>
      <c r="D59" s="379"/>
      <c r="E59" s="379"/>
      <c r="F59" s="508"/>
      <c r="G59" s="379"/>
      <c r="H59" s="497"/>
      <c r="I59" s="379"/>
      <c r="J59" s="379"/>
      <c r="K59" s="379"/>
      <c r="L59" s="687"/>
      <c r="M59" s="687"/>
      <c r="N59" s="688"/>
      <c r="O59" s="681"/>
      <c r="P59" s="497"/>
      <c r="Q59" s="379"/>
      <c r="R59" s="379"/>
      <c r="S59" s="379"/>
      <c r="T59" s="496"/>
      <c r="U59" s="74"/>
    </row>
    <row r="60" spans="1:21" x14ac:dyDescent="0.25">
      <c r="A60" s="381" t="str">
        <f>+A51</f>
        <v>B3</v>
      </c>
      <c r="B60" s="361" t="s">
        <v>437</v>
      </c>
      <c r="C60" s="498">
        <f>SUM(C52:C59)</f>
        <v>238500000</v>
      </c>
      <c r="D60" s="362">
        <f>SUM(D52:D59)</f>
        <v>238500000</v>
      </c>
      <c r="E60" s="362">
        <f>SUM(E52:E59)</f>
        <v>238500000</v>
      </c>
      <c r="F60" s="509">
        <f>SUM(F52:F59)</f>
        <v>274449000</v>
      </c>
      <c r="G60" s="362"/>
      <c r="H60" s="498">
        <f>SUM(H52:H59)</f>
        <v>126487519</v>
      </c>
      <c r="I60" s="362">
        <f>SUM(I52:I59)</f>
        <v>188691308</v>
      </c>
      <c r="J60" s="362">
        <f>SUM(J52:J59)</f>
        <v>274433456</v>
      </c>
      <c r="K60" s="362"/>
      <c r="L60" s="689">
        <f>IF(D60=0,0,H60/D60)</f>
        <v>0.53034599161425577</v>
      </c>
      <c r="M60" s="689">
        <f>IF(E60=0,0,I60/E60)</f>
        <v>0.79115852410901466</v>
      </c>
      <c r="N60" s="690">
        <f>IF(F60=0,0,J60/F60)</f>
        <v>0.99994336288345009</v>
      </c>
      <c r="O60" s="682"/>
      <c r="P60" s="498">
        <f>SUM(P52:P59)</f>
        <v>0</v>
      </c>
      <c r="Q60" s="362">
        <f>SUM(Q52:Q59)</f>
        <v>0</v>
      </c>
      <c r="R60" s="362">
        <f>SUM(R52:R59)</f>
        <v>35949000</v>
      </c>
      <c r="S60" s="362">
        <f>+P60*P$8+Q60*Q$8+R60*R$8</f>
        <v>35949000</v>
      </c>
      <c r="T60" s="496"/>
      <c r="U60" s="74"/>
    </row>
    <row r="61" spans="1:21" x14ac:dyDescent="0.25">
      <c r="C61" s="495"/>
      <c r="D61" s="74"/>
      <c r="E61" s="74"/>
      <c r="F61" s="521"/>
      <c r="G61" s="74"/>
      <c r="H61" s="495"/>
      <c r="K61" s="74"/>
      <c r="L61" s="646"/>
      <c r="M61" s="646"/>
      <c r="N61" s="686"/>
      <c r="O61" s="638"/>
      <c r="P61" s="495"/>
      <c r="Q61" s="73"/>
      <c r="R61" s="73"/>
      <c r="S61" s="73"/>
      <c r="T61" s="496"/>
      <c r="U61" s="74"/>
    </row>
    <row r="62" spans="1:21" x14ac:dyDescent="0.25">
      <c r="C62" s="495"/>
      <c r="D62" s="74"/>
      <c r="E62" s="74"/>
      <c r="F62" s="521"/>
      <c r="G62" s="74"/>
      <c r="H62" s="495"/>
      <c r="K62" s="74"/>
      <c r="L62" s="646"/>
      <c r="M62" s="646"/>
      <c r="N62" s="686"/>
      <c r="O62" s="638"/>
      <c r="P62" s="495"/>
      <c r="Q62" s="73"/>
      <c r="R62" s="73"/>
      <c r="S62" s="73"/>
      <c r="T62" s="496"/>
      <c r="U62" s="74"/>
    </row>
    <row r="63" spans="1:21" x14ac:dyDescent="0.25">
      <c r="A63" s="316" t="s">
        <v>280</v>
      </c>
      <c r="B63" s="316" t="str">
        <f>+B16</f>
        <v>Működési bevételek</v>
      </c>
      <c r="C63" s="495"/>
      <c r="D63" s="74"/>
      <c r="E63" s="74"/>
      <c r="F63" s="521"/>
      <c r="G63" s="74"/>
      <c r="H63" s="495"/>
      <c r="K63" s="74"/>
      <c r="L63" s="646"/>
      <c r="M63" s="646"/>
      <c r="N63" s="686"/>
      <c r="O63" s="638"/>
      <c r="P63" s="495"/>
      <c r="Q63" s="73"/>
      <c r="R63" s="73"/>
      <c r="S63" s="73"/>
      <c r="T63" s="496"/>
      <c r="U63" s="74"/>
    </row>
    <row r="64" spans="1:21" x14ac:dyDescent="0.25">
      <c r="B64" s="56" t="str">
        <f t="shared" ref="B64:B70" si="20">+B52</f>
        <v>Sülysáp Város Önkormányzata</v>
      </c>
      <c r="C64" s="495">
        <f>+'2. Önk. Bevételek'!C50</f>
        <v>228427649</v>
      </c>
      <c r="D64" s="73">
        <f>+'2. Önk. Bevételek'!D50</f>
        <v>288427649</v>
      </c>
      <c r="E64" s="73">
        <f>+'2. Önk. Bevételek'!E50</f>
        <v>327733560</v>
      </c>
      <c r="F64" s="456">
        <f>+'2. Önk. Bevételek'!F50</f>
        <v>320559203</v>
      </c>
      <c r="G64" s="74"/>
      <c r="H64" s="495">
        <f>+'2. Önk. Bevételek'!H50</f>
        <v>237582694</v>
      </c>
      <c r="I64" s="73">
        <f>+'2. Önk. Bevételek'!I50</f>
        <v>304508752</v>
      </c>
      <c r="J64" s="73">
        <f>+'2. Önk. Bevételek'!J50</f>
        <v>323809514</v>
      </c>
      <c r="K64" s="74"/>
      <c r="L64" s="648">
        <f t="shared" ref="L64:L70" si="21">IF(D64=0,0,H64/D64)</f>
        <v>0.82371677896941153</v>
      </c>
      <c r="M64" s="648">
        <f t="shared" ref="M64:M70" si="22">IF(E64=0,0,I64/E64)</f>
        <v>0.92913509376336068</v>
      </c>
      <c r="N64" s="686">
        <f t="shared" ref="N64:N70" si="23">IF(F64=0,0,J64/F64)</f>
        <v>1.0101395029984523</v>
      </c>
      <c r="O64" s="638"/>
      <c r="P64" s="495">
        <f>+'2. Önk. Bevételek'!P50</f>
        <v>60000000</v>
      </c>
      <c r="Q64" s="73">
        <f>+'2. Önk. Bevételek'!Q50</f>
        <v>39305911</v>
      </c>
      <c r="R64" s="73">
        <f>+'2. Önk. Bevételek'!R50</f>
        <v>-7174357</v>
      </c>
      <c r="S64" s="73">
        <f t="shared" ref="S64:S70" si="24">+P64*P$8+Q64*Q$8+R64*R$8</f>
        <v>92131554</v>
      </c>
      <c r="T64" s="496"/>
      <c r="U64" s="74"/>
    </row>
    <row r="65" spans="1:21" x14ac:dyDescent="0.25">
      <c r="A65" s="56"/>
      <c r="B65" s="56" t="str">
        <f t="shared" si="20"/>
        <v>Dr. Gáspár István HSZK</v>
      </c>
      <c r="C65" s="495">
        <f>+'4. Dr Gáspár HSZK'!C95</f>
        <v>7110000</v>
      </c>
      <c r="D65" s="73">
        <f>+'4. Dr Gáspár HSZK'!D95</f>
        <v>7110000</v>
      </c>
      <c r="E65" s="73">
        <f>+'4. Dr Gáspár HSZK'!E95</f>
        <v>7110000</v>
      </c>
      <c r="F65" s="456">
        <f>+'4. Dr Gáspár HSZK'!F95</f>
        <v>7110000</v>
      </c>
      <c r="G65" s="73"/>
      <c r="H65" s="495">
        <f>+'4. Dr Gáspár HSZK'!H95</f>
        <v>2602942</v>
      </c>
      <c r="I65" s="73">
        <f>+'4. Dr Gáspár HSZK'!I95</f>
        <v>4348032</v>
      </c>
      <c r="J65" s="73">
        <f>+'4. Dr Gáspár HSZK'!J95</f>
        <v>6351342</v>
      </c>
      <c r="K65" s="73"/>
      <c r="L65" s="648">
        <f t="shared" si="21"/>
        <v>0.36609592123769341</v>
      </c>
      <c r="M65" s="648">
        <f t="shared" si="22"/>
        <v>0.61153755274261601</v>
      </c>
      <c r="N65" s="686">
        <f t="shared" si="23"/>
        <v>0.89329704641350216</v>
      </c>
      <c r="O65" s="630"/>
      <c r="P65" s="495">
        <f>+'4. Dr Gáspár HSZK'!P95</f>
        <v>0</v>
      </c>
      <c r="Q65" s="73">
        <f>+'4. Dr Gáspár HSZK'!Q95</f>
        <v>0</v>
      </c>
      <c r="R65" s="73">
        <f>+'4. Dr Gáspár HSZK'!R95</f>
        <v>0</v>
      </c>
      <c r="S65" s="73">
        <f t="shared" si="24"/>
        <v>0</v>
      </c>
      <c r="T65" s="496"/>
      <c r="U65" s="74"/>
    </row>
    <row r="66" spans="1:21" x14ac:dyDescent="0.25">
      <c r="B66" s="56" t="str">
        <f t="shared" si="20"/>
        <v>SÜLYSÁPI CSICSERGŐ ÓVODA</v>
      </c>
      <c r="C66" s="495">
        <f>+'5. Csicsergő'!C95</f>
        <v>0</v>
      </c>
      <c r="D66" s="73">
        <f>+'5. Csicsergő'!D95</f>
        <v>0</v>
      </c>
      <c r="E66" s="73">
        <f>+'5. Csicsergő'!E95</f>
        <v>0</v>
      </c>
      <c r="F66" s="456">
        <f>+'5. Csicsergő'!F95</f>
        <v>2833</v>
      </c>
      <c r="G66" s="73"/>
      <c r="H66" s="495">
        <f>+'5. Csicsergő'!H95</f>
        <v>1422</v>
      </c>
      <c r="I66" s="73">
        <f>+'5. Csicsergő'!I95</f>
        <v>2093</v>
      </c>
      <c r="J66" s="73">
        <f>+'5. Csicsergő'!J95</f>
        <v>2833</v>
      </c>
      <c r="K66" s="73"/>
      <c r="L66" s="648">
        <f t="shared" si="21"/>
        <v>0</v>
      </c>
      <c r="M66" s="648">
        <f t="shared" si="22"/>
        <v>0</v>
      </c>
      <c r="N66" s="686">
        <f t="shared" si="23"/>
        <v>1</v>
      </c>
      <c r="O66" s="630"/>
      <c r="P66" s="495">
        <f>+'5. Csicsergő'!P95</f>
        <v>0</v>
      </c>
      <c r="Q66" s="73">
        <f>+'5. Csicsergő'!Q95</f>
        <v>0</v>
      </c>
      <c r="R66" s="73">
        <f>+'5. Csicsergő'!R95</f>
        <v>2833</v>
      </c>
      <c r="S66" s="73">
        <f t="shared" si="24"/>
        <v>2833</v>
      </c>
      <c r="T66" s="496"/>
      <c r="U66" s="74"/>
    </row>
    <row r="67" spans="1:21" x14ac:dyDescent="0.25">
      <c r="B67" s="56" t="str">
        <f t="shared" si="20"/>
        <v>GÓLYAHÍR BÖLCSŐDE</v>
      </c>
      <c r="C67" s="495">
        <f>+'6. Gólyahír'!C95</f>
        <v>3610000</v>
      </c>
      <c r="D67" s="73">
        <f>+'6. Gólyahír'!D95</f>
        <v>3610000</v>
      </c>
      <c r="E67" s="73">
        <f>+'6. Gólyahír'!E95</f>
        <v>3610000</v>
      </c>
      <c r="F67" s="456">
        <f>+'6. Gólyahír'!F95</f>
        <v>3610000</v>
      </c>
      <c r="G67" s="73"/>
      <c r="H67" s="495">
        <f>+'6. Gólyahír'!H95</f>
        <v>1730005</v>
      </c>
      <c r="I67" s="73">
        <f>+'6. Gólyahír'!I95</f>
        <v>2811829</v>
      </c>
      <c r="J67" s="73">
        <f>+'6. Gólyahír'!J95</f>
        <v>4043485</v>
      </c>
      <c r="K67" s="73"/>
      <c r="L67" s="648">
        <f t="shared" si="21"/>
        <v>0.4792257617728532</v>
      </c>
      <c r="M67" s="648">
        <f t="shared" si="22"/>
        <v>0.77890000000000004</v>
      </c>
      <c r="N67" s="686">
        <f t="shared" si="23"/>
        <v>1.120078947368421</v>
      </c>
      <c r="O67" s="630"/>
      <c r="P67" s="495">
        <f>+'6. Gólyahír'!P95</f>
        <v>0</v>
      </c>
      <c r="Q67" s="73">
        <f>+'6. Gólyahír'!Q95</f>
        <v>0</v>
      </c>
      <c r="R67" s="73">
        <f>+'6. Gólyahír'!R95</f>
        <v>0</v>
      </c>
      <c r="S67" s="73">
        <f t="shared" si="24"/>
        <v>0</v>
      </c>
      <c r="T67" s="496"/>
      <c r="U67" s="74"/>
    </row>
    <row r="68" spans="1:21" x14ac:dyDescent="0.25">
      <c r="B68" s="56" t="str">
        <f t="shared" si="20"/>
        <v>POLGÁRMESTERI HIVATAL</v>
      </c>
      <c r="C68" s="495">
        <f>+'7. Polg.Hiv.'!C95</f>
        <v>10000</v>
      </c>
      <c r="D68" s="73">
        <f>+'7. Polg.Hiv.'!D95</f>
        <v>10000</v>
      </c>
      <c r="E68" s="73">
        <f>+'7. Polg.Hiv.'!E95</f>
        <v>10000</v>
      </c>
      <c r="F68" s="456">
        <f>+'7. Polg.Hiv.'!F95</f>
        <v>10000</v>
      </c>
      <c r="G68" s="73"/>
      <c r="H68" s="495">
        <f>+'7. Polg.Hiv.'!H95</f>
        <v>2119</v>
      </c>
      <c r="I68" s="73">
        <f>+'7. Polg.Hiv.'!I95</f>
        <v>3754</v>
      </c>
      <c r="J68" s="73">
        <f>+'7. Polg.Hiv.'!J95</f>
        <v>3782</v>
      </c>
      <c r="K68" s="73"/>
      <c r="L68" s="648">
        <f t="shared" si="21"/>
        <v>0.21190000000000001</v>
      </c>
      <c r="M68" s="648">
        <f t="shared" si="22"/>
        <v>0.37540000000000001</v>
      </c>
      <c r="N68" s="686">
        <f t="shared" si="23"/>
        <v>0.37819999999999998</v>
      </c>
      <c r="O68" s="630"/>
      <c r="P68" s="495">
        <f>+'7. Polg.Hiv.'!P95</f>
        <v>0</v>
      </c>
      <c r="Q68" s="73">
        <f>+'7. Polg.Hiv.'!Q95</f>
        <v>0</v>
      </c>
      <c r="R68" s="73">
        <f>+'7. Polg.Hiv.'!R95</f>
        <v>0</v>
      </c>
      <c r="S68" s="73">
        <f t="shared" si="24"/>
        <v>0</v>
      </c>
      <c r="T68" s="496"/>
      <c r="U68" s="74"/>
    </row>
    <row r="69" spans="1:21" x14ac:dyDescent="0.25">
      <c r="B69" s="56" t="str">
        <f t="shared" si="20"/>
        <v>Wass Albert Művelődési Központ és Könyvtár</v>
      </c>
      <c r="C69" s="495">
        <f>+'8. WAMKK'!C95</f>
        <v>1221000</v>
      </c>
      <c r="D69" s="73">
        <f>+'8. WAMKK'!D95</f>
        <v>1221000</v>
      </c>
      <c r="E69" s="73">
        <f>+'8. WAMKK'!E95</f>
        <v>1221000</v>
      </c>
      <c r="F69" s="456">
        <f>+'8. WAMKK'!F95</f>
        <v>2220528</v>
      </c>
      <c r="G69" s="73"/>
      <c r="H69" s="495">
        <f>+'8. WAMKK'!H95</f>
        <v>718358</v>
      </c>
      <c r="I69" s="73">
        <f>+'8. WAMKK'!I95</f>
        <v>943177</v>
      </c>
      <c r="J69" s="73">
        <f>+'8. WAMKK'!J95</f>
        <v>1470701</v>
      </c>
      <c r="K69" s="73"/>
      <c r="L69" s="648">
        <f t="shared" si="21"/>
        <v>0.58833579033579031</v>
      </c>
      <c r="M69" s="648">
        <f t="shared" si="22"/>
        <v>0.77246273546273547</v>
      </c>
      <c r="N69" s="686">
        <f t="shared" si="23"/>
        <v>0.6623204030753046</v>
      </c>
      <c r="O69" s="630"/>
      <c r="P69" s="495">
        <f>+'8. WAMKK'!P95</f>
        <v>0</v>
      </c>
      <c r="Q69" s="73">
        <f>+'8. WAMKK'!Q95</f>
        <v>0</v>
      </c>
      <c r="R69" s="73">
        <f>+'8. WAMKK'!R95</f>
        <v>999528</v>
      </c>
      <c r="S69" s="73">
        <f t="shared" si="24"/>
        <v>999528</v>
      </c>
      <c r="T69" s="496"/>
      <c r="U69" s="74"/>
    </row>
    <row r="70" spans="1:21" x14ac:dyDescent="0.25">
      <c r="B70" s="56" t="str">
        <f t="shared" si="20"/>
        <v>Központi Konyha</v>
      </c>
      <c r="C70" s="495">
        <f>+'9. Közp. Konyha'!C95</f>
        <v>30135000</v>
      </c>
      <c r="D70" s="73">
        <f>+'9. Közp. Konyha'!D95</f>
        <v>30135000</v>
      </c>
      <c r="E70" s="73">
        <f>+'9. Közp. Konyha'!E95</f>
        <v>30135000</v>
      </c>
      <c r="F70" s="456">
        <f>+'9. Közp. Konyha'!F95</f>
        <v>27998884</v>
      </c>
      <c r="G70" s="73"/>
      <c r="H70" s="495">
        <f>+'9. Közp. Konyha'!H95</f>
        <v>13819359</v>
      </c>
      <c r="I70" s="73">
        <f>+'9. Közp. Konyha'!I95</f>
        <v>18954964</v>
      </c>
      <c r="J70" s="73">
        <f>+'9. Közp. Konyha'!J95</f>
        <v>28625524</v>
      </c>
      <c r="K70" s="73"/>
      <c r="L70" s="648">
        <f t="shared" si="21"/>
        <v>0.45858168242906922</v>
      </c>
      <c r="M70" s="648">
        <f t="shared" si="22"/>
        <v>0.6290016260162602</v>
      </c>
      <c r="N70" s="686">
        <f t="shared" si="23"/>
        <v>1.0223808920384112</v>
      </c>
      <c r="O70" s="630"/>
      <c r="P70" s="495">
        <f>+'9. Közp. Konyha'!P95</f>
        <v>0</v>
      </c>
      <c r="Q70" s="73">
        <f>+'9. Közp. Konyha'!Q95</f>
        <v>0</v>
      </c>
      <c r="R70" s="73">
        <f>+'9. Közp. Konyha'!R95</f>
        <v>-2136116</v>
      </c>
      <c r="S70" s="73">
        <f t="shared" si="24"/>
        <v>-2136116</v>
      </c>
      <c r="T70" s="496"/>
      <c r="U70" s="74"/>
    </row>
    <row r="71" spans="1:21" ht="8.1" customHeight="1" x14ac:dyDescent="0.25">
      <c r="B71" s="380" t="s">
        <v>443</v>
      </c>
      <c r="C71" s="497"/>
      <c r="D71" s="379"/>
      <c r="E71" s="379"/>
      <c r="F71" s="508"/>
      <c r="G71" s="379"/>
      <c r="H71" s="497"/>
      <c r="I71" s="379"/>
      <c r="J71" s="379"/>
      <c r="K71" s="379"/>
      <c r="L71" s="687"/>
      <c r="M71" s="687"/>
      <c r="N71" s="688"/>
      <c r="O71" s="681"/>
      <c r="P71" s="497"/>
      <c r="Q71" s="379"/>
      <c r="R71" s="379"/>
      <c r="S71" s="379"/>
      <c r="T71" s="496"/>
      <c r="U71" s="74"/>
    </row>
    <row r="72" spans="1:21" x14ac:dyDescent="0.25">
      <c r="A72" s="381" t="str">
        <f>+A63</f>
        <v>B4</v>
      </c>
      <c r="B72" s="361" t="s">
        <v>437</v>
      </c>
      <c r="C72" s="498">
        <f>SUM(C64:C71)</f>
        <v>270513649</v>
      </c>
      <c r="D72" s="362">
        <f>SUM(D64:D71)</f>
        <v>330513649</v>
      </c>
      <c r="E72" s="362">
        <f>SUM(E64:E71)</f>
        <v>369819560</v>
      </c>
      <c r="F72" s="509">
        <f>SUM(F64:F71)</f>
        <v>361511448</v>
      </c>
      <c r="G72" s="362"/>
      <c r="H72" s="498">
        <f>SUM(H64:H71)</f>
        <v>256456899</v>
      </c>
      <c r="I72" s="362">
        <f>SUM(I64:I71)</f>
        <v>331572601</v>
      </c>
      <c r="J72" s="362">
        <f>SUM(J64:J71)</f>
        <v>364307181</v>
      </c>
      <c r="K72" s="362"/>
      <c r="L72" s="689">
        <f>IF(D72=0,0,H72/D72)</f>
        <v>0.77593436693441975</v>
      </c>
      <c r="M72" s="689">
        <f>IF(E72=0,0,I72/E72)</f>
        <v>0.89657940483191312</v>
      </c>
      <c r="N72" s="690">
        <f>IF(F72=0,0,J72/F72)</f>
        <v>1.0077334563413327</v>
      </c>
      <c r="O72" s="682"/>
      <c r="P72" s="498">
        <f>SUM(P64:P71)</f>
        <v>60000000</v>
      </c>
      <c r="Q72" s="362">
        <f>SUM(Q64:Q71)</f>
        <v>39305911</v>
      </c>
      <c r="R72" s="362">
        <f>SUM(R64:R71)</f>
        <v>-8308112</v>
      </c>
      <c r="S72" s="362">
        <f>+P72*P$8+Q72*Q$8+R72*R$8</f>
        <v>90997799</v>
      </c>
      <c r="T72" s="496"/>
      <c r="U72" s="74"/>
    </row>
    <row r="73" spans="1:21" x14ac:dyDescent="0.25">
      <c r="C73" s="499"/>
      <c r="F73" s="454"/>
      <c r="H73" s="499"/>
      <c r="L73" s="648"/>
      <c r="M73" s="648"/>
      <c r="N73" s="686"/>
      <c r="O73" s="631"/>
      <c r="P73" s="499"/>
      <c r="T73" s="496"/>
    </row>
    <row r="74" spans="1:21" x14ac:dyDescent="0.25">
      <c r="C74" s="499"/>
      <c r="F74" s="454"/>
      <c r="H74" s="499"/>
      <c r="L74" s="648"/>
      <c r="M74" s="648"/>
      <c r="N74" s="686"/>
      <c r="O74" s="631"/>
      <c r="P74" s="499"/>
      <c r="T74" s="496"/>
    </row>
    <row r="75" spans="1:21" x14ac:dyDescent="0.25">
      <c r="A75" s="316" t="s">
        <v>306</v>
      </c>
      <c r="B75" s="316" t="str">
        <f>+B17</f>
        <v>Felhalmozási bevételek</v>
      </c>
      <c r="C75" s="495"/>
      <c r="D75" s="74"/>
      <c r="E75" s="74"/>
      <c r="F75" s="521"/>
      <c r="G75" s="74"/>
      <c r="H75" s="495"/>
      <c r="K75" s="74"/>
      <c r="L75" s="646"/>
      <c r="M75" s="646"/>
      <c r="N75" s="686"/>
      <c r="O75" s="638"/>
      <c r="P75" s="495"/>
      <c r="Q75" s="73"/>
      <c r="R75" s="73"/>
      <c r="S75" s="73"/>
      <c r="T75" s="496"/>
      <c r="U75" s="74"/>
    </row>
    <row r="76" spans="1:21" x14ac:dyDescent="0.25">
      <c r="B76" s="56" t="str">
        <f t="shared" ref="B76:B82" si="25">+B64</f>
        <v>Sülysáp Város Önkormányzata</v>
      </c>
      <c r="C76" s="495">
        <f>+'2. Önk. Bevételek'!C67</f>
        <v>99395520</v>
      </c>
      <c r="D76" s="73">
        <f>+'2. Önk. Bevételek'!D67</f>
        <v>99395520</v>
      </c>
      <c r="E76" s="73">
        <f>+'2. Önk. Bevételek'!E67</f>
        <v>60089609</v>
      </c>
      <c r="F76" s="456">
        <f>+'2. Önk. Bevételek'!F67</f>
        <v>40240223</v>
      </c>
      <c r="G76" s="74"/>
      <c r="H76" s="495">
        <f>+'2. Önk. Bevételek'!H67</f>
        <v>24370866</v>
      </c>
      <c r="I76" s="73">
        <f>+'2. Önk. Bevételek'!I67</f>
        <v>27956388</v>
      </c>
      <c r="J76" s="73">
        <f>+'2. Önk. Bevételek'!J67</f>
        <v>36042225</v>
      </c>
      <c r="K76" s="74"/>
      <c r="L76" s="648">
        <f t="shared" ref="L76:L82" si="26">IF(D76=0,0,H76/D76)</f>
        <v>0.24519078928305824</v>
      </c>
      <c r="M76" s="648">
        <f t="shared" ref="M76:M82" si="27">IF(E76=0,0,I76/E76)</f>
        <v>0.46524496439975171</v>
      </c>
      <c r="N76" s="686">
        <f t="shared" ref="N76:N82" si="28">IF(F76=0,0,J76/F76)</f>
        <v>0.89567657217008967</v>
      </c>
      <c r="O76" s="638"/>
      <c r="P76" s="495">
        <f>+'2. Önk. Bevételek'!P67</f>
        <v>0</v>
      </c>
      <c r="Q76" s="73">
        <f>+'2. Önk. Bevételek'!Q67</f>
        <v>-39305911</v>
      </c>
      <c r="R76" s="73">
        <f>+'2. Önk. Bevételek'!R67</f>
        <v>-19849386</v>
      </c>
      <c r="S76" s="73">
        <f t="shared" ref="S76:S82" si="29">+P76*P$8+Q76*Q$8+R76*R$8</f>
        <v>-59155297</v>
      </c>
      <c r="T76" s="496"/>
      <c r="U76" s="74"/>
    </row>
    <row r="77" spans="1:21" x14ac:dyDescent="0.25">
      <c r="A77" s="56"/>
      <c r="B77" s="56" t="str">
        <f t="shared" si="25"/>
        <v>Dr. Gáspár István HSZK</v>
      </c>
      <c r="C77" s="495"/>
      <c r="D77" s="73"/>
      <c r="E77" s="73"/>
      <c r="F77" s="456"/>
      <c r="G77" s="73"/>
      <c r="H77" s="495"/>
      <c r="I77" s="73"/>
      <c r="J77" s="73"/>
      <c r="K77" s="73"/>
      <c r="L77" s="648">
        <f t="shared" si="26"/>
        <v>0</v>
      </c>
      <c r="M77" s="648">
        <f t="shared" si="27"/>
        <v>0</v>
      </c>
      <c r="N77" s="686">
        <f t="shared" si="28"/>
        <v>0</v>
      </c>
      <c r="O77" s="630"/>
      <c r="P77" s="495"/>
      <c r="Q77" s="73"/>
      <c r="R77" s="73"/>
      <c r="S77" s="73">
        <f t="shared" si="29"/>
        <v>0</v>
      </c>
      <c r="T77" s="496"/>
      <c r="U77" s="74"/>
    </row>
    <row r="78" spans="1:21" x14ac:dyDescent="0.25">
      <c r="B78" s="56" t="str">
        <f t="shared" si="25"/>
        <v>SÜLYSÁPI CSICSERGŐ ÓVODA</v>
      </c>
      <c r="C78" s="495"/>
      <c r="D78" s="73"/>
      <c r="E78" s="73"/>
      <c r="F78" s="456"/>
      <c r="G78" s="73"/>
      <c r="H78" s="495"/>
      <c r="I78" s="73"/>
      <c r="J78" s="73"/>
      <c r="K78" s="73"/>
      <c r="L78" s="648">
        <f t="shared" si="26"/>
        <v>0</v>
      </c>
      <c r="M78" s="648">
        <f t="shared" si="27"/>
        <v>0</v>
      </c>
      <c r="N78" s="686">
        <f t="shared" si="28"/>
        <v>0</v>
      </c>
      <c r="O78" s="630"/>
      <c r="P78" s="495"/>
      <c r="Q78" s="73"/>
      <c r="R78" s="73"/>
      <c r="S78" s="73">
        <f t="shared" si="29"/>
        <v>0</v>
      </c>
      <c r="T78" s="496"/>
      <c r="U78" s="74"/>
    </row>
    <row r="79" spans="1:21" x14ac:dyDescent="0.25">
      <c r="B79" s="56" t="str">
        <f t="shared" si="25"/>
        <v>GÓLYAHÍR BÖLCSŐDE</v>
      </c>
      <c r="C79" s="495"/>
      <c r="D79" s="73"/>
      <c r="E79" s="73"/>
      <c r="F79" s="456"/>
      <c r="G79" s="73"/>
      <c r="H79" s="495"/>
      <c r="I79" s="73"/>
      <c r="J79" s="73"/>
      <c r="K79" s="73"/>
      <c r="L79" s="648">
        <f t="shared" si="26"/>
        <v>0</v>
      </c>
      <c r="M79" s="648">
        <f t="shared" si="27"/>
        <v>0</v>
      </c>
      <c r="N79" s="686">
        <f t="shared" si="28"/>
        <v>0</v>
      </c>
      <c r="O79" s="630"/>
      <c r="P79" s="495"/>
      <c r="Q79" s="73"/>
      <c r="R79" s="73"/>
      <c r="S79" s="73">
        <f t="shared" si="29"/>
        <v>0</v>
      </c>
      <c r="T79" s="496"/>
      <c r="U79" s="74"/>
    </row>
    <row r="80" spans="1:21" x14ac:dyDescent="0.25">
      <c r="B80" s="56" t="str">
        <f t="shared" si="25"/>
        <v>POLGÁRMESTERI HIVATAL</v>
      </c>
      <c r="C80" s="495"/>
      <c r="D80" s="73"/>
      <c r="E80" s="73"/>
      <c r="F80" s="456"/>
      <c r="G80" s="73"/>
      <c r="H80" s="495"/>
      <c r="I80" s="73"/>
      <c r="J80" s="73"/>
      <c r="K80" s="73"/>
      <c r="L80" s="648">
        <f t="shared" si="26"/>
        <v>0</v>
      </c>
      <c r="M80" s="648">
        <f t="shared" si="27"/>
        <v>0</v>
      </c>
      <c r="N80" s="686">
        <f t="shared" si="28"/>
        <v>0</v>
      </c>
      <c r="O80" s="630"/>
      <c r="P80" s="495"/>
      <c r="Q80" s="73"/>
      <c r="R80" s="73"/>
      <c r="S80" s="73">
        <f t="shared" si="29"/>
        <v>0</v>
      </c>
      <c r="T80" s="496"/>
      <c r="U80" s="74"/>
    </row>
    <row r="81" spans="1:21" x14ac:dyDescent="0.25">
      <c r="B81" s="56" t="str">
        <f t="shared" si="25"/>
        <v>Wass Albert Művelődési Központ és Könyvtár</v>
      </c>
      <c r="C81" s="495"/>
      <c r="D81" s="73"/>
      <c r="E81" s="73"/>
      <c r="F81" s="456"/>
      <c r="G81" s="73"/>
      <c r="H81" s="495"/>
      <c r="I81" s="73"/>
      <c r="J81" s="73"/>
      <c r="K81" s="73"/>
      <c r="L81" s="648">
        <f t="shared" si="26"/>
        <v>0</v>
      </c>
      <c r="M81" s="648">
        <f t="shared" si="27"/>
        <v>0</v>
      </c>
      <c r="N81" s="686">
        <f t="shared" si="28"/>
        <v>0</v>
      </c>
      <c r="O81" s="630"/>
      <c r="P81" s="495"/>
      <c r="Q81" s="73"/>
      <c r="R81" s="73"/>
      <c r="S81" s="73">
        <f t="shared" si="29"/>
        <v>0</v>
      </c>
      <c r="T81" s="496"/>
      <c r="U81" s="74"/>
    </row>
    <row r="82" spans="1:21" x14ac:dyDescent="0.25">
      <c r="B82" s="56" t="str">
        <f t="shared" si="25"/>
        <v>Központi Konyha</v>
      </c>
      <c r="C82" s="495"/>
      <c r="D82" s="73"/>
      <c r="E82" s="73"/>
      <c r="F82" s="456"/>
      <c r="G82" s="73"/>
      <c r="H82" s="495"/>
      <c r="I82" s="73"/>
      <c r="J82" s="73"/>
      <c r="K82" s="73"/>
      <c r="L82" s="648">
        <f t="shared" si="26"/>
        <v>0</v>
      </c>
      <c r="M82" s="648">
        <f t="shared" si="27"/>
        <v>0</v>
      </c>
      <c r="N82" s="686">
        <f t="shared" si="28"/>
        <v>0</v>
      </c>
      <c r="O82" s="630"/>
      <c r="P82" s="495"/>
      <c r="Q82" s="73"/>
      <c r="R82" s="73"/>
      <c r="S82" s="73">
        <f t="shared" si="29"/>
        <v>0</v>
      </c>
      <c r="T82" s="496"/>
      <c r="U82" s="74"/>
    </row>
    <row r="83" spans="1:21" ht="8.1" customHeight="1" x14ac:dyDescent="0.25">
      <c r="B83" s="380" t="s">
        <v>443</v>
      </c>
      <c r="C83" s="497"/>
      <c r="D83" s="379"/>
      <c r="E83" s="379"/>
      <c r="F83" s="508"/>
      <c r="G83" s="379"/>
      <c r="H83" s="497"/>
      <c r="I83" s="379"/>
      <c r="J83" s="379"/>
      <c r="K83" s="379"/>
      <c r="L83" s="687"/>
      <c r="M83" s="687"/>
      <c r="N83" s="688"/>
      <c r="O83" s="681"/>
      <c r="P83" s="497"/>
      <c r="Q83" s="379"/>
      <c r="R83" s="379"/>
      <c r="S83" s="379"/>
      <c r="T83" s="496"/>
      <c r="U83" s="74"/>
    </row>
    <row r="84" spans="1:21" x14ac:dyDescent="0.25">
      <c r="A84" s="381" t="str">
        <f>+A75</f>
        <v>B5</v>
      </c>
      <c r="B84" s="361" t="s">
        <v>437</v>
      </c>
      <c r="C84" s="498">
        <f>SUM(C76:C83)</f>
        <v>99395520</v>
      </c>
      <c r="D84" s="362">
        <f>SUM(D76:D83)</f>
        <v>99395520</v>
      </c>
      <c r="E84" s="362">
        <f>SUM(E76:E83)</f>
        <v>60089609</v>
      </c>
      <c r="F84" s="509">
        <f>SUM(F76:F83)</f>
        <v>40240223</v>
      </c>
      <c r="G84" s="362"/>
      <c r="H84" s="498">
        <f>SUM(H76:H83)</f>
        <v>24370866</v>
      </c>
      <c r="I84" s="362">
        <f>SUM(I76:I83)</f>
        <v>27956388</v>
      </c>
      <c r="J84" s="362">
        <f>SUM(J76:J83)</f>
        <v>36042225</v>
      </c>
      <c r="K84" s="362"/>
      <c r="L84" s="689">
        <f>IF(D84=0,0,H84/D84)</f>
        <v>0.24519078928305824</v>
      </c>
      <c r="M84" s="689">
        <f>IF(E84=0,0,I84/E84)</f>
        <v>0.46524496439975171</v>
      </c>
      <c r="N84" s="690">
        <f>IF(F84=0,0,J84/F84)</f>
        <v>0.89567657217008967</v>
      </c>
      <c r="O84" s="682"/>
      <c r="P84" s="498">
        <f>SUM(P76:P83)</f>
        <v>0</v>
      </c>
      <c r="Q84" s="362">
        <f>SUM(Q76:Q83)</f>
        <v>-39305911</v>
      </c>
      <c r="R84" s="362">
        <f>SUM(R76:R83)</f>
        <v>-19849386</v>
      </c>
      <c r="S84" s="362">
        <f>+P84*P$8+Q84*Q$8+R84*R$8</f>
        <v>-59155297</v>
      </c>
      <c r="T84" s="496"/>
      <c r="U84" s="74"/>
    </row>
    <row r="85" spans="1:21" x14ac:dyDescent="0.25">
      <c r="C85" s="499"/>
      <c r="F85" s="454"/>
      <c r="H85" s="499"/>
      <c r="L85" s="648"/>
      <c r="M85" s="648"/>
      <c r="N85" s="686"/>
      <c r="O85" s="631"/>
      <c r="P85" s="499"/>
      <c r="T85" s="496"/>
    </row>
    <row r="86" spans="1:21" x14ac:dyDescent="0.25">
      <c r="C86" s="499"/>
      <c r="F86" s="454"/>
      <c r="H86" s="499"/>
      <c r="L86" s="648"/>
      <c r="M86" s="648"/>
      <c r="N86" s="686"/>
      <c r="O86" s="631"/>
      <c r="P86" s="499"/>
      <c r="T86" s="496"/>
    </row>
    <row r="87" spans="1:21" x14ac:dyDescent="0.25">
      <c r="A87" s="316" t="s">
        <v>316</v>
      </c>
      <c r="B87" s="378" t="str">
        <f>+B18</f>
        <v>Működési célú átvett pénzeszközök</v>
      </c>
      <c r="C87" s="495"/>
      <c r="D87" s="74"/>
      <c r="E87" s="74"/>
      <c r="F87" s="521"/>
      <c r="G87" s="74"/>
      <c r="H87" s="495"/>
      <c r="K87" s="74"/>
      <c r="L87" s="646"/>
      <c r="M87" s="646"/>
      <c r="N87" s="686"/>
      <c r="O87" s="638"/>
      <c r="P87" s="495"/>
      <c r="Q87" s="73"/>
      <c r="R87" s="73"/>
      <c r="S87" s="73"/>
      <c r="T87" s="496"/>
      <c r="U87" s="74"/>
    </row>
    <row r="88" spans="1:21" x14ac:dyDescent="0.25">
      <c r="B88" s="56" t="str">
        <f t="shared" ref="B88:B94" si="30">+B76</f>
        <v>Sülysáp Város Önkormányzata</v>
      </c>
      <c r="C88" s="495">
        <f>+'2. Önk. Bevételek'!C72</f>
        <v>0</v>
      </c>
      <c r="D88" s="73">
        <f>+'2. Önk. Bevételek'!D72</f>
        <v>0</v>
      </c>
      <c r="E88" s="73">
        <f>+'2. Önk. Bevételek'!E72</f>
        <v>10037947</v>
      </c>
      <c r="F88" s="456">
        <f>+'2. Önk. Bevételek'!F72</f>
        <v>10037947</v>
      </c>
      <c r="G88" s="74"/>
      <c r="H88" s="495">
        <f>+'2. Önk. Bevételek'!H72</f>
        <v>0</v>
      </c>
      <c r="I88" s="73">
        <f>+'2. Önk. Bevételek'!I72</f>
        <v>0</v>
      </c>
      <c r="J88" s="73">
        <f>+'2. Önk. Bevételek'!J72</f>
        <v>0</v>
      </c>
      <c r="K88" s="74"/>
      <c r="L88" s="648">
        <f t="shared" ref="L88:L94" si="31">IF(D88=0,0,H88/D88)</f>
        <v>0</v>
      </c>
      <c r="M88" s="648">
        <f t="shared" ref="M88:M94" si="32">IF(E88=0,0,I88/E88)</f>
        <v>0</v>
      </c>
      <c r="N88" s="686">
        <f t="shared" ref="N88:N94" si="33">IF(F88=0,0,J88/F88)</f>
        <v>0</v>
      </c>
      <c r="O88" s="638"/>
      <c r="P88" s="495">
        <f>+'2. Önk. Bevételek'!P72</f>
        <v>0</v>
      </c>
      <c r="Q88" s="73">
        <f>+'2. Önk. Bevételek'!Q72</f>
        <v>10037947</v>
      </c>
      <c r="R88" s="73">
        <f>+'2. Önk. Bevételek'!R72</f>
        <v>0</v>
      </c>
      <c r="S88" s="73">
        <f t="shared" ref="S88:S94" si="34">+P88*P$8+Q88*Q$8+R88*R$8</f>
        <v>10037947</v>
      </c>
      <c r="T88" s="496"/>
      <c r="U88" s="74"/>
    </row>
    <row r="89" spans="1:21" x14ac:dyDescent="0.25">
      <c r="A89" s="56"/>
      <c r="B89" s="56" t="str">
        <f t="shared" si="30"/>
        <v>Dr. Gáspár István HSZK</v>
      </c>
      <c r="C89" s="495"/>
      <c r="D89" s="73"/>
      <c r="E89" s="73"/>
      <c r="F89" s="456"/>
      <c r="G89" s="73"/>
      <c r="H89" s="495"/>
      <c r="I89" s="73"/>
      <c r="J89" s="73"/>
      <c r="K89" s="73"/>
      <c r="L89" s="648">
        <f t="shared" si="31"/>
        <v>0</v>
      </c>
      <c r="M89" s="648">
        <f t="shared" si="32"/>
        <v>0</v>
      </c>
      <c r="N89" s="686">
        <f t="shared" si="33"/>
        <v>0</v>
      </c>
      <c r="O89" s="630"/>
      <c r="P89" s="495"/>
      <c r="Q89" s="73"/>
      <c r="R89" s="73"/>
      <c r="S89" s="73">
        <f t="shared" si="34"/>
        <v>0</v>
      </c>
      <c r="T89" s="496"/>
      <c r="U89" s="74"/>
    </row>
    <row r="90" spans="1:21" x14ac:dyDescent="0.25">
      <c r="B90" s="56" t="str">
        <f t="shared" si="30"/>
        <v>SÜLYSÁPI CSICSERGŐ ÓVODA</v>
      </c>
      <c r="C90" s="495"/>
      <c r="D90" s="73"/>
      <c r="E90" s="73"/>
      <c r="F90" s="456"/>
      <c r="G90" s="73"/>
      <c r="H90" s="495"/>
      <c r="I90" s="73"/>
      <c r="J90" s="73"/>
      <c r="K90" s="73"/>
      <c r="L90" s="648">
        <f t="shared" si="31"/>
        <v>0</v>
      </c>
      <c r="M90" s="648">
        <f t="shared" si="32"/>
        <v>0</v>
      </c>
      <c r="N90" s="686">
        <f t="shared" si="33"/>
        <v>0</v>
      </c>
      <c r="O90" s="630"/>
      <c r="P90" s="495"/>
      <c r="Q90" s="73"/>
      <c r="R90" s="73"/>
      <c r="S90" s="73">
        <f t="shared" si="34"/>
        <v>0</v>
      </c>
      <c r="T90" s="496"/>
      <c r="U90" s="74"/>
    </row>
    <row r="91" spans="1:21" x14ac:dyDescent="0.25">
      <c r="B91" s="56" t="str">
        <f t="shared" si="30"/>
        <v>GÓLYAHÍR BÖLCSŐDE</v>
      </c>
      <c r="C91" s="495"/>
      <c r="D91" s="73"/>
      <c r="E91" s="73"/>
      <c r="F91" s="456"/>
      <c r="G91" s="73"/>
      <c r="H91" s="495"/>
      <c r="I91" s="73"/>
      <c r="J91" s="73"/>
      <c r="K91" s="73"/>
      <c r="L91" s="648">
        <f t="shared" si="31"/>
        <v>0</v>
      </c>
      <c r="M91" s="648">
        <f t="shared" si="32"/>
        <v>0</v>
      </c>
      <c r="N91" s="686">
        <f t="shared" si="33"/>
        <v>0</v>
      </c>
      <c r="O91" s="630"/>
      <c r="P91" s="495"/>
      <c r="Q91" s="73"/>
      <c r="R91" s="73"/>
      <c r="S91" s="73">
        <f t="shared" si="34"/>
        <v>0</v>
      </c>
      <c r="T91" s="496"/>
      <c r="U91" s="74"/>
    </row>
    <row r="92" spans="1:21" x14ac:dyDescent="0.25">
      <c r="B92" s="56" t="str">
        <f t="shared" si="30"/>
        <v>POLGÁRMESTERI HIVATAL</v>
      </c>
      <c r="C92" s="495"/>
      <c r="D92" s="73"/>
      <c r="E92" s="73"/>
      <c r="F92" s="456"/>
      <c r="G92" s="73"/>
      <c r="H92" s="495"/>
      <c r="I92" s="73"/>
      <c r="J92" s="73"/>
      <c r="K92" s="73"/>
      <c r="L92" s="648">
        <f t="shared" si="31"/>
        <v>0</v>
      </c>
      <c r="M92" s="648">
        <f t="shared" si="32"/>
        <v>0</v>
      </c>
      <c r="N92" s="686">
        <f t="shared" si="33"/>
        <v>0</v>
      </c>
      <c r="O92" s="630"/>
      <c r="P92" s="495"/>
      <c r="Q92" s="73"/>
      <c r="R92" s="73"/>
      <c r="S92" s="73">
        <f t="shared" si="34"/>
        <v>0</v>
      </c>
      <c r="T92" s="496"/>
      <c r="U92" s="74"/>
    </row>
    <row r="93" spans="1:21" x14ac:dyDescent="0.25">
      <c r="B93" s="56" t="str">
        <f t="shared" si="30"/>
        <v>Wass Albert Művelődési Központ és Könyvtár</v>
      </c>
      <c r="C93" s="495"/>
      <c r="D93" s="73"/>
      <c r="E93" s="73"/>
      <c r="F93" s="456"/>
      <c r="G93" s="73"/>
      <c r="H93" s="495"/>
      <c r="I93" s="73"/>
      <c r="J93" s="73"/>
      <c r="K93" s="73"/>
      <c r="L93" s="648">
        <f t="shared" si="31"/>
        <v>0</v>
      </c>
      <c r="M93" s="648">
        <f t="shared" si="32"/>
        <v>0</v>
      </c>
      <c r="N93" s="686">
        <f t="shared" si="33"/>
        <v>0</v>
      </c>
      <c r="O93" s="630"/>
      <c r="P93" s="495"/>
      <c r="Q93" s="73"/>
      <c r="R93" s="73"/>
      <c r="S93" s="73">
        <f t="shared" si="34"/>
        <v>0</v>
      </c>
      <c r="T93" s="496"/>
      <c r="U93" s="74"/>
    </row>
    <row r="94" spans="1:21" x14ac:dyDescent="0.25">
      <c r="B94" s="56" t="str">
        <f t="shared" si="30"/>
        <v>Központi Konyha</v>
      </c>
      <c r="C94" s="495"/>
      <c r="D94" s="73"/>
      <c r="E94" s="73"/>
      <c r="F94" s="456"/>
      <c r="G94" s="73"/>
      <c r="H94" s="495"/>
      <c r="I94" s="73"/>
      <c r="J94" s="73"/>
      <c r="K94" s="73"/>
      <c r="L94" s="648">
        <f t="shared" si="31"/>
        <v>0</v>
      </c>
      <c r="M94" s="648">
        <f t="shared" si="32"/>
        <v>0</v>
      </c>
      <c r="N94" s="686">
        <f t="shared" si="33"/>
        <v>0</v>
      </c>
      <c r="O94" s="630"/>
      <c r="P94" s="495"/>
      <c r="Q94" s="73"/>
      <c r="R94" s="73"/>
      <c r="S94" s="73">
        <f t="shared" si="34"/>
        <v>0</v>
      </c>
      <c r="T94" s="496"/>
      <c r="U94" s="74"/>
    </row>
    <row r="95" spans="1:21" ht="8.1" customHeight="1" x14ac:dyDescent="0.25">
      <c r="B95" s="380" t="s">
        <v>443</v>
      </c>
      <c r="C95" s="497"/>
      <c r="D95" s="379"/>
      <c r="E95" s="379"/>
      <c r="F95" s="508"/>
      <c r="G95" s="379"/>
      <c r="H95" s="497"/>
      <c r="I95" s="379"/>
      <c r="J95" s="379"/>
      <c r="K95" s="379"/>
      <c r="L95" s="687"/>
      <c r="M95" s="687"/>
      <c r="N95" s="688"/>
      <c r="O95" s="681"/>
      <c r="P95" s="497"/>
      <c r="Q95" s="379"/>
      <c r="R95" s="379"/>
      <c r="S95" s="379"/>
      <c r="T95" s="496"/>
      <c r="U95" s="74"/>
    </row>
    <row r="96" spans="1:21" x14ac:dyDescent="0.25">
      <c r="A96" s="381" t="str">
        <f>+A87</f>
        <v>B6</v>
      </c>
      <c r="B96" s="361" t="s">
        <v>437</v>
      </c>
      <c r="C96" s="498">
        <f>SUM(C88:C95)</f>
        <v>0</v>
      </c>
      <c r="D96" s="362">
        <f>SUM(D88:D95)</f>
        <v>0</v>
      </c>
      <c r="E96" s="362">
        <f>SUM(E88:E95)</f>
        <v>10037947</v>
      </c>
      <c r="F96" s="509">
        <f>SUM(F88:F95)</f>
        <v>10037947</v>
      </c>
      <c r="G96" s="362"/>
      <c r="H96" s="498">
        <f>SUM(H88:H95)</f>
        <v>0</v>
      </c>
      <c r="I96" s="362">
        <f>SUM(I88:I95)</f>
        <v>0</v>
      </c>
      <c r="J96" s="362">
        <f>SUM(J88:J95)</f>
        <v>0</v>
      </c>
      <c r="K96" s="362"/>
      <c r="L96" s="689">
        <f>IF(D96=0,0,H96/D96)</f>
        <v>0</v>
      </c>
      <c r="M96" s="689">
        <f>IF(E96=0,0,I96/E96)</f>
        <v>0</v>
      </c>
      <c r="N96" s="690">
        <f>IF(F96=0,0,J96/F96)</f>
        <v>0</v>
      </c>
      <c r="O96" s="682"/>
      <c r="P96" s="498">
        <f>SUM(P88:P95)</f>
        <v>0</v>
      </c>
      <c r="Q96" s="362">
        <f>SUM(Q88:Q95)</f>
        <v>10037947</v>
      </c>
      <c r="R96" s="362">
        <f>SUM(R88:R95)</f>
        <v>0</v>
      </c>
      <c r="S96" s="362">
        <f>+P96*P$8+Q96*Q$8+R96*R$8</f>
        <v>10037947</v>
      </c>
      <c r="T96" s="496"/>
      <c r="U96" s="74"/>
    </row>
    <row r="97" spans="1:21" x14ac:dyDescent="0.25">
      <c r="C97" s="499"/>
      <c r="F97" s="454"/>
      <c r="H97" s="499"/>
      <c r="L97" s="648"/>
      <c r="M97" s="648"/>
      <c r="N97" s="686"/>
      <c r="O97" s="631"/>
      <c r="P97" s="499"/>
      <c r="T97" s="496"/>
    </row>
    <row r="98" spans="1:21" x14ac:dyDescent="0.25">
      <c r="C98" s="499"/>
      <c r="F98" s="454"/>
      <c r="H98" s="499"/>
      <c r="L98" s="648"/>
      <c r="M98" s="648"/>
      <c r="N98" s="686"/>
      <c r="O98" s="631"/>
      <c r="P98" s="499"/>
      <c r="T98" s="496"/>
    </row>
    <row r="99" spans="1:21" x14ac:dyDescent="0.25">
      <c r="A99" s="316" t="s">
        <v>322</v>
      </c>
      <c r="B99" s="378" t="str">
        <f>+B19</f>
        <v>Felhalmozási célú átvett pénzeszközök</v>
      </c>
      <c r="C99" s="495"/>
      <c r="D99" s="74"/>
      <c r="E99" s="74"/>
      <c r="F99" s="521"/>
      <c r="G99" s="74"/>
      <c r="H99" s="495"/>
      <c r="K99" s="74"/>
      <c r="L99" s="646"/>
      <c r="M99" s="646"/>
      <c r="N99" s="686"/>
      <c r="O99" s="638"/>
      <c r="P99" s="495"/>
      <c r="Q99" s="73"/>
      <c r="R99" s="73"/>
      <c r="S99" s="73"/>
      <c r="T99" s="496"/>
      <c r="U99" s="74"/>
    </row>
    <row r="100" spans="1:21" x14ac:dyDescent="0.25">
      <c r="B100" s="56" t="str">
        <f t="shared" ref="B100:B106" si="35">+B88</f>
        <v>Sülysáp Város Önkormányzata</v>
      </c>
      <c r="C100" s="495">
        <f>+'2. Önk. Bevételek'!C76</f>
        <v>60000000</v>
      </c>
      <c r="D100" s="73">
        <f>+'2. Önk. Bevételek'!D76</f>
        <v>112693</v>
      </c>
      <c r="E100" s="73">
        <f>+'2. Önk. Bevételek'!E76</f>
        <v>112693</v>
      </c>
      <c r="F100" s="456">
        <f>+'2. Önk. Bevételek'!F76</f>
        <v>112693</v>
      </c>
      <c r="G100" s="74"/>
      <c r="H100" s="495">
        <f>+'2. Önk. Bevételek'!H76</f>
        <v>352000</v>
      </c>
      <c r="I100" s="73">
        <f>+'2. Önk. Bevételek'!I76</f>
        <v>718078</v>
      </c>
      <c r="J100" s="73">
        <f>+'2. Önk. Bevételek'!J76</f>
        <v>939676</v>
      </c>
      <c r="K100" s="74"/>
      <c r="L100" s="648">
        <f t="shared" ref="L100:L106" si="36">IF(D100=0,0,H100/D100)</f>
        <v>3.1235302991312683</v>
      </c>
      <c r="M100" s="648">
        <f t="shared" ref="M100:M106" si="37">IF(E100=0,0,I100/E100)</f>
        <v>6.3719840628965416</v>
      </c>
      <c r="N100" s="686">
        <f t="shared" ref="N100:N106" si="38">IF(F100=0,0,J100/F100)</f>
        <v>8.3383706175183914</v>
      </c>
      <c r="O100" s="638"/>
      <c r="P100" s="495">
        <f>+'2. Önk. Bevételek'!P76</f>
        <v>-59887307</v>
      </c>
      <c r="Q100" s="73">
        <f>+'2. Önk. Bevételek'!Q76</f>
        <v>0</v>
      </c>
      <c r="R100" s="73">
        <f>+'2. Önk. Bevételek'!R76</f>
        <v>0</v>
      </c>
      <c r="S100" s="73">
        <f t="shared" ref="S100:S106" si="39">+P100*P$8+Q100*Q$8+R100*R$8</f>
        <v>-59887307</v>
      </c>
      <c r="T100" s="496"/>
      <c r="U100" s="74"/>
    </row>
    <row r="101" spans="1:21" x14ac:dyDescent="0.25">
      <c r="A101" s="56"/>
      <c r="B101" s="56" t="str">
        <f t="shared" si="35"/>
        <v>Dr. Gáspár István HSZK</v>
      </c>
      <c r="C101" s="495"/>
      <c r="D101" s="73"/>
      <c r="E101" s="73"/>
      <c r="F101" s="456"/>
      <c r="G101" s="73"/>
      <c r="H101" s="495"/>
      <c r="I101" s="73"/>
      <c r="J101" s="73"/>
      <c r="K101" s="73"/>
      <c r="L101" s="648">
        <f t="shared" si="36"/>
        <v>0</v>
      </c>
      <c r="M101" s="648">
        <f t="shared" si="37"/>
        <v>0</v>
      </c>
      <c r="N101" s="686">
        <f t="shared" si="38"/>
        <v>0</v>
      </c>
      <c r="O101" s="630"/>
      <c r="P101" s="495"/>
      <c r="Q101" s="73"/>
      <c r="R101" s="73"/>
      <c r="S101" s="73">
        <f t="shared" si="39"/>
        <v>0</v>
      </c>
      <c r="T101" s="496"/>
      <c r="U101" s="74"/>
    </row>
    <row r="102" spans="1:21" x14ac:dyDescent="0.25">
      <c r="B102" s="56" t="str">
        <f t="shared" si="35"/>
        <v>SÜLYSÁPI CSICSERGŐ ÓVODA</v>
      </c>
      <c r="C102" s="495"/>
      <c r="D102" s="73"/>
      <c r="E102" s="73"/>
      <c r="F102" s="456"/>
      <c r="G102" s="73"/>
      <c r="H102" s="495"/>
      <c r="I102" s="73"/>
      <c r="J102" s="73"/>
      <c r="K102" s="73"/>
      <c r="L102" s="648">
        <f t="shared" si="36"/>
        <v>0</v>
      </c>
      <c r="M102" s="648">
        <f t="shared" si="37"/>
        <v>0</v>
      </c>
      <c r="N102" s="686">
        <f t="shared" si="38"/>
        <v>0</v>
      </c>
      <c r="O102" s="630"/>
      <c r="P102" s="495"/>
      <c r="Q102" s="73"/>
      <c r="R102" s="73"/>
      <c r="S102" s="73">
        <f t="shared" si="39"/>
        <v>0</v>
      </c>
      <c r="T102" s="496"/>
      <c r="U102" s="74"/>
    </row>
    <row r="103" spans="1:21" x14ac:dyDescent="0.25">
      <c r="B103" s="56" t="str">
        <f t="shared" si="35"/>
        <v>GÓLYAHÍR BÖLCSŐDE</v>
      </c>
      <c r="C103" s="495"/>
      <c r="D103" s="73"/>
      <c r="E103" s="73"/>
      <c r="F103" s="456"/>
      <c r="G103" s="73"/>
      <c r="H103" s="495"/>
      <c r="I103" s="73"/>
      <c r="J103" s="73"/>
      <c r="K103" s="73"/>
      <c r="L103" s="648">
        <f t="shared" si="36"/>
        <v>0</v>
      </c>
      <c r="M103" s="648">
        <f t="shared" si="37"/>
        <v>0</v>
      </c>
      <c r="N103" s="686">
        <f t="shared" si="38"/>
        <v>0</v>
      </c>
      <c r="O103" s="630"/>
      <c r="P103" s="495"/>
      <c r="Q103" s="73"/>
      <c r="R103" s="73"/>
      <c r="S103" s="73">
        <f t="shared" si="39"/>
        <v>0</v>
      </c>
      <c r="T103" s="496"/>
      <c r="U103" s="74"/>
    </row>
    <row r="104" spans="1:21" x14ac:dyDescent="0.25">
      <c r="B104" s="56" t="str">
        <f t="shared" si="35"/>
        <v>POLGÁRMESTERI HIVATAL</v>
      </c>
      <c r="C104" s="495"/>
      <c r="D104" s="73"/>
      <c r="E104" s="73"/>
      <c r="F104" s="456"/>
      <c r="G104" s="73"/>
      <c r="H104" s="495"/>
      <c r="I104" s="73"/>
      <c r="J104" s="73"/>
      <c r="K104" s="73"/>
      <c r="L104" s="648">
        <f t="shared" si="36"/>
        <v>0</v>
      </c>
      <c r="M104" s="648">
        <f t="shared" si="37"/>
        <v>0</v>
      </c>
      <c r="N104" s="686">
        <f t="shared" si="38"/>
        <v>0</v>
      </c>
      <c r="O104" s="630"/>
      <c r="P104" s="495"/>
      <c r="Q104" s="73"/>
      <c r="R104" s="73"/>
      <c r="S104" s="73">
        <f t="shared" si="39"/>
        <v>0</v>
      </c>
      <c r="T104" s="496"/>
      <c r="U104" s="74"/>
    </row>
    <row r="105" spans="1:21" x14ac:dyDescent="0.25">
      <c r="B105" s="56" t="str">
        <f t="shared" si="35"/>
        <v>Wass Albert Művelődési Központ és Könyvtár</v>
      </c>
      <c r="C105" s="495"/>
      <c r="D105" s="73"/>
      <c r="E105" s="73"/>
      <c r="F105" s="456"/>
      <c r="G105" s="73"/>
      <c r="H105" s="495"/>
      <c r="I105" s="73"/>
      <c r="J105" s="73"/>
      <c r="K105" s="73"/>
      <c r="L105" s="648">
        <f t="shared" si="36"/>
        <v>0</v>
      </c>
      <c r="M105" s="648">
        <f t="shared" si="37"/>
        <v>0</v>
      </c>
      <c r="N105" s="686">
        <f t="shared" si="38"/>
        <v>0</v>
      </c>
      <c r="O105" s="630"/>
      <c r="P105" s="495"/>
      <c r="Q105" s="73"/>
      <c r="R105" s="73"/>
      <c r="S105" s="73">
        <f t="shared" si="39"/>
        <v>0</v>
      </c>
      <c r="T105" s="496"/>
      <c r="U105" s="74"/>
    </row>
    <row r="106" spans="1:21" x14ac:dyDescent="0.25">
      <c r="B106" s="56" t="str">
        <f t="shared" si="35"/>
        <v>Központi Konyha</v>
      </c>
      <c r="C106" s="495"/>
      <c r="D106" s="73"/>
      <c r="E106" s="73"/>
      <c r="F106" s="456"/>
      <c r="G106" s="73"/>
      <c r="H106" s="495"/>
      <c r="I106" s="73"/>
      <c r="J106" s="73"/>
      <c r="K106" s="73"/>
      <c r="L106" s="648">
        <f t="shared" si="36"/>
        <v>0</v>
      </c>
      <c r="M106" s="648">
        <f t="shared" si="37"/>
        <v>0</v>
      </c>
      <c r="N106" s="686">
        <f t="shared" si="38"/>
        <v>0</v>
      </c>
      <c r="O106" s="630"/>
      <c r="P106" s="495"/>
      <c r="Q106" s="73"/>
      <c r="R106" s="73"/>
      <c r="S106" s="73">
        <f t="shared" si="39"/>
        <v>0</v>
      </c>
      <c r="T106" s="496"/>
      <c r="U106" s="74"/>
    </row>
    <row r="107" spans="1:21" ht="8.1" customHeight="1" x14ac:dyDescent="0.25">
      <c r="B107" s="380" t="s">
        <v>443</v>
      </c>
      <c r="C107" s="497"/>
      <c r="D107" s="379"/>
      <c r="E107" s="379"/>
      <c r="F107" s="508"/>
      <c r="G107" s="379"/>
      <c r="H107" s="497"/>
      <c r="I107" s="379"/>
      <c r="J107" s="379"/>
      <c r="K107" s="379"/>
      <c r="L107" s="687"/>
      <c r="M107" s="687"/>
      <c r="N107" s="688"/>
      <c r="O107" s="681"/>
      <c r="P107" s="497"/>
      <c r="Q107" s="379"/>
      <c r="R107" s="379"/>
      <c r="S107" s="379"/>
      <c r="T107" s="496"/>
      <c r="U107" s="74"/>
    </row>
    <row r="108" spans="1:21" x14ac:dyDescent="0.25">
      <c r="A108" s="381" t="str">
        <f>+A99</f>
        <v>B7</v>
      </c>
      <c r="B108" s="361" t="s">
        <v>437</v>
      </c>
      <c r="C108" s="498">
        <f>SUM(C100:C107)</f>
        <v>60000000</v>
      </c>
      <c r="D108" s="362">
        <f>SUM(D100:D107)</f>
        <v>112693</v>
      </c>
      <c r="E108" s="362">
        <f>SUM(E100:E107)</f>
        <v>112693</v>
      </c>
      <c r="F108" s="509">
        <f>SUM(F100:F107)</f>
        <v>112693</v>
      </c>
      <c r="G108" s="362"/>
      <c r="H108" s="498">
        <f>SUM(H100:H107)</f>
        <v>352000</v>
      </c>
      <c r="I108" s="362">
        <f>SUM(I100:I107)</f>
        <v>718078</v>
      </c>
      <c r="J108" s="362">
        <f>SUM(J100:J107)</f>
        <v>939676</v>
      </c>
      <c r="K108" s="362"/>
      <c r="L108" s="689">
        <f>IF(D108=0,0,H108/D108)</f>
        <v>3.1235302991312683</v>
      </c>
      <c r="M108" s="689">
        <f>IF(E108=0,0,I108/E108)</f>
        <v>6.3719840628965416</v>
      </c>
      <c r="N108" s="690">
        <f>IF(F108=0,0,J108/F108)</f>
        <v>8.3383706175183914</v>
      </c>
      <c r="O108" s="682"/>
      <c r="P108" s="498">
        <f>SUM(P100:P107)</f>
        <v>-59887307</v>
      </c>
      <c r="Q108" s="362">
        <f>SUM(Q100:Q107)</f>
        <v>0</v>
      </c>
      <c r="R108" s="362">
        <f>SUM(R100:R107)</f>
        <v>0</v>
      </c>
      <c r="S108" s="362">
        <f>+P108*P$8+Q108*Q$8+R108*R$8</f>
        <v>-59887307</v>
      </c>
      <c r="T108" s="496"/>
      <c r="U108" s="74"/>
    </row>
    <row r="109" spans="1:21" x14ac:dyDescent="0.25">
      <c r="C109" s="499"/>
      <c r="F109" s="454"/>
      <c r="H109" s="499"/>
      <c r="L109" s="648"/>
      <c r="M109" s="648"/>
      <c r="N109" s="686"/>
      <c r="O109" s="631"/>
      <c r="P109" s="499"/>
      <c r="T109" s="496"/>
    </row>
    <row r="110" spans="1:21" x14ac:dyDescent="0.25">
      <c r="C110" s="499"/>
      <c r="F110" s="454"/>
      <c r="H110" s="499"/>
      <c r="L110" s="648"/>
      <c r="M110" s="648"/>
      <c r="N110" s="686"/>
      <c r="O110" s="631"/>
      <c r="P110" s="499"/>
      <c r="T110" s="496"/>
    </row>
    <row r="111" spans="1:21" x14ac:dyDescent="0.25">
      <c r="A111" s="316" t="s">
        <v>329</v>
      </c>
      <c r="B111" s="316"/>
      <c r="C111" s="495"/>
      <c r="D111" s="369" t="s">
        <v>439</v>
      </c>
      <c r="E111" s="74"/>
      <c r="F111" s="521"/>
      <c r="G111" s="74"/>
      <c r="H111" s="495"/>
      <c r="K111" s="74"/>
      <c r="L111" s="646"/>
      <c r="M111" s="646"/>
      <c r="N111" s="686"/>
      <c r="O111" s="638"/>
      <c r="P111" s="495"/>
      <c r="Q111" s="73"/>
      <c r="R111" s="73"/>
      <c r="S111" s="73"/>
      <c r="T111" s="496"/>
      <c r="U111" s="74"/>
    </row>
    <row r="112" spans="1:21" x14ac:dyDescent="0.25">
      <c r="B112" s="56" t="str">
        <f t="shared" ref="B112:B118" si="40">+B100</f>
        <v>Sülysáp Város Önkormányzata</v>
      </c>
      <c r="C112" s="495">
        <f>+'2. Önk. Bevételek'!C80</f>
        <v>410956549</v>
      </c>
      <c r="D112" s="73">
        <f>+'2. Önk. Bevételek'!D80</f>
        <v>410956549</v>
      </c>
      <c r="E112" s="73">
        <f>+'2. Önk. Bevételek'!E80</f>
        <v>410956549</v>
      </c>
      <c r="F112" s="456">
        <f>+'2. Önk. Bevételek'!F80</f>
        <v>410956549</v>
      </c>
      <c r="G112" s="74"/>
      <c r="H112" s="495">
        <f>'2. Önk. Bevételek'!H80</f>
        <v>410956549</v>
      </c>
      <c r="I112" s="73">
        <f>'2. Önk. Bevételek'!I80</f>
        <v>410956549</v>
      </c>
      <c r="J112" s="73">
        <f>+'2. Önk. Bevételek'!J80</f>
        <v>432249173</v>
      </c>
      <c r="K112" s="74"/>
      <c r="L112" s="648">
        <f t="shared" ref="L112:L118" si="41">IF(D112=0,0,H112/D112)</f>
        <v>1</v>
      </c>
      <c r="M112" s="648">
        <f t="shared" ref="M112:M118" si="42">IF(E112=0,0,I112/E112)</f>
        <v>1</v>
      </c>
      <c r="N112" s="686">
        <f t="shared" ref="N112:N118" si="43">IF(F112=0,0,J112/F112)</f>
        <v>1.0518123486578139</v>
      </c>
      <c r="O112" s="638"/>
      <c r="P112" s="495">
        <f>+'2. Önk. Bevételek'!P80-P124</f>
        <v>0</v>
      </c>
      <c r="Q112" s="73">
        <f>+'2. Önk. Bevételek'!Q80-Q124</f>
        <v>0</v>
      </c>
      <c r="R112" s="73">
        <f>+'2. Önk. Bevételek'!R80-R124</f>
        <v>0</v>
      </c>
      <c r="S112" s="73">
        <f t="shared" ref="S112:S118" si="44">+P112*P$8+Q112*Q$8+R112*R$8</f>
        <v>0</v>
      </c>
      <c r="T112" s="496"/>
      <c r="U112" s="74"/>
    </row>
    <row r="113" spans="1:21" x14ac:dyDescent="0.25">
      <c r="A113" s="56"/>
      <c r="B113" s="56" t="str">
        <f t="shared" si="40"/>
        <v>Dr. Gáspár István HSZK</v>
      </c>
      <c r="C113" s="495">
        <f>+'4. Dr Gáspár HSZK'!C99</f>
        <v>34298310.030000001</v>
      </c>
      <c r="D113" s="73">
        <f>+'4. Dr Gáspár HSZK'!D99</f>
        <v>34298310</v>
      </c>
      <c r="E113" s="73">
        <f>+'4. Dr Gáspár HSZK'!E99</f>
        <v>34298310</v>
      </c>
      <c r="F113" s="456">
        <f>+'4. Dr Gáspár HSZK'!F99</f>
        <v>32603004</v>
      </c>
      <c r="G113" s="73"/>
      <c r="H113" s="73">
        <f>+'4. Dr Gáspár HSZK'!H99</f>
        <v>16667105</v>
      </c>
      <c r="I113" s="73">
        <f>+'4. Dr Gáspár HSZK'!I99</f>
        <v>24834096</v>
      </c>
      <c r="J113" s="73">
        <f>+'4. Dr Gáspár HSZK'!J99</f>
        <v>32603004</v>
      </c>
      <c r="K113" s="73"/>
      <c r="L113" s="648">
        <f t="shared" si="41"/>
        <v>0.48594537165242252</v>
      </c>
      <c r="M113" s="648">
        <f t="shared" si="42"/>
        <v>0.72406179779703428</v>
      </c>
      <c r="N113" s="686">
        <f t="shared" si="43"/>
        <v>1</v>
      </c>
      <c r="O113" s="630"/>
      <c r="P113" s="495">
        <f>+'4. Dr Gáspár HSZK'!P99-P125</f>
        <v>-668822.03000000119</v>
      </c>
      <c r="Q113" s="73">
        <f>+'4. Dr Gáspár HSZK'!Q99-Q125</f>
        <v>0</v>
      </c>
      <c r="R113" s="73">
        <f>+'4. Dr Gáspár HSZK'!R99-R125</f>
        <v>-1695306</v>
      </c>
      <c r="S113" s="73">
        <f t="shared" si="44"/>
        <v>-2364128.0300000012</v>
      </c>
      <c r="T113" s="496"/>
      <c r="U113" s="74"/>
    </row>
    <row r="114" spans="1:21" x14ac:dyDescent="0.25">
      <c r="B114" s="56" t="str">
        <f t="shared" si="40"/>
        <v>SÜLYSÁPI CSICSERGŐ ÓVODA</v>
      </c>
      <c r="C114" s="495">
        <f>+'5. Csicsergő'!C99</f>
        <v>193219000</v>
      </c>
      <c r="D114" s="73">
        <f>+'5. Csicsergő'!D99</f>
        <v>193219000</v>
      </c>
      <c r="E114" s="73">
        <f>+'5. Csicsergő'!E99</f>
        <v>193219000</v>
      </c>
      <c r="F114" s="456">
        <f>+'5. Csicsergő'!F99</f>
        <v>189817334</v>
      </c>
      <c r="G114" s="73"/>
      <c r="H114" s="73">
        <f>+'5. Csicsergő'!H99</f>
        <v>94141502</v>
      </c>
      <c r="I114" s="73">
        <f>+'5. Csicsergő'!I99</f>
        <v>140302554</v>
      </c>
      <c r="J114" s="73">
        <f>+'5. Csicsergő'!J99</f>
        <v>189817334</v>
      </c>
      <c r="K114" s="73"/>
      <c r="L114" s="648">
        <f t="shared" si="41"/>
        <v>0.48722693937966766</v>
      </c>
      <c r="M114" s="648">
        <f t="shared" si="42"/>
        <v>0.72613228512723904</v>
      </c>
      <c r="N114" s="686">
        <f t="shared" si="43"/>
        <v>1</v>
      </c>
      <c r="O114" s="630"/>
      <c r="P114" s="495">
        <f>+'5. Csicsergő'!P99-P126</f>
        <v>0</v>
      </c>
      <c r="Q114" s="73">
        <f>+'5. Csicsergő'!Q99-Q126</f>
        <v>0</v>
      </c>
      <c r="R114" s="73">
        <f>+'5. Csicsergő'!R99-R126</f>
        <v>-3401666</v>
      </c>
      <c r="S114" s="73">
        <f t="shared" si="44"/>
        <v>-3401666</v>
      </c>
      <c r="T114" s="496"/>
      <c r="U114" s="74"/>
    </row>
    <row r="115" spans="1:21" x14ac:dyDescent="0.25">
      <c r="B115" s="56" t="str">
        <f t="shared" si="40"/>
        <v>GÓLYAHÍR BÖLCSŐDE</v>
      </c>
      <c r="C115" s="495">
        <f>+'6. Gólyahír'!C99</f>
        <v>61968000</v>
      </c>
      <c r="D115" s="73">
        <f>+'6. Gólyahír'!D99</f>
        <v>61968000</v>
      </c>
      <c r="E115" s="73">
        <f>+'6. Gólyahír'!E99</f>
        <v>61968000</v>
      </c>
      <c r="F115" s="456">
        <f>+'6. Gólyahír'!F99</f>
        <v>61204413</v>
      </c>
      <c r="G115" s="73"/>
      <c r="H115" s="73">
        <f>+'6. Gólyahír'!H99</f>
        <v>35861075</v>
      </c>
      <c r="I115" s="73">
        <f>+'6. Gólyahír'!I99</f>
        <v>48347425</v>
      </c>
      <c r="J115" s="73">
        <f>+'6. Gólyahír'!J99</f>
        <v>61204413</v>
      </c>
      <c r="K115" s="73"/>
      <c r="L115" s="648">
        <f t="shared" si="41"/>
        <v>0.57870312096565968</v>
      </c>
      <c r="M115" s="648">
        <f t="shared" si="42"/>
        <v>0.78019986121869356</v>
      </c>
      <c r="N115" s="686">
        <f t="shared" si="43"/>
        <v>1</v>
      </c>
      <c r="O115" s="630"/>
      <c r="P115" s="495">
        <f>+'6. Gólyahír'!P99-P127</f>
        <v>0</v>
      </c>
      <c r="Q115" s="73">
        <f>+'6. Gólyahír'!Q99-Q127</f>
        <v>0</v>
      </c>
      <c r="R115" s="73">
        <f>+'6. Gólyahír'!R99-R127</f>
        <v>-763587</v>
      </c>
      <c r="S115" s="73">
        <f t="shared" si="44"/>
        <v>-763587</v>
      </c>
      <c r="T115" s="496"/>
      <c r="U115" s="74"/>
    </row>
    <row r="116" spans="1:21" x14ac:dyDescent="0.25">
      <c r="B116" s="56" t="str">
        <f t="shared" si="40"/>
        <v>POLGÁRMESTERI HIVATAL</v>
      </c>
      <c r="C116" s="495">
        <f>+'7. Polg.Hiv.'!C99</f>
        <v>135425600</v>
      </c>
      <c r="D116" s="73">
        <f>+'7. Polg.Hiv.'!D99</f>
        <v>144941600</v>
      </c>
      <c r="E116" s="73">
        <f>+'7. Polg.Hiv.'!E99</f>
        <v>144941600</v>
      </c>
      <c r="F116" s="456">
        <f>+'7. Polg.Hiv.'!F99</f>
        <v>136732294</v>
      </c>
      <c r="G116" s="73"/>
      <c r="H116" s="73">
        <f>+'7. Polg.Hiv.'!H99</f>
        <v>71040097</v>
      </c>
      <c r="I116" s="73">
        <f>+'7. Polg.Hiv.'!I99</f>
        <v>102050486</v>
      </c>
      <c r="J116" s="73">
        <f>+'7. Polg.Hiv.'!J99</f>
        <v>136732294</v>
      </c>
      <c r="K116" s="73"/>
      <c r="L116" s="648">
        <f t="shared" si="41"/>
        <v>0.49012910717144009</v>
      </c>
      <c r="M116" s="648">
        <f t="shared" si="42"/>
        <v>0.70408002947393988</v>
      </c>
      <c r="N116" s="686">
        <f t="shared" si="43"/>
        <v>1</v>
      </c>
      <c r="O116" s="630"/>
      <c r="P116" s="495">
        <f>+'7. Polg.Hiv.'!P99-P128</f>
        <v>9516000</v>
      </c>
      <c r="Q116" s="73">
        <f>+'7. Polg.Hiv.'!Q99-Q128</f>
        <v>0</v>
      </c>
      <c r="R116" s="73">
        <f>+'7. Polg.Hiv.'!R99-R128</f>
        <v>-8209306</v>
      </c>
      <c r="S116" s="73">
        <f t="shared" si="44"/>
        <v>1306694</v>
      </c>
      <c r="T116" s="496"/>
      <c r="U116" s="74"/>
    </row>
    <row r="117" spans="1:21" x14ac:dyDescent="0.25">
      <c r="B117" s="56" t="str">
        <f t="shared" si="40"/>
        <v>Wass Albert Művelődési Központ és Könyvtár</v>
      </c>
      <c r="C117" s="495">
        <f>+'8. WAMKK'!C99</f>
        <v>29041000</v>
      </c>
      <c r="D117" s="73">
        <f>+'8. WAMKK'!D99</f>
        <v>29041000</v>
      </c>
      <c r="E117" s="73">
        <f>+'8. WAMKK'!E99</f>
        <v>32315000</v>
      </c>
      <c r="F117" s="456">
        <f>+'8. WAMKK'!F99</f>
        <v>29305472</v>
      </c>
      <c r="G117" s="73"/>
      <c r="H117" s="73">
        <f>+'8. WAMKK'!H99</f>
        <v>12202714</v>
      </c>
      <c r="I117" s="73">
        <f>+'8. WAMKK'!I99</f>
        <v>25083522</v>
      </c>
      <c r="J117" s="73">
        <f>+'8. WAMKK'!J99</f>
        <v>29305472</v>
      </c>
      <c r="K117" s="73"/>
      <c r="L117" s="648">
        <f t="shared" si="41"/>
        <v>0.4201891808133329</v>
      </c>
      <c r="M117" s="648">
        <f t="shared" si="42"/>
        <v>0.77621915519108775</v>
      </c>
      <c r="N117" s="686">
        <f t="shared" si="43"/>
        <v>1</v>
      </c>
      <c r="O117" s="630"/>
      <c r="P117" s="495">
        <f>+'8. WAMKK'!P99-P129</f>
        <v>0</v>
      </c>
      <c r="Q117" s="73">
        <f>+'8. WAMKK'!Q99-Q129</f>
        <v>3274000</v>
      </c>
      <c r="R117" s="73">
        <f>+'8. WAMKK'!R99-R129</f>
        <v>-3009528</v>
      </c>
      <c r="S117" s="73">
        <f t="shared" si="44"/>
        <v>264472</v>
      </c>
      <c r="T117" s="496"/>
      <c r="U117" s="74"/>
    </row>
    <row r="118" spans="1:21" x14ac:dyDescent="0.25">
      <c r="B118" s="56" t="str">
        <f t="shared" si="40"/>
        <v>Központi Konyha</v>
      </c>
      <c r="C118" s="495">
        <f>+'9. Közp. Konyha'!C99</f>
        <v>76208000</v>
      </c>
      <c r="D118" s="73">
        <f>+'9. Közp. Konyha'!D99</f>
        <v>76208000</v>
      </c>
      <c r="E118" s="73">
        <f>+'9. Közp. Konyha'!E99</f>
        <v>76208000</v>
      </c>
      <c r="F118" s="456">
        <f>+'9. Közp. Konyha'!F99</f>
        <v>77570036</v>
      </c>
      <c r="G118" s="73"/>
      <c r="H118" s="73">
        <f>+'9. Közp. Konyha'!H99</f>
        <v>43371562</v>
      </c>
      <c r="I118" s="73">
        <f>+'9. Közp. Konyha'!I99</f>
        <v>57187714</v>
      </c>
      <c r="J118" s="73">
        <f>+'9. Közp. Konyha'!J99</f>
        <v>77570036</v>
      </c>
      <c r="K118" s="73"/>
      <c r="L118" s="648">
        <f t="shared" si="41"/>
        <v>0.56912085345370567</v>
      </c>
      <c r="M118" s="648">
        <f t="shared" si="42"/>
        <v>0.75041615053537691</v>
      </c>
      <c r="N118" s="686">
        <f t="shared" si="43"/>
        <v>1</v>
      </c>
      <c r="O118" s="630"/>
      <c r="P118" s="495">
        <f>+'9. Közp. Konyha'!P99-P130</f>
        <v>0</v>
      </c>
      <c r="Q118" s="73">
        <f>+'9. Közp. Konyha'!Q99-Q130</f>
        <v>0</v>
      </c>
      <c r="R118" s="73">
        <f>+'9. Közp. Konyha'!R99-R130</f>
        <v>1362036</v>
      </c>
      <c r="S118" s="73">
        <f t="shared" si="44"/>
        <v>1362036</v>
      </c>
      <c r="T118" s="496"/>
      <c r="U118" s="74"/>
    </row>
    <row r="119" spans="1:21" ht="8.1" customHeight="1" x14ac:dyDescent="0.25">
      <c r="B119" s="380" t="s">
        <v>443</v>
      </c>
      <c r="C119" s="497"/>
      <c r="D119" s="379"/>
      <c r="E119" s="379"/>
      <c r="F119" s="508"/>
      <c r="G119" s="379"/>
      <c r="H119" s="497"/>
      <c r="I119" s="379"/>
      <c r="J119" s="379"/>
      <c r="K119" s="379"/>
      <c r="L119" s="687"/>
      <c r="M119" s="687"/>
      <c r="N119" s="688"/>
      <c r="O119" s="681"/>
      <c r="P119" s="497"/>
      <c r="Q119" s="379"/>
      <c r="R119" s="379"/>
      <c r="S119" s="379"/>
      <c r="T119" s="496"/>
      <c r="U119" s="74"/>
    </row>
    <row r="120" spans="1:21" x14ac:dyDescent="0.25">
      <c r="A120" s="381" t="str">
        <f>+A111</f>
        <v>B8</v>
      </c>
      <c r="B120" s="361" t="s">
        <v>437</v>
      </c>
      <c r="C120" s="498">
        <f>SUM(C112:C119)</f>
        <v>941116459.02999997</v>
      </c>
      <c r="D120" s="362">
        <f>SUM(D112:D119)</f>
        <v>950632459</v>
      </c>
      <c r="E120" s="362">
        <f>SUM(E112:E119)</f>
        <v>953906459</v>
      </c>
      <c r="F120" s="509">
        <f>SUM(F112:F119)</f>
        <v>938189102</v>
      </c>
      <c r="G120" s="362"/>
      <c r="H120" s="498">
        <f>SUM(H112:H119)</f>
        <v>684240604</v>
      </c>
      <c r="I120" s="362">
        <f>SUM(I112:I119)</f>
        <v>808762346</v>
      </c>
      <c r="J120" s="362">
        <f>SUM(J112:J119)</f>
        <v>959481726</v>
      </c>
      <c r="K120" s="362"/>
      <c r="L120" s="689">
        <f>IF(D120=0,0,H120/D120)</f>
        <v>0.71977408042617652</v>
      </c>
      <c r="M120" s="689">
        <f>IF(E120=0,0,I120/E120)</f>
        <v>0.84784240463980332</v>
      </c>
      <c r="N120" s="690">
        <f>IF(F120=0,0,J120/F120)</f>
        <v>1.0226954501545682</v>
      </c>
      <c r="O120" s="682"/>
      <c r="P120" s="498">
        <f>SUM(P112:P119)</f>
        <v>8847177.9699999988</v>
      </c>
      <c r="Q120" s="362">
        <f>SUM(Q112:Q119)</f>
        <v>3274000</v>
      </c>
      <c r="R120" s="362">
        <f>SUM(R112:R119)</f>
        <v>-15717357</v>
      </c>
      <c r="S120" s="362">
        <f>+P120*P$8+Q120*Q$8+R120*R$8</f>
        <v>-3596179.0300000012</v>
      </c>
      <c r="T120" s="496"/>
      <c r="U120" s="74"/>
    </row>
    <row r="121" spans="1:21" x14ac:dyDescent="0.25">
      <c r="C121" s="499"/>
      <c r="F121" s="454"/>
      <c r="H121" s="499"/>
      <c r="L121" s="648"/>
      <c r="M121" s="648"/>
      <c r="N121" s="686"/>
      <c r="O121" s="631"/>
      <c r="P121" s="499"/>
      <c r="T121" s="496"/>
    </row>
    <row r="122" spans="1:21" x14ac:dyDescent="0.25">
      <c r="C122" s="499"/>
      <c r="F122" s="454"/>
      <c r="H122" s="499"/>
      <c r="L122" s="648"/>
      <c r="M122" s="648"/>
      <c r="N122" s="686"/>
      <c r="O122" s="631"/>
      <c r="P122" s="499"/>
      <c r="T122" s="496"/>
    </row>
    <row r="123" spans="1:21" x14ac:dyDescent="0.25">
      <c r="A123" s="316" t="s">
        <v>444</v>
      </c>
      <c r="B123" s="316"/>
      <c r="C123" s="495"/>
      <c r="D123" s="74"/>
      <c r="E123" s="74"/>
      <c r="F123" s="521"/>
      <c r="G123" s="74"/>
      <c r="H123" s="495"/>
      <c r="K123" s="74"/>
      <c r="L123" s="646"/>
      <c r="M123" s="646"/>
      <c r="N123" s="686"/>
      <c r="O123" s="638"/>
      <c r="P123" s="495"/>
      <c r="Q123" s="73"/>
      <c r="R123" s="73"/>
      <c r="S123" s="73"/>
      <c r="T123" s="496"/>
      <c r="U123" s="74"/>
    </row>
    <row r="124" spans="1:21" x14ac:dyDescent="0.25">
      <c r="B124" s="56" t="str">
        <f t="shared" ref="B124:B130" si="45">+B112</f>
        <v>Sülysáp Város Önkormányzata</v>
      </c>
      <c r="C124" s="495">
        <f>+'2. Önk. Bevételek'!C87</f>
        <v>410956549</v>
      </c>
      <c r="D124" s="73">
        <f>+'2. Önk. Bevételek'!D87</f>
        <v>410956549</v>
      </c>
      <c r="E124" s="73">
        <f>+'2. Önk. Bevételek'!E87</f>
        <v>410956549</v>
      </c>
      <c r="F124" s="456">
        <f>+'2. Önk. Bevételek'!F87</f>
        <v>410956549</v>
      </c>
      <c r="G124" s="74"/>
      <c r="H124" s="495">
        <f>+'2. Önk. Bevételek'!H87</f>
        <v>410956549</v>
      </c>
      <c r="I124" s="73">
        <f>+'2. Önk. Bevételek'!I87</f>
        <v>410956549</v>
      </c>
      <c r="J124" s="73">
        <f>+'2. Önk. Bevételek'!J87</f>
        <v>432249173</v>
      </c>
      <c r="K124" s="74"/>
      <c r="L124" s="648">
        <f t="shared" ref="L124:L130" si="46">IF(D124=0,0,H124/D124)</f>
        <v>1</v>
      </c>
      <c r="M124" s="648">
        <f t="shared" ref="M124:M130" si="47">IF(E124=0,0,I124/E124)</f>
        <v>1</v>
      </c>
      <c r="N124" s="686">
        <f t="shared" ref="N124:N130" si="48">IF(F124=0,0,J124/F124)</f>
        <v>1.0518123486578139</v>
      </c>
      <c r="O124" s="638"/>
      <c r="P124" s="495">
        <f>+'2. Önk. Bevételek'!P87</f>
        <v>0</v>
      </c>
      <c r="Q124" s="73">
        <f>+'2. Önk. Bevételek'!Q87</f>
        <v>0</v>
      </c>
      <c r="R124" s="73">
        <f>+'2. Önk. Bevételek'!R87</f>
        <v>0</v>
      </c>
      <c r="S124" s="73">
        <f t="shared" ref="S124:S130" si="49">+P124*P$8+Q124*Q$8+R124*R$8</f>
        <v>0</v>
      </c>
      <c r="T124" s="496"/>
      <c r="U124" s="74"/>
    </row>
    <row r="125" spans="1:21" x14ac:dyDescent="0.25">
      <c r="A125" s="56"/>
      <c r="B125" s="56" t="str">
        <f t="shared" si="45"/>
        <v>Dr. Gáspár István HSZK</v>
      </c>
      <c r="C125" s="495">
        <f>+'4. Dr Gáspár HSZK'!C101</f>
        <v>670000</v>
      </c>
      <c r="D125" s="73">
        <f>+'4. Dr Gáspár HSZK'!D101</f>
        <v>1338822</v>
      </c>
      <c r="E125" s="73">
        <f>+'4. Dr Gáspár HSZK'!E101</f>
        <v>1338822</v>
      </c>
      <c r="F125" s="456">
        <f>+'4. Dr Gáspár HSZK'!F101</f>
        <v>1338822</v>
      </c>
      <c r="G125" s="73"/>
      <c r="H125" s="495">
        <f>+'4. Dr Gáspár HSZK'!H101</f>
        <v>1338822</v>
      </c>
      <c r="I125" s="73">
        <f>+'4. Dr Gáspár HSZK'!I101</f>
        <v>1338822</v>
      </c>
      <c r="J125" s="73">
        <f>+'4. Dr Gáspár HSZK'!J101</f>
        <v>1338822</v>
      </c>
      <c r="K125" s="73"/>
      <c r="L125" s="648">
        <f t="shared" si="46"/>
        <v>1</v>
      </c>
      <c r="M125" s="648">
        <f t="shared" si="47"/>
        <v>1</v>
      </c>
      <c r="N125" s="686">
        <f t="shared" si="48"/>
        <v>1</v>
      </c>
      <c r="O125" s="630"/>
      <c r="P125" s="495">
        <f>+'4. Dr Gáspár HSZK'!P101</f>
        <v>668822</v>
      </c>
      <c r="Q125" s="73">
        <f>+'4. Dr Gáspár HSZK'!Q101</f>
        <v>0</v>
      </c>
      <c r="R125" s="73">
        <f>+'4. Dr Gáspár HSZK'!R101</f>
        <v>0</v>
      </c>
      <c r="S125" s="73">
        <f t="shared" si="49"/>
        <v>668822</v>
      </c>
      <c r="T125" s="496"/>
      <c r="U125" s="74"/>
    </row>
    <row r="126" spans="1:21" x14ac:dyDescent="0.25">
      <c r="B126" s="56" t="str">
        <f t="shared" si="45"/>
        <v>SÜLYSÁPI CSICSERGŐ ÓVODA</v>
      </c>
      <c r="C126" s="495">
        <f>+'5. Csicsergő'!C101</f>
        <v>1562141</v>
      </c>
      <c r="D126" s="73">
        <f>+'5. Csicsergő'!D101</f>
        <v>1562141</v>
      </c>
      <c r="E126" s="73">
        <f>+'5. Csicsergő'!E101</f>
        <v>1562141</v>
      </c>
      <c r="F126" s="456">
        <f>+'5. Csicsergő'!F101</f>
        <v>1562141</v>
      </c>
      <c r="G126" s="73"/>
      <c r="H126" s="495">
        <f>+'5. Csicsergő'!H101</f>
        <v>1562141</v>
      </c>
      <c r="I126" s="73">
        <f>+'5. Csicsergő'!I101</f>
        <v>1562141</v>
      </c>
      <c r="J126" s="73">
        <f>+'5. Csicsergő'!J101</f>
        <v>1562141</v>
      </c>
      <c r="K126" s="73"/>
      <c r="L126" s="648">
        <f t="shared" si="46"/>
        <v>1</v>
      </c>
      <c r="M126" s="648">
        <f t="shared" si="47"/>
        <v>1</v>
      </c>
      <c r="N126" s="686">
        <f t="shared" si="48"/>
        <v>1</v>
      </c>
      <c r="O126" s="630"/>
      <c r="P126" s="495">
        <f>+'5. Csicsergő'!P101</f>
        <v>0</v>
      </c>
      <c r="Q126" s="73">
        <f>+'5. Csicsergő'!Q101</f>
        <v>0</v>
      </c>
      <c r="R126" s="73">
        <f>+'5. Csicsergő'!R101</f>
        <v>0</v>
      </c>
      <c r="S126" s="73">
        <f t="shared" si="49"/>
        <v>0</v>
      </c>
      <c r="T126" s="496"/>
      <c r="U126" s="74"/>
    </row>
    <row r="127" spans="1:21" x14ac:dyDescent="0.25">
      <c r="B127" s="56" t="str">
        <f t="shared" si="45"/>
        <v>GÓLYAHÍR BÖLCSŐDE</v>
      </c>
      <c r="C127" s="495">
        <f>+'6. Gólyahír'!C101</f>
        <v>2656361</v>
      </c>
      <c r="D127" s="73">
        <f>+'6. Gólyahír'!D101</f>
        <v>2656361</v>
      </c>
      <c r="E127" s="73">
        <f>+'6. Gólyahír'!E101</f>
        <v>2656361</v>
      </c>
      <c r="F127" s="456">
        <f>+'6. Gólyahír'!F101</f>
        <v>2656361</v>
      </c>
      <c r="G127" s="73"/>
      <c r="H127" s="495">
        <f>+'6. Gólyahír'!H101</f>
        <v>2656361</v>
      </c>
      <c r="I127" s="73">
        <f>+'6. Gólyahír'!I101</f>
        <v>2656361</v>
      </c>
      <c r="J127" s="73">
        <f>+'6. Gólyahír'!J101</f>
        <v>2656361</v>
      </c>
      <c r="K127" s="73"/>
      <c r="L127" s="648">
        <f t="shared" si="46"/>
        <v>1</v>
      </c>
      <c r="M127" s="648">
        <f t="shared" si="47"/>
        <v>1</v>
      </c>
      <c r="N127" s="686">
        <f t="shared" si="48"/>
        <v>1</v>
      </c>
      <c r="O127" s="630"/>
      <c r="P127" s="495">
        <f>+'6. Gólyahír'!P101</f>
        <v>0</v>
      </c>
      <c r="Q127" s="73">
        <f>+'6. Gólyahír'!Q101</f>
        <v>0</v>
      </c>
      <c r="R127" s="73">
        <f>+'6. Gólyahír'!R101</f>
        <v>0</v>
      </c>
      <c r="S127" s="73">
        <f t="shared" si="49"/>
        <v>0</v>
      </c>
      <c r="T127" s="496"/>
      <c r="U127" s="74"/>
    </row>
    <row r="128" spans="1:21" x14ac:dyDescent="0.25">
      <c r="B128" s="56" t="str">
        <f t="shared" si="45"/>
        <v>POLGÁRMESTERI HIVATAL</v>
      </c>
      <c r="C128" s="495">
        <f>+'7. Polg.Hiv.'!C101</f>
        <v>2430883</v>
      </c>
      <c r="D128" s="73">
        <f>+'7. Polg.Hiv.'!D101</f>
        <v>2430883</v>
      </c>
      <c r="E128" s="73">
        <f>+'7. Polg.Hiv.'!E101</f>
        <v>2430883</v>
      </c>
      <c r="F128" s="456">
        <f>+'7. Polg.Hiv.'!F101</f>
        <v>2430883</v>
      </c>
      <c r="G128" s="73"/>
      <c r="H128" s="495">
        <f>+'7. Polg.Hiv.'!H101</f>
        <v>2430883</v>
      </c>
      <c r="I128" s="73">
        <f>+'7. Polg.Hiv.'!I101</f>
        <v>2430883</v>
      </c>
      <c r="J128" s="73">
        <f>+'7. Polg.Hiv.'!J101</f>
        <v>2430883</v>
      </c>
      <c r="K128" s="73"/>
      <c r="L128" s="648">
        <f t="shared" si="46"/>
        <v>1</v>
      </c>
      <c r="M128" s="648">
        <f t="shared" si="47"/>
        <v>1</v>
      </c>
      <c r="N128" s="686">
        <f t="shared" si="48"/>
        <v>1</v>
      </c>
      <c r="O128" s="630"/>
      <c r="P128" s="495">
        <f>+'7. Polg.Hiv.'!P101</f>
        <v>0</v>
      </c>
      <c r="Q128" s="73">
        <f>+'7. Polg.Hiv.'!Q101</f>
        <v>0</v>
      </c>
      <c r="R128" s="73">
        <f>+'7. Polg.Hiv.'!R101</f>
        <v>0</v>
      </c>
      <c r="S128" s="73">
        <f t="shared" si="49"/>
        <v>0</v>
      </c>
      <c r="T128" s="496"/>
      <c r="U128" s="74"/>
    </row>
    <row r="129" spans="1:21" x14ac:dyDescent="0.25">
      <c r="B129" s="56" t="str">
        <f t="shared" si="45"/>
        <v>Wass Albert Művelődési Központ és Könyvtár</v>
      </c>
      <c r="C129" s="495">
        <f>+'8. WAMKK'!C101</f>
        <v>706412</v>
      </c>
      <c r="D129" s="73">
        <f>+'8. WAMKK'!D101</f>
        <v>706412</v>
      </c>
      <c r="E129" s="73">
        <f>+'8. WAMKK'!E101</f>
        <v>706412</v>
      </c>
      <c r="F129" s="456">
        <f>+'8. WAMKK'!F101</f>
        <v>706412</v>
      </c>
      <c r="G129" s="73"/>
      <c r="H129" s="495">
        <f>+'8. WAMKK'!H101</f>
        <v>706412</v>
      </c>
      <c r="I129" s="73">
        <f>+'8. WAMKK'!I101</f>
        <v>706412</v>
      </c>
      <c r="J129" s="73">
        <f>+'8. WAMKK'!J101</f>
        <v>706412</v>
      </c>
      <c r="K129" s="73"/>
      <c r="L129" s="648">
        <f t="shared" si="46"/>
        <v>1</v>
      </c>
      <c r="M129" s="648">
        <f t="shared" si="47"/>
        <v>1</v>
      </c>
      <c r="N129" s="686">
        <f t="shared" si="48"/>
        <v>1</v>
      </c>
      <c r="O129" s="630"/>
      <c r="P129" s="495">
        <f>+'8. WAMKK'!P101</f>
        <v>0</v>
      </c>
      <c r="Q129" s="73">
        <f>+'8. WAMKK'!Q101</f>
        <v>0</v>
      </c>
      <c r="R129" s="73">
        <f>+'8. WAMKK'!R101</f>
        <v>0</v>
      </c>
      <c r="S129" s="73">
        <f t="shared" si="49"/>
        <v>0</v>
      </c>
      <c r="T129" s="496"/>
      <c r="U129" s="74"/>
    </row>
    <row r="130" spans="1:21" x14ac:dyDescent="0.25">
      <c r="B130" s="56" t="str">
        <f t="shared" si="45"/>
        <v>Központi Konyha</v>
      </c>
      <c r="C130" s="495">
        <f>+'9. Közp. Konyha'!C101</f>
        <v>4809254</v>
      </c>
      <c r="D130" s="73">
        <f>+'9. Közp. Konyha'!D101</f>
        <v>4809254</v>
      </c>
      <c r="E130" s="73">
        <f>+'9. Közp. Konyha'!E101</f>
        <v>4809254</v>
      </c>
      <c r="F130" s="456">
        <f>+'9. Közp. Konyha'!F101</f>
        <v>4809254</v>
      </c>
      <c r="G130" s="73"/>
      <c r="H130" s="495">
        <f>+'9. Közp. Konyha'!H101</f>
        <v>4809254</v>
      </c>
      <c r="I130" s="73">
        <f>+'9. Közp. Konyha'!I101</f>
        <v>4809254</v>
      </c>
      <c r="J130" s="73">
        <f>+'9. Közp. Konyha'!J101</f>
        <v>4809254</v>
      </c>
      <c r="K130" s="73"/>
      <c r="L130" s="648">
        <f t="shared" si="46"/>
        <v>1</v>
      </c>
      <c r="M130" s="648">
        <f t="shared" si="47"/>
        <v>1</v>
      </c>
      <c r="N130" s="686">
        <f t="shared" si="48"/>
        <v>1</v>
      </c>
      <c r="O130" s="630"/>
      <c r="P130" s="495">
        <f>+'9. Közp. Konyha'!P101</f>
        <v>0</v>
      </c>
      <c r="Q130" s="73">
        <f>+'9. Közp. Konyha'!Q101</f>
        <v>0</v>
      </c>
      <c r="R130" s="73">
        <f>+'9. Közp. Konyha'!R101</f>
        <v>0</v>
      </c>
      <c r="S130" s="73">
        <f t="shared" si="49"/>
        <v>0</v>
      </c>
      <c r="T130" s="496"/>
      <c r="U130" s="74"/>
    </row>
    <row r="131" spans="1:21" ht="8.1" customHeight="1" x14ac:dyDescent="0.25">
      <c r="B131" s="380" t="s">
        <v>443</v>
      </c>
      <c r="C131" s="497"/>
      <c r="D131" s="379"/>
      <c r="E131" s="379"/>
      <c r="F131" s="508"/>
      <c r="G131" s="379"/>
      <c r="H131" s="497"/>
      <c r="I131" s="379"/>
      <c r="J131" s="379"/>
      <c r="K131" s="379"/>
      <c r="L131" s="687"/>
      <c r="M131" s="687"/>
      <c r="N131" s="688"/>
      <c r="O131" s="681"/>
      <c r="P131" s="497"/>
      <c r="Q131" s="379"/>
      <c r="R131" s="379"/>
      <c r="S131" s="379"/>
      <c r="T131" s="496"/>
      <c r="U131" s="74"/>
    </row>
    <row r="132" spans="1:21" x14ac:dyDescent="0.25">
      <c r="A132" s="381" t="str">
        <f>+A123</f>
        <v>B8-ból előző évi mardvány igénybevétele</v>
      </c>
      <c r="B132" s="361" t="s">
        <v>437</v>
      </c>
      <c r="C132" s="498">
        <f>SUM(C124:C131)</f>
        <v>423791600</v>
      </c>
      <c r="D132" s="362">
        <f>SUM(D124:D131)</f>
        <v>424460422</v>
      </c>
      <c r="E132" s="362">
        <f>SUM(E124:E131)</f>
        <v>424460422</v>
      </c>
      <c r="F132" s="509">
        <f>SUM(F124:F131)</f>
        <v>424460422</v>
      </c>
      <c r="G132" s="362"/>
      <c r="H132" s="498">
        <f>SUM(H124:H131)</f>
        <v>424460422</v>
      </c>
      <c r="I132" s="362">
        <f>SUM(I124:I131)</f>
        <v>424460422</v>
      </c>
      <c r="J132" s="362">
        <f>SUM(J124:J131)</f>
        <v>445753046</v>
      </c>
      <c r="K132" s="362"/>
      <c r="L132" s="689">
        <f>IF(D132=0,0,H132/D132)</f>
        <v>1</v>
      </c>
      <c r="M132" s="689">
        <f>IF(E132=0,0,I132/E132)</f>
        <v>1</v>
      </c>
      <c r="N132" s="690">
        <f>IF(F132=0,0,J132/F132)</f>
        <v>1.0501639797172893</v>
      </c>
      <c r="O132" s="682"/>
      <c r="P132" s="498">
        <f>SUM(P124:P131)</f>
        <v>668822</v>
      </c>
      <c r="Q132" s="362">
        <f>SUM(Q124:Q131)</f>
        <v>0</v>
      </c>
      <c r="R132" s="362">
        <f>SUM(R124:R131)</f>
        <v>0</v>
      </c>
      <c r="S132" s="362">
        <f>+P132*P$8+Q132*Q$8+R132*R$8</f>
        <v>668822</v>
      </c>
      <c r="T132" s="496"/>
      <c r="U132" s="74"/>
    </row>
    <row r="133" spans="1:21" x14ac:dyDescent="0.25">
      <c r="C133" s="495"/>
      <c r="F133" s="454"/>
      <c r="H133" s="499"/>
      <c r="L133" s="648"/>
      <c r="M133" s="648"/>
      <c r="N133" s="686"/>
      <c r="O133" s="631"/>
      <c r="P133" s="499"/>
      <c r="T133" s="496"/>
    </row>
    <row r="134" spans="1:21" x14ac:dyDescent="0.25">
      <c r="C134" s="499"/>
      <c r="F134" s="454"/>
      <c r="H134" s="499"/>
      <c r="L134" s="648"/>
      <c r="M134" s="648"/>
      <c r="N134" s="686"/>
      <c r="O134" s="631"/>
      <c r="P134" s="499"/>
      <c r="T134" s="496"/>
    </row>
    <row r="135" spans="1:21" x14ac:dyDescent="0.25">
      <c r="A135" s="316" t="s">
        <v>355</v>
      </c>
      <c r="B135" s="316" t="str">
        <f>+'4. Dr Gáspár HSZK'!B100</f>
        <v>Központi, irányító szervi támogatás</v>
      </c>
      <c r="C135" s="522" t="s">
        <v>439</v>
      </c>
      <c r="D135" s="74"/>
      <c r="E135" s="74"/>
      <c r="F135" s="521"/>
      <c r="G135" s="74"/>
      <c r="H135" s="495"/>
      <c r="K135" s="74"/>
      <c r="L135" s="646"/>
      <c r="M135" s="646"/>
      <c r="N135" s="686"/>
      <c r="O135" s="638"/>
      <c r="P135" s="495"/>
      <c r="Q135" s="73"/>
      <c r="R135" s="73"/>
      <c r="S135" s="73"/>
      <c r="T135" s="496"/>
      <c r="U135" s="74"/>
    </row>
    <row r="136" spans="1:21" x14ac:dyDescent="0.25">
      <c r="B136" s="56" t="str">
        <f t="shared" ref="B136:B142" si="50">+B124</f>
        <v>Sülysáp Város Önkormányzata</v>
      </c>
      <c r="C136" s="495"/>
      <c r="D136" s="73"/>
      <c r="E136" s="73"/>
      <c r="F136" s="456"/>
      <c r="G136" s="74"/>
      <c r="H136" s="495"/>
      <c r="I136" s="73"/>
      <c r="J136" s="73"/>
      <c r="K136" s="74"/>
      <c r="L136" s="646"/>
      <c r="M136" s="646"/>
      <c r="N136" s="686"/>
      <c r="O136" s="638"/>
      <c r="P136" s="495"/>
      <c r="Q136" s="73"/>
      <c r="R136" s="73"/>
      <c r="S136" s="73"/>
      <c r="T136" s="496"/>
      <c r="U136" s="74"/>
    </row>
    <row r="137" spans="1:21" x14ac:dyDescent="0.25">
      <c r="A137" s="56"/>
      <c r="B137" s="56" t="str">
        <f t="shared" si="50"/>
        <v>Dr. Gáspár István HSZK</v>
      </c>
      <c r="C137" s="495">
        <f>+'4. Dr Gáspár HSZK'!C100</f>
        <v>33628310.030000001</v>
      </c>
      <c r="D137" s="73">
        <f>+'4. Dr Gáspár HSZK'!D100</f>
        <v>32959488</v>
      </c>
      <c r="E137" s="73">
        <f>+'4. Dr Gáspár HSZK'!E100</f>
        <v>32959488</v>
      </c>
      <c r="F137" s="456">
        <f>+'4. Dr Gáspár HSZK'!F100</f>
        <v>31264182</v>
      </c>
      <c r="G137" s="73"/>
      <c r="H137" s="495">
        <f>+'4. Dr Gáspár HSZK'!H100</f>
        <v>15328283</v>
      </c>
      <c r="I137" s="73">
        <f>+'4. Dr Gáspár HSZK'!I100</f>
        <v>23495274</v>
      </c>
      <c r="J137" s="73">
        <f>+'4. Dr Gáspár HSZK'!J100</f>
        <v>31264182</v>
      </c>
      <c r="K137" s="73"/>
      <c r="L137" s="648">
        <f t="shared" ref="L137:L144" si="51">IF(D137=0,0,H137/D137)</f>
        <v>0.46506435415501601</v>
      </c>
      <c r="M137" s="648">
        <f t="shared" ref="M137:M144" si="52">IF(E137=0,0,I137/E137)</f>
        <v>0.71285312441746673</v>
      </c>
      <c r="N137" s="686">
        <f t="shared" ref="N137:N144" si="53">IF(F137=0,0,J137/F137)</f>
        <v>1</v>
      </c>
      <c r="O137" s="630"/>
      <c r="P137" s="495">
        <f>+'4. Dr Gáspár HSZK'!P100</f>
        <v>-668822.03000000119</v>
      </c>
      <c r="Q137" s="73">
        <f>+'4. Dr Gáspár HSZK'!Q100</f>
        <v>0</v>
      </c>
      <c r="R137" s="73">
        <f>+'4. Dr Gáspár HSZK'!R100</f>
        <v>-1695306</v>
      </c>
      <c r="S137" s="73">
        <f t="shared" ref="S137:S142" si="54">+P137*P$8+Q137*Q$8+R137*R$8</f>
        <v>-2364128.0300000012</v>
      </c>
      <c r="T137" s="496"/>
      <c r="U137" s="74"/>
    </row>
    <row r="138" spans="1:21" x14ac:dyDescent="0.25">
      <c r="B138" s="56" t="str">
        <f t="shared" si="50"/>
        <v>SÜLYSÁPI CSICSERGŐ ÓVODA</v>
      </c>
      <c r="C138" s="495">
        <f>+'5. Csicsergő'!C100</f>
        <v>191656859</v>
      </c>
      <c r="D138" s="73">
        <f>+'5. Csicsergő'!D100</f>
        <v>191656859</v>
      </c>
      <c r="E138" s="73">
        <f>+'5. Csicsergő'!E100</f>
        <v>191656859</v>
      </c>
      <c r="F138" s="456">
        <f>+'5. Csicsergő'!F100</f>
        <v>188255193</v>
      </c>
      <c r="G138" s="73"/>
      <c r="H138" s="495">
        <f>+'5. Csicsergő'!H100</f>
        <v>92579361</v>
      </c>
      <c r="I138" s="73">
        <f>+'5. Csicsergő'!I100</f>
        <v>138740413</v>
      </c>
      <c r="J138" s="73">
        <f>+'5. Csicsergő'!J100</f>
        <v>188255193</v>
      </c>
      <c r="K138" s="73"/>
      <c r="L138" s="648">
        <f t="shared" si="51"/>
        <v>0.48304747079257937</v>
      </c>
      <c r="M138" s="648">
        <f t="shared" si="52"/>
        <v>0.72390006662897466</v>
      </c>
      <c r="N138" s="686">
        <f t="shared" si="53"/>
        <v>1</v>
      </c>
      <c r="O138" s="630"/>
      <c r="P138" s="495">
        <f>+'5. Csicsergő'!P100</f>
        <v>0</v>
      </c>
      <c r="Q138" s="73">
        <f>+'5. Csicsergő'!Q100</f>
        <v>0</v>
      </c>
      <c r="R138" s="73">
        <f>+'5. Csicsergő'!R100</f>
        <v>-3401666</v>
      </c>
      <c r="S138" s="73">
        <f t="shared" si="54"/>
        <v>-3401666</v>
      </c>
      <c r="T138" s="496"/>
      <c r="U138" s="74"/>
    </row>
    <row r="139" spans="1:21" x14ac:dyDescent="0.25">
      <c r="B139" s="56" t="str">
        <f t="shared" si="50"/>
        <v>GÓLYAHÍR BÖLCSŐDE</v>
      </c>
      <c r="C139" s="495">
        <f>+'6. Gólyahír'!C100</f>
        <v>59311639</v>
      </c>
      <c r="D139" s="73">
        <f>+'6. Gólyahír'!D100</f>
        <v>59311639</v>
      </c>
      <c r="E139" s="73">
        <f>+'6. Gólyahír'!E100</f>
        <v>59311639</v>
      </c>
      <c r="F139" s="456">
        <f>+'6. Gólyahír'!F100</f>
        <v>58548052</v>
      </c>
      <c r="G139" s="73"/>
      <c r="H139" s="495">
        <f>+'6. Gólyahír'!H100</f>
        <v>33204714</v>
      </c>
      <c r="I139" s="73">
        <f>+'6. Gólyahír'!I100</f>
        <v>45691064</v>
      </c>
      <c r="J139" s="73">
        <f>+'6. Gólyahír'!J100</f>
        <v>58548052</v>
      </c>
      <c r="K139" s="73"/>
      <c r="L139" s="648">
        <f t="shared" si="51"/>
        <v>0.55983470630444054</v>
      </c>
      <c r="M139" s="648">
        <f t="shared" si="52"/>
        <v>0.7703557812657984</v>
      </c>
      <c r="N139" s="686">
        <f t="shared" si="53"/>
        <v>1</v>
      </c>
      <c r="O139" s="630"/>
      <c r="P139" s="495">
        <f>+'6. Gólyahír'!P100</f>
        <v>0</v>
      </c>
      <c r="Q139" s="73">
        <f>+'6. Gólyahír'!Q100</f>
        <v>0</v>
      </c>
      <c r="R139" s="73">
        <f>+'6. Gólyahír'!R100</f>
        <v>-763587</v>
      </c>
      <c r="S139" s="73">
        <f t="shared" si="54"/>
        <v>-763587</v>
      </c>
      <c r="T139" s="496"/>
      <c r="U139" s="74"/>
    </row>
    <row r="140" spans="1:21" x14ac:dyDescent="0.25">
      <c r="B140" s="56" t="str">
        <f t="shared" si="50"/>
        <v>POLGÁRMESTERI HIVATAL</v>
      </c>
      <c r="C140" s="495">
        <f>+'7. Polg.Hiv.'!C100</f>
        <v>132994717</v>
      </c>
      <c r="D140" s="73">
        <f>+'7. Polg.Hiv.'!D100</f>
        <v>142510717</v>
      </c>
      <c r="E140" s="73">
        <f>+'7. Polg.Hiv.'!E100</f>
        <v>142510717</v>
      </c>
      <c r="F140" s="456">
        <f>+'7. Polg.Hiv.'!F100</f>
        <v>134301411</v>
      </c>
      <c r="G140" s="73"/>
      <c r="H140" s="495">
        <f>+'7. Polg.Hiv.'!H100</f>
        <v>68609214</v>
      </c>
      <c r="I140" s="73">
        <f>+'7. Polg.Hiv.'!I100</f>
        <v>99619603</v>
      </c>
      <c r="J140" s="73">
        <f>+'7. Polg.Hiv.'!J100</f>
        <v>134301411</v>
      </c>
      <c r="K140" s="73"/>
      <c r="L140" s="648">
        <f t="shared" si="51"/>
        <v>0.4814319613590885</v>
      </c>
      <c r="M140" s="648">
        <f t="shared" si="52"/>
        <v>0.69903236119428125</v>
      </c>
      <c r="N140" s="686">
        <f t="shared" si="53"/>
        <v>1</v>
      </c>
      <c r="O140" s="630"/>
      <c r="P140" s="495">
        <f>+'7. Polg.Hiv.'!P100</f>
        <v>9516000</v>
      </c>
      <c r="Q140" s="73">
        <f>+'7. Polg.Hiv.'!Q100</f>
        <v>0</v>
      </c>
      <c r="R140" s="73">
        <f>+'7. Polg.Hiv.'!R100</f>
        <v>-8209306</v>
      </c>
      <c r="S140" s="73">
        <f t="shared" si="54"/>
        <v>1306694</v>
      </c>
      <c r="T140" s="496"/>
      <c r="U140" s="74"/>
    </row>
    <row r="141" spans="1:21" x14ac:dyDescent="0.25">
      <c r="B141" s="56" t="str">
        <f t="shared" si="50"/>
        <v>Wass Albert Művelődési Központ és Könyvtár</v>
      </c>
      <c r="C141" s="495">
        <f>+'8. WAMKK'!C100</f>
        <v>28334588</v>
      </c>
      <c r="D141" s="73">
        <f>+'8. WAMKK'!D100</f>
        <v>28334588</v>
      </c>
      <c r="E141" s="73">
        <f>+'8. WAMKK'!E100</f>
        <v>31608588</v>
      </c>
      <c r="F141" s="456">
        <f>+'8. WAMKK'!F100</f>
        <v>28599060</v>
      </c>
      <c r="G141" s="73"/>
      <c r="H141" s="495">
        <f>+'8. WAMKK'!H100</f>
        <v>11496302</v>
      </c>
      <c r="I141" s="73">
        <f>+'8. WAMKK'!I100</f>
        <v>24377110</v>
      </c>
      <c r="J141" s="73">
        <f>+'8. WAMKK'!J100</f>
        <v>28599060</v>
      </c>
      <c r="K141" s="73"/>
      <c r="L141" s="648">
        <f t="shared" si="51"/>
        <v>0.40573386844375503</v>
      </c>
      <c r="M141" s="648">
        <f t="shared" si="52"/>
        <v>0.77121793608749623</v>
      </c>
      <c r="N141" s="686">
        <f t="shared" si="53"/>
        <v>1</v>
      </c>
      <c r="O141" s="630"/>
      <c r="P141" s="495">
        <f>+'8. WAMKK'!P100</f>
        <v>0</v>
      </c>
      <c r="Q141" s="73">
        <f>+'8. WAMKK'!Q100</f>
        <v>3274000</v>
      </c>
      <c r="R141" s="73">
        <f>+'8. WAMKK'!R100</f>
        <v>-3009528</v>
      </c>
      <c r="S141" s="73">
        <f t="shared" si="54"/>
        <v>264472</v>
      </c>
      <c r="T141" s="496"/>
      <c r="U141" s="74"/>
    </row>
    <row r="142" spans="1:21" x14ac:dyDescent="0.25">
      <c r="B142" s="56" t="str">
        <f t="shared" si="50"/>
        <v>Központi Konyha</v>
      </c>
      <c r="C142" s="495">
        <f>+'9. Közp. Konyha'!C100</f>
        <v>71398746</v>
      </c>
      <c r="D142" s="73">
        <f>+'9. Közp. Konyha'!D100</f>
        <v>71398746</v>
      </c>
      <c r="E142" s="73">
        <f>+'9. Közp. Konyha'!E100</f>
        <v>71398746</v>
      </c>
      <c r="F142" s="456">
        <f>+'9. Közp. Konyha'!F100</f>
        <v>72760782</v>
      </c>
      <c r="G142" s="73"/>
      <c r="H142" s="495">
        <f>+'9. Közp. Konyha'!H100</f>
        <v>38562308</v>
      </c>
      <c r="I142" s="73">
        <f>+'9. Közp. Konyha'!I100</f>
        <v>52378460</v>
      </c>
      <c r="J142" s="73">
        <f>+'9. Közp. Konyha'!J100</f>
        <v>72760782</v>
      </c>
      <c r="K142" s="73"/>
      <c r="L142" s="648">
        <f t="shared" si="51"/>
        <v>0.54009783309079407</v>
      </c>
      <c r="M142" s="648">
        <f t="shared" si="52"/>
        <v>0.73360476106961314</v>
      </c>
      <c r="N142" s="686">
        <f t="shared" si="53"/>
        <v>1</v>
      </c>
      <c r="O142" s="630"/>
      <c r="P142" s="495">
        <f>+'9. Közp. Konyha'!P100</f>
        <v>0</v>
      </c>
      <c r="Q142" s="73">
        <f>+'9. Közp. Konyha'!Q100</f>
        <v>0</v>
      </c>
      <c r="R142" s="73">
        <f>+'9. Közp. Konyha'!R100</f>
        <v>1362036</v>
      </c>
      <c r="S142" s="73">
        <f t="shared" si="54"/>
        <v>1362036</v>
      </c>
      <c r="T142" s="496"/>
      <c r="U142" s="74"/>
    </row>
    <row r="143" spans="1:21" ht="8.1" customHeight="1" x14ac:dyDescent="0.25">
      <c r="B143" s="380" t="s">
        <v>443</v>
      </c>
      <c r="C143" s="497"/>
      <c r="D143" s="379"/>
      <c r="E143" s="379"/>
      <c r="F143" s="508"/>
      <c r="G143" s="379"/>
      <c r="H143" s="497"/>
      <c r="I143" s="379"/>
      <c r="J143" s="379"/>
      <c r="K143" s="379"/>
      <c r="L143" s="687"/>
      <c r="M143" s="687"/>
      <c r="N143" s="688"/>
      <c r="O143" s="681"/>
      <c r="P143" s="497"/>
      <c r="Q143" s="379"/>
      <c r="R143" s="379"/>
      <c r="S143" s="379"/>
      <c r="T143" s="496"/>
      <c r="U143" s="74"/>
    </row>
    <row r="144" spans="1:21" x14ac:dyDescent="0.25">
      <c r="B144" s="361" t="s">
        <v>437</v>
      </c>
      <c r="C144" s="498">
        <f>SUM(C136:C142)</f>
        <v>517324859.02999997</v>
      </c>
      <c r="D144" s="362">
        <f>SUM(D136:D142)</f>
        <v>526172037</v>
      </c>
      <c r="E144" s="362">
        <f>SUM(E136:E142)</f>
        <v>529446037</v>
      </c>
      <c r="F144" s="509">
        <f>SUM(F136:F142)</f>
        <v>513728680</v>
      </c>
      <c r="G144" s="362"/>
      <c r="H144" s="498">
        <f>SUM(H136:H142)</f>
        <v>259780182</v>
      </c>
      <c r="I144" s="362">
        <f>SUM(I136:I142)</f>
        <v>384301924</v>
      </c>
      <c r="J144" s="362">
        <f>SUM(J136:J142)</f>
        <v>513728680</v>
      </c>
      <c r="K144" s="362"/>
      <c r="L144" s="689">
        <f t="shared" si="51"/>
        <v>0.49371719462925395</v>
      </c>
      <c r="M144" s="689">
        <f t="shared" si="52"/>
        <v>0.7258566447632131</v>
      </c>
      <c r="N144" s="690">
        <f t="shared" si="53"/>
        <v>1</v>
      </c>
      <c r="O144" s="682"/>
      <c r="P144" s="498">
        <f>SUM(P137:P142)</f>
        <v>8847177.9699999988</v>
      </c>
      <c r="Q144" s="362">
        <f>SUM(Q136:Q142)</f>
        <v>3274000</v>
      </c>
      <c r="R144" s="362">
        <f>SUM(R136:R142)</f>
        <v>-15717357</v>
      </c>
      <c r="S144" s="362">
        <f>+P144*P$8+Q144*Q$8+R144*R$8</f>
        <v>-3596179.0300000012</v>
      </c>
      <c r="T144" s="496"/>
      <c r="U144" s="74"/>
    </row>
    <row r="145" spans="3:20" x14ac:dyDescent="0.25">
      <c r="C145" s="500"/>
      <c r="D145" s="510"/>
      <c r="E145" s="510"/>
      <c r="F145" s="523"/>
      <c r="H145" s="500"/>
      <c r="I145" s="510"/>
      <c r="J145" s="510"/>
      <c r="K145" s="510"/>
      <c r="L145" s="691"/>
      <c r="M145" s="691"/>
      <c r="N145" s="692"/>
      <c r="O145" s="631"/>
      <c r="P145" s="500"/>
      <c r="Q145" s="501"/>
      <c r="R145" s="501"/>
      <c r="S145" s="501"/>
      <c r="T145" s="502"/>
    </row>
    <row r="146" spans="3:20" x14ac:dyDescent="0.25">
      <c r="C146" s="23"/>
      <c r="L146" s="648"/>
      <c r="M146" s="648"/>
      <c r="N146" s="648"/>
      <c r="O146" s="631"/>
    </row>
    <row r="147" spans="3:20" x14ac:dyDescent="0.25">
      <c r="C147" s="23"/>
      <c r="L147" s="648"/>
      <c r="M147" s="648"/>
      <c r="N147" s="648"/>
      <c r="O147" s="631"/>
    </row>
    <row r="148" spans="3:20" x14ac:dyDescent="0.25">
      <c r="C148" s="23"/>
      <c r="L148" s="648"/>
      <c r="M148" s="648"/>
      <c r="N148" s="648"/>
      <c r="O148" s="631"/>
    </row>
    <row r="149" spans="3:20" x14ac:dyDescent="0.25">
      <c r="C149" s="23"/>
      <c r="L149" s="648"/>
      <c r="M149" s="648"/>
      <c r="N149" s="648"/>
      <c r="O149" s="631"/>
    </row>
    <row r="150" spans="3:20" x14ac:dyDescent="0.25">
      <c r="C150" s="23"/>
      <c r="L150" s="648"/>
      <c r="M150" s="648"/>
      <c r="N150" s="648"/>
      <c r="O150" s="631"/>
    </row>
    <row r="151" spans="3:20" x14ac:dyDescent="0.25">
      <c r="C151" s="23"/>
      <c r="L151" s="648"/>
      <c r="M151" s="648"/>
      <c r="N151" s="648"/>
      <c r="O151" s="631"/>
    </row>
    <row r="152" spans="3:20" x14ac:dyDescent="0.25">
      <c r="C152" s="23"/>
      <c r="L152" s="648"/>
      <c r="M152" s="648"/>
      <c r="N152" s="648"/>
      <c r="O152" s="631"/>
    </row>
    <row r="153" spans="3:20" x14ac:dyDescent="0.25">
      <c r="L153" s="633"/>
      <c r="M153" s="633"/>
      <c r="N153" s="633"/>
      <c r="O153" s="631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8" scale="76" fitToHeight="0" orientation="landscape" r:id="rId1"/>
  <headerFooter>
    <oddHeader>&amp;R&amp;"Arial,Félkövér dőlt"&amp;A  /&amp;"Arial,Normál"
&amp;"Arial,Dőlt"&amp;8&amp;F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3" workbookViewId="0">
      <selection activeCell="I22" sqref="I22:I25"/>
    </sheetView>
  </sheetViews>
  <sheetFormatPr defaultRowHeight="13.2" x14ac:dyDescent="0.25"/>
  <cols>
    <col min="1" max="1" width="8.21875" customWidth="1"/>
    <col min="2" max="2" width="41" customWidth="1"/>
    <col min="3" max="3" width="32.77734375" customWidth="1"/>
    <col min="4" max="4" width="25.88671875" customWidth="1"/>
    <col min="5" max="5" width="32.77734375" customWidth="1"/>
    <col min="257" max="257" width="8.21875" customWidth="1"/>
    <col min="258" max="258" width="41" customWidth="1"/>
    <col min="259" max="261" width="32.77734375" customWidth="1"/>
    <col min="513" max="513" width="8.21875" customWidth="1"/>
    <col min="514" max="514" width="41" customWidth="1"/>
    <col min="515" max="517" width="32.77734375" customWidth="1"/>
    <col min="769" max="769" width="8.21875" customWidth="1"/>
    <col min="770" max="770" width="41" customWidth="1"/>
    <col min="771" max="773" width="32.77734375" customWidth="1"/>
    <col min="1025" max="1025" width="8.21875" customWidth="1"/>
    <col min="1026" max="1026" width="41" customWidth="1"/>
    <col min="1027" max="1029" width="32.77734375" customWidth="1"/>
    <col min="1281" max="1281" width="8.21875" customWidth="1"/>
    <col min="1282" max="1282" width="41" customWidth="1"/>
    <col min="1283" max="1285" width="32.77734375" customWidth="1"/>
    <col min="1537" max="1537" width="8.21875" customWidth="1"/>
    <col min="1538" max="1538" width="41" customWidth="1"/>
    <col min="1539" max="1541" width="32.77734375" customWidth="1"/>
    <col min="1793" max="1793" width="8.21875" customWidth="1"/>
    <col min="1794" max="1794" width="41" customWidth="1"/>
    <col min="1795" max="1797" width="32.77734375" customWidth="1"/>
    <col min="2049" max="2049" width="8.21875" customWidth="1"/>
    <col min="2050" max="2050" width="41" customWidth="1"/>
    <col min="2051" max="2053" width="32.77734375" customWidth="1"/>
    <col min="2305" max="2305" width="8.21875" customWidth="1"/>
    <col min="2306" max="2306" width="41" customWidth="1"/>
    <col min="2307" max="2309" width="32.77734375" customWidth="1"/>
    <col min="2561" max="2561" width="8.21875" customWidth="1"/>
    <col min="2562" max="2562" width="41" customWidth="1"/>
    <col min="2563" max="2565" width="32.77734375" customWidth="1"/>
    <col min="2817" max="2817" width="8.21875" customWidth="1"/>
    <col min="2818" max="2818" width="41" customWidth="1"/>
    <col min="2819" max="2821" width="32.77734375" customWidth="1"/>
    <col min="3073" max="3073" width="8.21875" customWidth="1"/>
    <col min="3074" max="3074" width="41" customWidth="1"/>
    <col min="3075" max="3077" width="32.77734375" customWidth="1"/>
    <col min="3329" max="3329" width="8.21875" customWidth="1"/>
    <col min="3330" max="3330" width="41" customWidth="1"/>
    <col min="3331" max="3333" width="32.77734375" customWidth="1"/>
    <col min="3585" max="3585" width="8.21875" customWidth="1"/>
    <col min="3586" max="3586" width="41" customWidth="1"/>
    <col min="3587" max="3589" width="32.77734375" customWidth="1"/>
    <col min="3841" max="3841" width="8.21875" customWidth="1"/>
    <col min="3842" max="3842" width="41" customWidth="1"/>
    <col min="3843" max="3845" width="32.77734375" customWidth="1"/>
    <col min="4097" max="4097" width="8.21875" customWidth="1"/>
    <col min="4098" max="4098" width="41" customWidth="1"/>
    <col min="4099" max="4101" width="32.77734375" customWidth="1"/>
    <col min="4353" max="4353" width="8.21875" customWidth="1"/>
    <col min="4354" max="4354" width="41" customWidth="1"/>
    <col min="4355" max="4357" width="32.77734375" customWidth="1"/>
    <col min="4609" max="4609" width="8.21875" customWidth="1"/>
    <col min="4610" max="4610" width="41" customWidth="1"/>
    <col min="4611" max="4613" width="32.77734375" customWidth="1"/>
    <col min="4865" max="4865" width="8.21875" customWidth="1"/>
    <col min="4866" max="4866" width="41" customWidth="1"/>
    <col min="4867" max="4869" width="32.77734375" customWidth="1"/>
    <col min="5121" max="5121" width="8.21875" customWidth="1"/>
    <col min="5122" max="5122" width="41" customWidth="1"/>
    <col min="5123" max="5125" width="32.77734375" customWidth="1"/>
    <col min="5377" max="5377" width="8.21875" customWidth="1"/>
    <col min="5378" max="5378" width="41" customWidth="1"/>
    <col min="5379" max="5381" width="32.77734375" customWidth="1"/>
    <col min="5633" max="5633" width="8.21875" customWidth="1"/>
    <col min="5634" max="5634" width="41" customWidth="1"/>
    <col min="5635" max="5637" width="32.77734375" customWidth="1"/>
    <col min="5889" max="5889" width="8.21875" customWidth="1"/>
    <col min="5890" max="5890" width="41" customWidth="1"/>
    <col min="5891" max="5893" width="32.77734375" customWidth="1"/>
    <col min="6145" max="6145" width="8.21875" customWidth="1"/>
    <col min="6146" max="6146" width="41" customWidth="1"/>
    <col min="6147" max="6149" width="32.77734375" customWidth="1"/>
    <col min="6401" max="6401" width="8.21875" customWidth="1"/>
    <col min="6402" max="6402" width="41" customWidth="1"/>
    <col min="6403" max="6405" width="32.77734375" customWidth="1"/>
    <col min="6657" max="6657" width="8.21875" customWidth="1"/>
    <col min="6658" max="6658" width="41" customWidth="1"/>
    <col min="6659" max="6661" width="32.77734375" customWidth="1"/>
    <col min="6913" max="6913" width="8.21875" customWidth="1"/>
    <col min="6914" max="6914" width="41" customWidth="1"/>
    <col min="6915" max="6917" width="32.77734375" customWidth="1"/>
    <col min="7169" max="7169" width="8.21875" customWidth="1"/>
    <col min="7170" max="7170" width="41" customWidth="1"/>
    <col min="7171" max="7173" width="32.77734375" customWidth="1"/>
    <col min="7425" max="7425" width="8.21875" customWidth="1"/>
    <col min="7426" max="7426" width="41" customWidth="1"/>
    <col min="7427" max="7429" width="32.77734375" customWidth="1"/>
    <col min="7681" max="7681" width="8.21875" customWidth="1"/>
    <col min="7682" max="7682" width="41" customWidth="1"/>
    <col min="7683" max="7685" width="32.77734375" customWidth="1"/>
    <col min="7937" max="7937" width="8.21875" customWidth="1"/>
    <col min="7938" max="7938" width="41" customWidth="1"/>
    <col min="7939" max="7941" width="32.77734375" customWidth="1"/>
    <col min="8193" max="8193" width="8.21875" customWidth="1"/>
    <col min="8194" max="8194" width="41" customWidth="1"/>
    <col min="8195" max="8197" width="32.77734375" customWidth="1"/>
    <col min="8449" max="8449" width="8.21875" customWidth="1"/>
    <col min="8450" max="8450" width="41" customWidth="1"/>
    <col min="8451" max="8453" width="32.77734375" customWidth="1"/>
    <col min="8705" max="8705" width="8.21875" customWidth="1"/>
    <col min="8706" max="8706" width="41" customWidth="1"/>
    <col min="8707" max="8709" width="32.77734375" customWidth="1"/>
    <col min="8961" max="8961" width="8.21875" customWidth="1"/>
    <col min="8962" max="8962" width="41" customWidth="1"/>
    <col min="8963" max="8965" width="32.77734375" customWidth="1"/>
    <col min="9217" max="9217" width="8.21875" customWidth="1"/>
    <col min="9218" max="9218" width="41" customWidth="1"/>
    <col min="9219" max="9221" width="32.77734375" customWidth="1"/>
    <col min="9473" max="9473" width="8.21875" customWidth="1"/>
    <col min="9474" max="9474" width="41" customWidth="1"/>
    <col min="9475" max="9477" width="32.77734375" customWidth="1"/>
    <col min="9729" max="9729" width="8.21875" customWidth="1"/>
    <col min="9730" max="9730" width="41" customWidth="1"/>
    <col min="9731" max="9733" width="32.77734375" customWidth="1"/>
    <col min="9985" max="9985" width="8.21875" customWidth="1"/>
    <col min="9986" max="9986" width="41" customWidth="1"/>
    <col min="9987" max="9989" width="32.77734375" customWidth="1"/>
    <col min="10241" max="10241" width="8.21875" customWidth="1"/>
    <col min="10242" max="10242" width="41" customWidth="1"/>
    <col min="10243" max="10245" width="32.77734375" customWidth="1"/>
    <col min="10497" max="10497" width="8.21875" customWidth="1"/>
    <col min="10498" max="10498" width="41" customWidth="1"/>
    <col min="10499" max="10501" width="32.77734375" customWidth="1"/>
    <col min="10753" max="10753" width="8.21875" customWidth="1"/>
    <col min="10754" max="10754" width="41" customWidth="1"/>
    <col min="10755" max="10757" width="32.77734375" customWidth="1"/>
    <col min="11009" max="11009" width="8.21875" customWidth="1"/>
    <col min="11010" max="11010" width="41" customWidth="1"/>
    <col min="11011" max="11013" width="32.77734375" customWidth="1"/>
    <col min="11265" max="11265" width="8.21875" customWidth="1"/>
    <col min="11266" max="11266" width="41" customWidth="1"/>
    <col min="11267" max="11269" width="32.77734375" customWidth="1"/>
    <col min="11521" max="11521" width="8.21875" customWidth="1"/>
    <col min="11522" max="11522" width="41" customWidth="1"/>
    <col min="11523" max="11525" width="32.77734375" customWidth="1"/>
    <col min="11777" max="11777" width="8.21875" customWidth="1"/>
    <col min="11778" max="11778" width="41" customWidth="1"/>
    <col min="11779" max="11781" width="32.77734375" customWidth="1"/>
    <col min="12033" max="12033" width="8.21875" customWidth="1"/>
    <col min="12034" max="12034" width="41" customWidth="1"/>
    <col min="12035" max="12037" width="32.77734375" customWidth="1"/>
    <col min="12289" max="12289" width="8.21875" customWidth="1"/>
    <col min="12290" max="12290" width="41" customWidth="1"/>
    <col min="12291" max="12293" width="32.77734375" customWidth="1"/>
    <col min="12545" max="12545" width="8.21875" customWidth="1"/>
    <col min="12546" max="12546" width="41" customWidth="1"/>
    <col min="12547" max="12549" width="32.77734375" customWidth="1"/>
    <col min="12801" max="12801" width="8.21875" customWidth="1"/>
    <col min="12802" max="12802" width="41" customWidth="1"/>
    <col min="12803" max="12805" width="32.77734375" customWidth="1"/>
    <col min="13057" max="13057" width="8.21875" customWidth="1"/>
    <col min="13058" max="13058" width="41" customWidth="1"/>
    <col min="13059" max="13061" width="32.77734375" customWidth="1"/>
    <col min="13313" max="13313" width="8.21875" customWidth="1"/>
    <col min="13314" max="13314" width="41" customWidth="1"/>
    <col min="13315" max="13317" width="32.77734375" customWidth="1"/>
    <col min="13569" max="13569" width="8.21875" customWidth="1"/>
    <col min="13570" max="13570" width="41" customWidth="1"/>
    <col min="13571" max="13573" width="32.77734375" customWidth="1"/>
    <col min="13825" max="13825" width="8.21875" customWidth="1"/>
    <col min="13826" max="13826" width="41" customWidth="1"/>
    <col min="13827" max="13829" width="32.77734375" customWidth="1"/>
    <col min="14081" max="14081" width="8.21875" customWidth="1"/>
    <col min="14082" max="14082" width="41" customWidth="1"/>
    <col min="14083" max="14085" width="32.77734375" customWidth="1"/>
    <col min="14337" max="14337" width="8.21875" customWidth="1"/>
    <col min="14338" max="14338" width="41" customWidth="1"/>
    <col min="14339" max="14341" width="32.77734375" customWidth="1"/>
    <col min="14593" max="14593" width="8.21875" customWidth="1"/>
    <col min="14594" max="14594" width="41" customWidth="1"/>
    <col min="14595" max="14597" width="32.77734375" customWidth="1"/>
    <col min="14849" max="14849" width="8.21875" customWidth="1"/>
    <col min="14850" max="14850" width="41" customWidth="1"/>
    <col min="14851" max="14853" width="32.77734375" customWidth="1"/>
    <col min="15105" max="15105" width="8.21875" customWidth="1"/>
    <col min="15106" max="15106" width="41" customWidth="1"/>
    <col min="15107" max="15109" width="32.77734375" customWidth="1"/>
    <col min="15361" max="15361" width="8.21875" customWidth="1"/>
    <col min="15362" max="15362" width="41" customWidth="1"/>
    <col min="15363" max="15365" width="32.77734375" customWidth="1"/>
    <col min="15617" max="15617" width="8.21875" customWidth="1"/>
    <col min="15618" max="15618" width="41" customWidth="1"/>
    <col min="15619" max="15621" width="32.77734375" customWidth="1"/>
    <col min="15873" max="15873" width="8.21875" customWidth="1"/>
    <col min="15874" max="15874" width="41" customWidth="1"/>
    <col min="15875" max="15877" width="32.77734375" customWidth="1"/>
    <col min="16129" max="16129" width="8.21875" customWidth="1"/>
    <col min="16130" max="16130" width="41" customWidth="1"/>
    <col min="16131" max="16133" width="32.77734375" customWidth="1"/>
  </cols>
  <sheetData>
    <row r="1" spans="1:5" ht="18.600000000000001" customHeight="1" x14ac:dyDescent="0.25">
      <c r="A1" s="1484" t="s">
        <v>774</v>
      </c>
      <c r="B1" s="1485"/>
      <c r="C1" s="1485"/>
      <c r="D1" s="1485"/>
      <c r="E1" s="1485"/>
    </row>
    <row r="2" spans="1:5" ht="18" customHeight="1" x14ac:dyDescent="0.25">
      <c r="A2" s="1484" t="s">
        <v>1112</v>
      </c>
      <c r="B2" s="1485"/>
      <c r="C2" s="1485"/>
      <c r="D2" s="1485"/>
      <c r="E2" s="1485"/>
    </row>
    <row r="3" spans="1:5" ht="18" customHeight="1" x14ac:dyDescent="0.25">
      <c r="A3" s="830"/>
      <c r="B3" s="831"/>
      <c r="C3" s="831"/>
      <c r="D3" s="831"/>
      <c r="E3" s="832" t="s">
        <v>1113</v>
      </c>
    </row>
    <row r="4" spans="1:5" ht="27" customHeight="1" x14ac:dyDescent="0.25">
      <c r="A4" s="1486" t="s">
        <v>1111</v>
      </c>
      <c r="B4" s="1487"/>
      <c r="C4" s="1487"/>
      <c r="D4" s="1487"/>
      <c r="E4" s="1487"/>
    </row>
    <row r="5" spans="1:5" ht="15" x14ac:dyDescent="0.25">
      <c r="A5" s="768"/>
      <c r="B5" s="768" t="s">
        <v>366</v>
      </c>
      <c r="C5" s="768" t="s">
        <v>595</v>
      </c>
      <c r="D5" s="768" t="s">
        <v>596</v>
      </c>
      <c r="E5" s="768" t="s">
        <v>597</v>
      </c>
    </row>
    <row r="6" spans="1:5" ht="15" x14ac:dyDescent="0.25">
      <c r="A6" s="768">
        <v>1</v>
      </c>
      <c r="B6" s="768">
        <v>2</v>
      </c>
      <c r="C6" s="768">
        <v>3</v>
      </c>
      <c r="D6" s="768">
        <v>4</v>
      </c>
      <c r="E6" s="768">
        <v>5</v>
      </c>
    </row>
    <row r="7" spans="1:5" x14ac:dyDescent="0.25">
      <c r="A7" s="769" t="s">
        <v>528</v>
      </c>
      <c r="B7" s="770" t="s">
        <v>1076</v>
      </c>
      <c r="C7" s="771">
        <v>235225956</v>
      </c>
      <c r="D7" s="771">
        <v>0</v>
      </c>
      <c r="E7" s="771">
        <v>280131713</v>
      </c>
    </row>
    <row r="8" spans="1:5" ht="26.4" x14ac:dyDescent="0.25">
      <c r="A8" s="769" t="s">
        <v>530</v>
      </c>
      <c r="B8" s="770" t="s">
        <v>1077</v>
      </c>
      <c r="C8" s="771">
        <v>101184695</v>
      </c>
      <c r="D8" s="771">
        <v>0</v>
      </c>
      <c r="E8" s="771">
        <v>279610593</v>
      </c>
    </row>
    <row r="9" spans="1:5" ht="26.4" x14ac:dyDescent="0.25">
      <c r="A9" s="772" t="s">
        <v>534</v>
      </c>
      <c r="B9" s="773" t="s">
        <v>1078</v>
      </c>
      <c r="C9" s="774">
        <v>336410651</v>
      </c>
      <c r="D9" s="774">
        <v>0</v>
      </c>
      <c r="E9" s="774">
        <v>559742306</v>
      </c>
    </row>
    <row r="10" spans="1:5" x14ac:dyDescent="0.25">
      <c r="A10" s="769" t="s">
        <v>579</v>
      </c>
      <c r="B10" s="770" t="s">
        <v>1079</v>
      </c>
      <c r="C10" s="771">
        <v>-179186</v>
      </c>
      <c r="D10" s="771">
        <v>0</v>
      </c>
      <c r="E10" s="771">
        <v>0</v>
      </c>
    </row>
    <row r="11" spans="1:5" x14ac:dyDescent="0.25">
      <c r="A11" s="769" t="s">
        <v>581</v>
      </c>
      <c r="B11" s="770" t="s">
        <v>1080</v>
      </c>
      <c r="C11" s="771">
        <v>14030299</v>
      </c>
      <c r="D11" s="771">
        <v>0</v>
      </c>
      <c r="E11" s="771">
        <v>0</v>
      </c>
    </row>
    <row r="12" spans="1:5" ht="26.4" x14ac:dyDescent="0.25">
      <c r="A12" s="772" t="s">
        <v>583</v>
      </c>
      <c r="B12" s="773" t="s">
        <v>1081</v>
      </c>
      <c r="C12" s="774">
        <v>13851113</v>
      </c>
      <c r="D12" s="774">
        <v>0</v>
      </c>
      <c r="E12" s="774">
        <v>0</v>
      </c>
    </row>
    <row r="13" spans="1:5" ht="26.4" x14ac:dyDescent="0.25">
      <c r="A13" s="769" t="s">
        <v>536</v>
      </c>
      <c r="B13" s="770" t="s">
        <v>1082</v>
      </c>
      <c r="C13" s="771">
        <v>1045278145</v>
      </c>
      <c r="D13" s="771">
        <v>0</v>
      </c>
      <c r="E13" s="771">
        <v>1059562646</v>
      </c>
    </row>
    <row r="14" spans="1:5" ht="26.4" x14ac:dyDescent="0.25">
      <c r="A14" s="769" t="s">
        <v>585</v>
      </c>
      <c r="B14" s="770" t="s">
        <v>1083</v>
      </c>
      <c r="C14" s="771">
        <v>74904909</v>
      </c>
      <c r="D14" s="771">
        <v>0</v>
      </c>
      <c r="E14" s="771">
        <v>63983920</v>
      </c>
    </row>
    <row r="15" spans="1:5" ht="26.4" x14ac:dyDescent="0.25">
      <c r="A15" s="769" t="s">
        <v>587</v>
      </c>
      <c r="B15" s="770" t="s">
        <v>1084</v>
      </c>
      <c r="C15" s="771">
        <v>127987397</v>
      </c>
      <c r="D15" s="771">
        <v>0</v>
      </c>
      <c r="E15" s="771">
        <v>141486355</v>
      </c>
    </row>
    <row r="16" spans="1:5" ht="26.4" x14ac:dyDescent="0.25">
      <c r="A16" s="769" t="s">
        <v>589</v>
      </c>
      <c r="B16" s="770" t="s">
        <v>1085</v>
      </c>
      <c r="C16" s="771">
        <v>72001800</v>
      </c>
      <c r="D16" s="771">
        <v>0</v>
      </c>
      <c r="E16" s="771">
        <v>80064915</v>
      </c>
    </row>
    <row r="17" spans="1:5" ht="26.4" x14ac:dyDescent="0.25">
      <c r="A17" s="772" t="s">
        <v>591</v>
      </c>
      <c r="B17" s="773" t="s">
        <v>1086</v>
      </c>
      <c r="C17" s="774">
        <v>1320172251</v>
      </c>
      <c r="D17" s="774">
        <v>0</v>
      </c>
      <c r="E17" s="774">
        <v>1345097836</v>
      </c>
    </row>
    <row r="18" spans="1:5" x14ac:dyDescent="0.25">
      <c r="A18" s="769" t="s">
        <v>756</v>
      </c>
      <c r="B18" s="770" t="s">
        <v>1087</v>
      </c>
      <c r="C18" s="771">
        <v>79865032</v>
      </c>
      <c r="D18" s="771">
        <v>0</v>
      </c>
      <c r="E18" s="771">
        <v>80499400</v>
      </c>
    </row>
    <row r="19" spans="1:5" x14ac:dyDescent="0.25">
      <c r="A19" s="769" t="s">
        <v>538</v>
      </c>
      <c r="B19" s="770" t="s">
        <v>1088</v>
      </c>
      <c r="C19" s="771">
        <v>159838418</v>
      </c>
      <c r="D19" s="771">
        <v>0</v>
      </c>
      <c r="E19" s="771">
        <v>97515589</v>
      </c>
    </row>
    <row r="20" spans="1:5" x14ac:dyDescent="0.25">
      <c r="A20" s="769" t="s">
        <v>759</v>
      </c>
      <c r="B20" s="770" t="s">
        <v>1089</v>
      </c>
      <c r="C20" s="771">
        <v>0</v>
      </c>
      <c r="D20" s="771">
        <v>0</v>
      </c>
      <c r="E20" s="771">
        <v>205966427</v>
      </c>
    </row>
    <row r="21" spans="1:5" x14ac:dyDescent="0.25">
      <c r="A21" s="769" t="s">
        <v>605</v>
      </c>
      <c r="B21" s="770" t="s">
        <v>1090</v>
      </c>
      <c r="C21" s="771">
        <v>20961765</v>
      </c>
      <c r="D21" s="771">
        <v>0</v>
      </c>
      <c r="E21" s="771">
        <v>13183344</v>
      </c>
    </row>
    <row r="22" spans="1:5" x14ac:dyDescent="0.25">
      <c r="A22" s="772" t="s">
        <v>762</v>
      </c>
      <c r="B22" s="773" t="s">
        <v>1091</v>
      </c>
      <c r="C22" s="774">
        <v>260665215</v>
      </c>
      <c r="D22" s="774">
        <v>0</v>
      </c>
      <c r="E22" s="774">
        <v>397164760</v>
      </c>
    </row>
    <row r="23" spans="1:5" x14ac:dyDescent="0.25">
      <c r="A23" s="769" t="s">
        <v>764</v>
      </c>
      <c r="B23" s="770" t="s">
        <v>1092</v>
      </c>
      <c r="C23" s="771">
        <v>368330412</v>
      </c>
      <c r="D23" s="771">
        <v>0</v>
      </c>
      <c r="E23" s="771">
        <v>393958768</v>
      </c>
    </row>
    <row r="24" spans="1:5" x14ac:dyDescent="0.25">
      <c r="A24" s="769" t="s">
        <v>540</v>
      </c>
      <c r="B24" s="770" t="s">
        <v>1093</v>
      </c>
      <c r="C24" s="771">
        <v>58421999</v>
      </c>
      <c r="D24" s="771">
        <v>0</v>
      </c>
      <c r="E24" s="771">
        <v>49957604</v>
      </c>
    </row>
    <row r="25" spans="1:5" x14ac:dyDescent="0.25">
      <c r="A25" s="769" t="s">
        <v>1094</v>
      </c>
      <c r="B25" s="770" t="s">
        <v>1095</v>
      </c>
      <c r="C25" s="771">
        <v>84519956</v>
      </c>
      <c r="D25" s="771">
        <v>0</v>
      </c>
      <c r="E25" s="771">
        <v>81474345</v>
      </c>
    </row>
    <row r="26" spans="1:5" x14ac:dyDescent="0.25">
      <c r="A26" s="772" t="s">
        <v>607</v>
      </c>
      <c r="B26" s="773" t="s">
        <v>1096</v>
      </c>
      <c r="C26" s="774">
        <v>511272367</v>
      </c>
      <c r="D26" s="774">
        <v>0</v>
      </c>
      <c r="E26" s="774">
        <v>525390717</v>
      </c>
    </row>
    <row r="27" spans="1:5" x14ac:dyDescent="0.25">
      <c r="A27" s="772" t="s">
        <v>1097</v>
      </c>
      <c r="B27" s="773" t="s">
        <v>1098</v>
      </c>
      <c r="C27" s="774">
        <v>194814189</v>
      </c>
      <c r="D27" s="774">
        <v>0</v>
      </c>
      <c r="E27" s="774">
        <v>184756706</v>
      </c>
    </row>
    <row r="28" spans="1:5" x14ac:dyDescent="0.25">
      <c r="A28" s="772" t="s">
        <v>1099</v>
      </c>
      <c r="B28" s="773" t="s">
        <v>1100</v>
      </c>
      <c r="C28" s="774">
        <v>732542322</v>
      </c>
      <c r="D28" s="774">
        <v>0</v>
      </c>
      <c r="E28" s="774">
        <v>810451025</v>
      </c>
    </row>
    <row r="29" spans="1:5" ht="26.4" x14ac:dyDescent="0.25">
      <c r="A29" s="772" t="s">
        <v>767</v>
      </c>
      <c r="B29" s="773" t="s">
        <v>1101</v>
      </c>
      <c r="C29" s="774">
        <v>-28860078</v>
      </c>
      <c r="D29" s="774">
        <v>0</v>
      </c>
      <c r="E29" s="774">
        <v>-12923066</v>
      </c>
    </row>
    <row r="30" spans="1:5" ht="26.4" x14ac:dyDescent="0.25">
      <c r="A30" s="769" t="s">
        <v>609</v>
      </c>
      <c r="B30" s="770" t="s">
        <v>1102</v>
      </c>
      <c r="C30" s="771">
        <v>49042</v>
      </c>
      <c r="D30" s="771">
        <v>0</v>
      </c>
      <c r="E30" s="771">
        <v>3489440</v>
      </c>
    </row>
    <row r="31" spans="1:5" ht="26.4" x14ac:dyDescent="0.25">
      <c r="A31" s="769" t="s">
        <v>611</v>
      </c>
      <c r="B31" s="770" t="s">
        <v>1103</v>
      </c>
      <c r="C31" s="771">
        <v>0</v>
      </c>
      <c r="D31" s="771">
        <v>0</v>
      </c>
      <c r="E31" s="771">
        <v>4054875</v>
      </c>
    </row>
    <row r="32" spans="1:5" ht="26.4" x14ac:dyDescent="0.25">
      <c r="A32" s="772" t="s">
        <v>613</v>
      </c>
      <c r="B32" s="773" t="s">
        <v>1104</v>
      </c>
      <c r="C32" s="774">
        <v>49042</v>
      </c>
      <c r="D32" s="774">
        <v>0</v>
      </c>
      <c r="E32" s="774">
        <v>7544315</v>
      </c>
    </row>
    <row r="33" spans="1:5" ht="26.4" x14ac:dyDescent="0.25">
      <c r="A33" s="769" t="s">
        <v>546</v>
      </c>
      <c r="B33" s="770" t="s">
        <v>1105</v>
      </c>
      <c r="C33" s="771">
        <v>0</v>
      </c>
      <c r="D33" s="771">
        <v>0</v>
      </c>
      <c r="E33" s="771">
        <v>2415728</v>
      </c>
    </row>
    <row r="34" spans="1:5" ht="26.4" x14ac:dyDescent="0.25">
      <c r="A34" s="772" t="s">
        <v>1106</v>
      </c>
      <c r="B34" s="773" t="s">
        <v>1107</v>
      </c>
      <c r="C34" s="774">
        <v>0</v>
      </c>
      <c r="D34" s="774">
        <v>0</v>
      </c>
      <c r="E34" s="774">
        <v>2415728</v>
      </c>
    </row>
    <row r="35" spans="1:5" ht="26.4" x14ac:dyDescent="0.25">
      <c r="A35" s="772" t="s">
        <v>550</v>
      </c>
      <c r="B35" s="773" t="s">
        <v>1108</v>
      </c>
      <c r="C35" s="774">
        <v>49042</v>
      </c>
      <c r="D35" s="774">
        <v>0</v>
      </c>
      <c r="E35" s="774">
        <v>5128587</v>
      </c>
    </row>
    <row r="36" spans="1:5" x14ac:dyDescent="0.25">
      <c r="A36" s="772" t="s">
        <v>1109</v>
      </c>
      <c r="B36" s="773" t="s">
        <v>1110</v>
      </c>
      <c r="C36" s="774">
        <v>-28811036</v>
      </c>
      <c r="D36" s="774">
        <v>0</v>
      </c>
      <c r="E36" s="774">
        <v>-7794479</v>
      </c>
    </row>
  </sheetData>
  <mergeCells count="3">
    <mergeCell ref="A4:E4"/>
    <mergeCell ref="A1:E1"/>
    <mergeCell ref="A2:E2"/>
  </mergeCells>
  <pageMargins left="0.7" right="0.7" top="0.75" bottom="0.75" header="0.3" footer="0.3"/>
  <pageSetup paperSize="9" scale="6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B1" workbookViewId="0">
      <selection activeCell="C7" sqref="C7:J7"/>
    </sheetView>
  </sheetViews>
  <sheetFormatPr defaultRowHeight="13.2" x14ac:dyDescent="0.25"/>
  <cols>
    <col min="1" max="1" width="8.21875" customWidth="1"/>
    <col min="2" max="2" width="51.5546875" customWidth="1"/>
    <col min="3" max="3" width="21.5546875" customWidth="1"/>
    <col min="4" max="4" width="15.6640625" customWidth="1"/>
    <col min="5" max="5" width="14.33203125" customWidth="1"/>
    <col min="6" max="6" width="13.5546875" customWidth="1"/>
    <col min="7" max="7" width="12.77734375" customWidth="1"/>
    <col min="8" max="8" width="14.33203125" customWidth="1"/>
    <col min="9" max="9" width="14.109375" customWidth="1"/>
    <col min="10" max="10" width="18.109375" customWidth="1"/>
    <col min="11" max="11" width="14.6640625" customWidth="1"/>
    <col min="12" max="12" width="12.6640625" bestFit="1" customWidth="1"/>
    <col min="257" max="257" width="8.21875" customWidth="1"/>
    <col min="258" max="258" width="41" customWidth="1"/>
    <col min="259" max="259" width="32.77734375" customWidth="1"/>
    <col min="513" max="513" width="8.21875" customWidth="1"/>
    <col min="514" max="514" width="41" customWidth="1"/>
    <col min="515" max="515" width="32.77734375" customWidth="1"/>
    <col min="769" max="769" width="8.21875" customWidth="1"/>
    <col min="770" max="770" width="41" customWidth="1"/>
    <col min="771" max="771" width="32.77734375" customWidth="1"/>
    <col min="1025" max="1025" width="8.21875" customWidth="1"/>
    <col min="1026" max="1026" width="41" customWidth="1"/>
    <col min="1027" max="1027" width="32.77734375" customWidth="1"/>
    <col min="1281" max="1281" width="8.21875" customWidth="1"/>
    <col min="1282" max="1282" width="41" customWidth="1"/>
    <col min="1283" max="1283" width="32.77734375" customWidth="1"/>
    <col min="1537" max="1537" width="8.21875" customWidth="1"/>
    <col min="1538" max="1538" width="41" customWidth="1"/>
    <col min="1539" max="1539" width="32.77734375" customWidth="1"/>
    <col min="1793" max="1793" width="8.21875" customWidth="1"/>
    <col min="1794" max="1794" width="41" customWidth="1"/>
    <col min="1795" max="1795" width="32.77734375" customWidth="1"/>
    <col min="2049" max="2049" width="8.21875" customWidth="1"/>
    <col min="2050" max="2050" width="41" customWidth="1"/>
    <col min="2051" max="2051" width="32.77734375" customWidth="1"/>
    <col min="2305" max="2305" width="8.21875" customWidth="1"/>
    <col min="2306" max="2306" width="41" customWidth="1"/>
    <col min="2307" max="2307" width="32.77734375" customWidth="1"/>
    <col min="2561" max="2561" width="8.21875" customWidth="1"/>
    <col min="2562" max="2562" width="41" customWidth="1"/>
    <col min="2563" max="2563" width="32.77734375" customWidth="1"/>
    <col min="2817" max="2817" width="8.21875" customWidth="1"/>
    <col min="2818" max="2818" width="41" customWidth="1"/>
    <col min="2819" max="2819" width="32.77734375" customWidth="1"/>
    <col min="3073" max="3073" width="8.21875" customWidth="1"/>
    <col min="3074" max="3074" width="41" customWidth="1"/>
    <col min="3075" max="3075" width="32.77734375" customWidth="1"/>
    <col min="3329" max="3329" width="8.21875" customWidth="1"/>
    <col min="3330" max="3330" width="41" customWidth="1"/>
    <col min="3331" max="3331" width="32.77734375" customWidth="1"/>
    <col min="3585" max="3585" width="8.21875" customWidth="1"/>
    <col min="3586" max="3586" width="41" customWidth="1"/>
    <col min="3587" max="3587" width="32.77734375" customWidth="1"/>
    <col min="3841" max="3841" width="8.21875" customWidth="1"/>
    <col min="3842" max="3842" width="41" customWidth="1"/>
    <col min="3843" max="3843" width="32.77734375" customWidth="1"/>
    <col min="4097" max="4097" width="8.21875" customWidth="1"/>
    <col min="4098" max="4098" width="41" customWidth="1"/>
    <col min="4099" max="4099" width="32.77734375" customWidth="1"/>
    <col min="4353" max="4353" width="8.21875" customWidth="1"/>
    <col min="4354" max="4354" width="41" customWidth="1"/>
    <col min="4355" max="4355" width="32.77734375" customWidth="1"/>
    <col min="4609" max="4609" width="8.21875" customWidth="1"/>
    <col min="4610" max="4610" width="41" customWidth="1"/>
    <col min="4611" max="4611" width="32.77734375" customWidth="1"/>
    <col min="4865" max="4865" width="8.21875" customWidth="1"/>
    <col min="4866" max="4866" width="41" customWidth="1"/>
    <col min="4867" max="4867" width="32.77734375" customWidth="1"/>
    <col min="5121" max="5121" width="8.21875" customWidth="1"/>
    <col min="5122" max="5122" width="41" customWidth="1"/>
    <col min="5123" max="5123" width="32.77734375" customWidth="1"/>
    <col min="5377" max="5377" width="8.21875" customWidth="1"/>
    <col min="5378" max="5378" width="41" customWidth="1"/>
    <col min="5379" max="5379" width="32.77734375" customWidth="1"/>
    <col min="5633" max="5633" width="8.21875" customWidth="1"/>
    <col min="5634" max="5634" width="41" customWidth="1"/>
    <col min="5635" max="5635" width="32.77734375" customWidth="1"/>
    <col min="5889" max="5889" width="8.21875" customWidth="1"/>
    <col min="5890" max="5890" width="41" customWidth="1"/>
    <col min="5891" max="5891" width="32.77734375" customWidth="1"/>
    <col min="6145" max="6145" width="8.21875" customWidth="1"/>
    <col min="6146" max="6146" width="41" customWidth="1"/>
    <col min="6147" max="6147" width="32.77734375" customWidth="1"/>
    <col min="6401" max="6401" width="8.21875" customWidth="1"/>
    <col min="6402" max="6402" width="41" customWidth="1"/>
    <col min="6403" max="6403" width="32.77734375" customWidth="1"/>
    <col min="6657" max="6657" width="8.21875" customWidth="1"/>
    <col min="6658" max="6658" width="41" customWidth="1"/>
    <col min="6659" max="6659" width="32.77734375" customWidth="1"/>
    <col min="6913" max="6913" width="8.21875" customWidth="1"/>
    <col min="6914" max="6914" width="41" customWidth="1"/>
    <col min="6915" max="6915" width="32.77734375" customWidth="1"/>
    <col min="7169" max="7169" width="8.21875" customWidth="1"/>
    <col min="7170" max="7170" width="41" customWidth="1"/>
    <col min="7171" max="7171" width="32.77734375" customWidth="1"/>
    <col min="7425" max="7425" width="8.21875" customWidth="1"/>
    <col min="7426" max="7426" width="41" customWidth="1"/>
    <col min="7427" max="7427" width="32.77734375" customWidth="1"/>
    <col min="7681" max="7681" width="8.21875" customWidth="1"/>
    <col min="7682" max="7682" width="41" customWidth="1"/>
    <col min="7683" max="7683" width="32.77734375" customWidth="1"/>
    <col min="7937" max="7937" width="8.21875" customWidth="1"/>
    <col min="7938" max="7938" width="41" customWidth="1"/>
    <col min="7939" max="7939" width="32.77734375" customWidth="1"/>
    <col min="8193" max="8193" width="8.21875" customWidth="1"/>
    <col min="8194" max="8194" width="41" customWidth="1"/>
    <col min="8195" max="8195" width="32.77734375" customWidth="1"/>
    <col min="8449" max="8449" width="8.21875" customWidth="1"/>
    <col min="8450" max="8450" width="41" customWidth="1"/>
    <col min="8451" max="8451" width="32.77734375" customWidth="1"/>
    <col min="8705" max="8705" width="8.21875" customWidth="1"/>
    <col min="8706" max="8706" width="41" customWidth="1"/>
    <col min="8707" max="8707" width="32.77734375" customWidth="1"/>
    <col min="8961" max="8961" width="8.21875" customWidth="1"/>
    <col min="8962" max="8962" width="41" customWidth="1"/>
    <col min="8963" max="8963" width="32.77734375" customWidth="1"/>
    <col min="9217" max="9217" width="8.21875" customWidth="1"/>
    <col min="9218" max="9218" width="41" customWidth="1"/>
    <col min="9219" max="9219" width="32.77734375" customWidth="1"/>
    <col min="9473" max="9473" width="8.21875" customWidth="1"/>
    <col min="9474" max="9474" width="41" customWidth="1"/>
    <col min="9475" max="9475" width="32.77734375" customWidth="1"/>
    <col min="9729" max="9729" width="8.21875" customWidth="1"/>
    <col min="9730" max="9730" width="41" customWidth="1"/>
    <col min="9731" max="9731" width="32.77734375" customWidth="1"/>
    <col min="9985" max="9985" width="8.21875" customWidth="1"/>
    <col min="9986" max="9986" width="41" customWidth="1"/>
    <col min="9987" max="9987" width="32.77734375" customWidth="1"/>
    <col min="10241" max="10241" width="8.21875" customWidth="1"/>
    <col min="10242" max="10242" width="41" customWidth="1"/>
    <col min="10243" max="10243" width="32.77734375" customWidth="1"/>
    <col min="10497" max="10497" width="8.21875" customWidth="1"/>
    <col min="10498" max="10498" width="41" customWidth="1"/>
    <col min="10499" max="10499" width="32.77734375" customWidth="1"/>
    <col min="10753" max="10753" width="8.21875" customWidth="1"/>
    <col min="10754" max="10754" width="41" customWidth="1"/>
    <col min="10755" max="10755" width="32.77734375" customWidth="1"/>
    <col min="11009" max="11009" width="8.21875" customWidth="1"/>
    <col min="11010" max="11010" width="41" customWidth="1"/>
    <col min="11011" max="11011" width="32.77734375" customWidth="1"/>
    <col min="11265" max="11265" width="8.21875" customWidth="1"/>
    <col min="11266" max="11266" width="41" customWidth="1"/>
    <col min="11267" max="11267" width="32.77734375" customWidth="1"/>
    <col min="11521" max="11521" width="8.21875" customWidth="1"/>
    <col min="11522" max="11522" width="41" customWidth="1"/>
    <col min="11523" max="11523" width="32.77734375" customWidth="1"/>
    <col min="11777" max="11777" width="8.21875" customWidth="1"/>
    <col min="11778" max="11778" width="41" customWidth="1"/>
    <col min="11779" max="11779" width="32.77734375" customWidth="1"/>
    <col min="12033" max="12033" width="8.21875" customWidth="1"/>
    <col min="12034" max="12034" width="41" customWidth="1"/>
    <col min="12035" max="12035" width="32.77734375" customWidth="1"/>
    <col min="12289" max="12289" width="8.21875" customWidth="1"/>
    <col min="12290" max="12290" width="41" customWidth="1"/>
    <col min="12291" max="12291" width="32.77734375" customWidth="1"/>
    <col min="12545" max="12545" width="8.21875" customWidth="1"/>
    <col min="12546" max="12546" width="41" customWidth="1"/>
    <col min="12547" max="12547" width="32.77734375" customWidth="1"/>
    <col min="12801" max="12801" width="8.21875" customWidth="1"/>
    <col min="12802" max="12802" width="41" customWidth="1"/>
    <col min="12803" max="12803" width="32.77734375" customWidth="1"/>
    <col min="13057" max="13057" width="8.21875" customWidth="1"/>
    <col min="13058" max="13058" width="41" customWidth="1"/>
    <col min="13059" max="13059" width="32.77734375" customWidth="1"/>
    <col min="13313" max="13313" width="8.21875" customWidth="1"/>
    <col min="13314" max="13314" width="41" customWidth="1"/>
    <col min="13315" max="13315" width="32.77734375" customWidth="1"/>
    <col min="13569" max="13569" width="8.21875" customWidth="1"/>
    <col min="13570" max="13570" width="41" customWidth="1"/>
    <col min="13571" max="13571" width="32.77734375" customWidth="1"/>
    <col min="13825" max="13825" width="8.21875" customWidth="1"/>
    <col min="13826" max="13826" width="41" customWidth="1"/>
    <col min="13827" max="13827" width="32.77734375" customWidth="1"/>
    <col min="14081" max="14081" width="8.21875" customWidth="1"/>
    <col min="14082" max="14082" width="41" customWidth="1"/>
    <col min="14083" max="14083" width="32.77734375" customWidth="1"/>
    <col min="14337" max="14337" width="8.21875" customWidth="1"/>
    <col min="14338" max="14338" width="41" customWidth="1"/>
    <col min="14339" max="14339" width="32.77734375" customWidth="1"/>
    <col min="14593" max="14593" width="8.21875" customWidth="1"/>
    <col min="14594" max="14594" width="41" customWidth="1"/>
    <col min="14595" max="14595" width="32.77734375" customWidth="1"/>
    <col min="14849" max="14849" width="8.21875" customWidth="1"/>
    <col min="14850" max="14850" width="41" customWidth="1"/>
    <col min="14851" max="14851" width="32.77734375" customWidth="1"/>
    <col min="15105" max="15105" width="8.21875" customWidth="1"/>
    <col min="15106" max="15106" width="41" customWidth="1"/>
    <col min="15107" max="15107" width="32.77734375" customWidth="1"/>
    <col min="15361" max="15361" width="8.21875" customWidth="1"/>
    <col min="15362" max="15362" width="41" customWidth="1"/>
    <col min="15363" max="15363" width="32.77734375" customWidth="1"/>
    <col min="15617" max="15617" width="8.21875" customWidth="1"/>
    <col min="15618" max="15618" width="41" customWidth="1"/>
    <col min="15619" max="15619" width="32.77734375" customWidth="1"/>
    <col min="15873" max="15873" width="8.21875" customWidth="1"/>
    <col min="15874" max="15874" width="41" customWidth="1"/>
    <col min="15875" max="15875" width="32.77734375" customWidth="1"/>
    <col min="16129" max="16129" width="8.21875" customWidth="1"/>
    <col min="16130" max="16130" width="41" customWidth="1"/>
    <col min="16131" max="16131" width="32.77734375" customWidth="1"/>
  </cols>
  <sheetData>
    <row r="1" spans="1:12" ht="28.8" customHeight="1" x14ac:dyDescent="0.25">
      <c r="A1" s="1491" t="s">
        <v>1118</v>
      </c>
      <c r="B1" s="1491"/>
      <c r="C1" s="1491"/>
      <c r="D1" s="1491"/>
      <c r="E1" s="1491"/>
      <c r="F1" s="1491"/>
      <c r="G1" s="1491"/>
      <c r="H1" s="1491"/>
      <c r="I1" s="1491"/>
      <c r="J1" s="1491"/>
    </row>
    <row r="2" spans="1:12" ht="17.399999999999999" customHeight="1" x14ac:dyDescent="0.25">
      <c r="A2" s="1491" t="s">
        <v>1130</v>
      </c>
      <c r="B2" s="1491"/>
      <c r="C2" s="1491"/>
      <c r="D2" s="1491"/>
      <c r="E2" s="1491"/>
      <c r="F2" s="1491"/>
      <c r="G2" s="1491"/>
      <c r="H2" s="1491"/>
      <c r="I2" s="1491"/>
      <c r="J2" s="1491"/>
    </row>
    <row r="3" spans="1:12" ht="17.399999999999999" customHeight="1" x14ac:dyDescent="0.25">
      <c r="A3" s="1491" t="s">
        <v>1399</v>
      </c>
      <c r="B3" s="1491"/>
      <c r="C3" s="1491"/>
      <c r="D3" s="1491"/>
      <c r="E3" s="1491"/>
      <c r="F3" s="1491"/>
      <c r="G3" s="1491"/>
      <c r="H3" s="1491"/>
      <c r="I3" s="1491"/>
      <c r="J3" s="1491"/>
    </row>
    <row r="5" spans="1:12" ht="13.8" thickBot="1" x14ac:dyDescent="0.3">
      <c r="C5" s="832"/>
      <c r="J5" s="832" t="s">
        <v>1113</v>
      </c>
    </row>
    <row r="6" spans="1:12" ht="15.6" thickBot="1" x14ac:dyDescent="0.3">
      <c r="A6" s="1084"/>
      <c r="B6" s="1089" t="s">
        <v>366</v>
      </c>
      <c r="C6" s="1488" t="s">
        <v>1064</v>
      </c>
      <c r="D6" s="1489"/>
      <c r="E6" s="1489"/>
      <c r="F6" s="1489"/>
      <c r="G6" s="1489"/>
      <c r="H6" s="1489"/>
      <c r="I6" s="1489"/>
      <c r="J6" s="1490"/>
    </row>
    <row r="7" spans="1:12" ht="54.6" customHeight="1" x14ac:dyDescent="0.25">
      <c r="A7" s="1084"/>
      <c r="B7" s="748"/>
      <c r="C7" s="1082" t="s">
        <v>1396</v>
      </c>
      <c r="D7" s="1082" t="s">
        <v>1397</v>
      </c>
      <c r="E7" s="1082" t="s">
        <v>466</v>
      </c>
      <c r="F7" s="1082" t="s">
        <v>449</v>
      </c>
      <c r="G7" s="1082" t="s">
        <v>448</v>
      </c>
      <c r="H7" s="1082" t="s">
        <v>1398</v>
      </c>
      <c r="I7" s="1082" t="s">
        <v>420</v>
      </c>
      <c r="J7" s="1098" t="s">
        <v>1118</v>
      </c>
    </row>
    <row r="8" spans="1:12" x14ac:dyDescent="0.25">
      <c r="A8" s="1085" t="s">
        <v>528</v>
      </c>
      <c r="B8" s="1090" t="s">
        <v>1120</v>
      </c>
      <c r="C8" s="745">
        <v>1387261589</v>
      </c>
      <c r="D8" s="745">
        <v>6351342</v>
      </c>
      <c r="E8" s="745">
        <v>2833</v>
      </c>
      <c r="F8" s="745">
        <v>4043485</v>
      </c>
      <c r="G8" s="745">
        <v>4180063</v>
      </c>
      <c r="H8" s="745">
        <v>1470701</v>
      </c>
      <c r="I8" s="1095">
        <v>29399604</v>
      </c>
      <c r="J8" s="1099">
        <v>1432709617</v>
      </c>
      <c r="L8" s="122"/>
    </row>
    <row r="9" spans="1:12" x14ac:dyDescent="0.25">
      <c r="A9" s="1085" t="s">
        <v>530</v>
      </c>
      <c r="B9" s="1090" t="s">
        <v>1121</v>
      </c>
      <c r="C9" s="745">
        <v>872511174</v>
      </c>
      <c r="D9" s="745">
        <v>38718454</v>
      </c>
      <c r="E9" s="745">
        <v>189366474</v>
      </c>
      <c r="F9" s="745">
        <v>62913898</v>
      </c>
      <c r="G9" s="745">
        <v>138893636</v>
      </c>
      <c r="H9" s="745">
        <v>30622106</v>
      </c>
      <c r="I9" s="1095">
        <v>102230016</v>
      </c>
      <c r="J9" s="1099">
        <v>1435255758</v>
      </c>
      <c r="L9" s="122"/>
    </row>
    <row r="10" spans="1:12" s="767" customFormat="1" ht="26.4" x14ac:dyDescent="0.25">
      <c r="A10" s="1086" t="s">
        <v>532</v>
      </c>
      <c r="B10" s="1091" t="s">
        <v>1122</v>
      </c>
      <c r="C10" s="1083">
        <f>+C8-C9</f>
        <v>514750415</v>
      </c>
      <c r="D10" s="1083">
        <v>-32367112</v>
      </c>
      <c r="E10" s="1083">
        <f>+E8-E9</f>
        <v>-189363641</v>
      </c>
      <c r="F10" s="1083">
        <f>+F8-F9</f>
        <v>-58870413</v>
      </c>
      <c r="G10" s="1083">
        <f>+G8-G9</f>
        <v>-134713573</v>
      </c>
      <c r="H10" s="1083">
        <f>+H8-H9</f>
        <v>-29151405</v>
      </c>
      <c r="I10" s="1096">
        <f>+I8-I9</f>
        <v>-72830412</v>
      </c>
      <c r="J10" s="1100">
        <v>-2546141</v>
      </c>
      <c r="K10"/>
      <c r="L10" s="122"/>
    </row>
    <row r="11" spans="1:12" x14ac:dyDescent="0.25">
      <c r="A11" s="1085" t="s">
        <v>534</v>
      </c>
      <c r="B11" s="1090" t="s">
        <v>1123</v>
      </c>
      <c r="C11" s="745">
        <v>432249173</v>
      </c>
      <c r="D11" s="745">
        <v>32603004</v>
      </c>
      <c r="E11" s="745">
        <v>189817334</v>
      </c>
      <c r="F11" s="745">
        <v>61204413</v>
      </c>
      <c r="G11" s="745">
        <v>136732294</v>
      </c>
      <c r="H11" s="745">
        <v>29305472</v>
      </c>
      <c r="I11" s="1095">
        <v>77570036</v>
      </c>
      <c r="J11" s="1099">
        <v>959481726</v>
      </c>
      <c r="L11" s="122"/>
    </row>
    <row r="12" spans="1:12" x14ac:dyDescent="0.25">
      <c r="A12" s="1085" t="s">
        <v>579</v>
      </c>
      <c r="B12" s="1090" t="s">
        <v>1124</v>
      </c>
      <c r="C12" s="745">
        <v>531647428</v>
      </c>
      <c r="D12" s="745">
        <v>0</v>
      </c>
      <c r="E12" s="745">
        <v>0</v>
      </c>
      <c r="F12" s="745">
        <v>0</v>
      </c>
      <c r="G12" s="745">
        <v>0</v>
      </c>
      <c r="H12" s="745">
        <v>0</v>
      </c>
      <c r="I12" s="1095">
        <v>0</v>
      </c>
      <c r="J12" s="1099">
        <v>531647428</v>
      </c>
      <c r="L12" s="122"/>
    </row>
    <row r="13" spans="1:12" s="767" customFormat="1" ht="26.4" x14ac:dyDescent="0.25">
      <c r="A13" s="1086" t="s">
        <v>581</v>
      </c>
      <c r="B13" s="1091" t="s">
        <v>1125</v>
      </c>
      <c r="C13" s="1083">
        <f t="shared" ref="C13:I13" si="0">+C11-C12</f>
        <v>-99398255</v>
      </c>
      <c r="D13" s="1083">
        <f t="shared" si="0"/>
        <v>32603004</v>
      </c>
      <c r="E13" s="1083">
        <f t="shared" si="0"/>
        <v>189817334</v>
      </c>
      <c r="F13" s="1083">
        <f t="shared" si="0"/>
        <v>61204413</v>
      </c>
      <c r="G13" s="1083">
        <f t="shared" si="0"/>
        <v>136732294</v>
      </c>
      <c r="H13" s="1083">
        <f t="shared" si="0"/>
        <v>29305472</v>
      </c>
      <c r="I13" s="1096">
        <f t="shared" si="0"/>
        <v>77570036</v>
      </c>
      <c r="J13" s="1102">
        <v>427834298</v>
      </c>
      <c r="K13" s="122"/>
      <c r="L13" s="122"/>
    </row>
    <row r="14" spans="1:12" ht="13.8" thickBot="1" x14ac:dyDescent="0.3">
      <c r="A14" s="1087" t="s">
        <v>583</v>
      </c>
      <c r="B14" s="1104" t="s">
        <v>1126</v>
      </c>
      <c r="C14" s="1105">
        <f t="shared" ref="C14:I14" si="1">+C10+C13</f>
        <v>415352160</v>
      </c>
      <c r="D14" s="1105">
        <f t="shared" si="1"/>
        <v>235892</v>
      </c>
      <c r="E14" s="1105">
        <f t="shared" si="1"/>
        <v>453693</v>
      </c>
      <c r="F14" s="1105">
        <f t="shared" si="1"/>
        <v>2334000</v>
      </c>
      <c r="G14" s="1105">
        <f t="shared" si="1"/>
        <v>2018721</v>
      </c>
      <c r="H14" s="1105">
        <f t="shared" si="1"/>
        <v>154067</v>
      </c>
      <c r="I14" s="1106">
        <f t="shared" si="1"/>
        <v>4739624</v>
      </c>
      <c r="J14" s="1102">
        <v>425288157</v>
      </c>
      <c r="L14" s="122"/>
    </row>
    <row r="15" spans="1:12" ht="13.8" thickBot="1" x14ac:dyDescent="0.3">
      <c r="A15" s="1087" t="s">
        <v>759</v>
      </c>
      <c r="B15" s="1111" t="s">
        <v>1127</v>
      </c>
      <c r="C15" s="1112">
        <f t="shared" ref="C15:I15" si="2">+C14</f>
        <v>415352160</v>
      </c>
      <c r="D15" s="1112">
        <f t="shared" si="2"/>
        <v>235892</v>
      </c>
      <c r="E15" s="1112">
        <f t="shared" si="2"/>
        <v>453693</v>
      </c>
      <c r="F15" s="1112">
        <f t="shared" si="2"/>
        <v>2334000</v>
      </c>
      <c r="G15" s="1112">
        <f t="shared" si="2"/>
        <v>2018721</v>
      </c>
      <c r="H15" s="1112">
        <f t="shared" si="2"/>
        <v>154067</v>
      </c>
      <c r="I15" s="1113">
        <f t="shared" si="2"/>
        <v>4739624</v>
      </c>
      <c r="J15" s="1103">
        <v>425288157</v>
      </c>
      <c r="L15" s="122"/>
    </row>
    <row r="16" spans="1:12" s="767" customFormat="1" ht="26.4" x14ac:dyDescent="0.25">
      <c r="A16" s="1086" t="s">
        <v>605</v>
      </c>
      <c r="B16" s="1107" t="s">
        <v>1128</v>
      </c>
      <c r="C16" s="1108">
        <v>0</v>
      </c>
      <c r="D16" s="1108">
        <v>0</v>
      </c>
      <c r="E16" s="1108">
        <v>0</v>
      </c>
      <c r="F16" s="1108">
        <v>0</v>
      </c>
      <c r="G16" s="1108">
        <v>0</v>
      </c>
      <c r="H16" s="1108">
        <v>0</v>
      </c>
      <c r="I16" s="1109">
        <v>1311057</v>
      </c>
      <c r="J16" s="1110">
        <v>1311057</v>
      </c>
      <c r="K16"/>
      <c r="L16" s="122"/>
    </row>
    <row r="17" spans="1:12" s="767" customFormat="1" ht="13.8" thickBot="1" x14ac:dyDescent="0.3">
      <c r="A17" s="1088" t="s">
        <v>762</v>
      </c>
      <c r="B17" s="1092" t="s">
        <v>1129</v>
      </c>
      <c r="C17" s="1093">
        <f t="shared" ref="C17:H17" si="3">+C15</f>
        <v>415352160</v>
      </c>
      <c r="D17" s="1093">
        <f t="shared" si="3"/>
        <v>235892</v>
      </c>
      <c r="E17" s="1093">
        <f t="shared" si="3"/>
        <v>453693</v>
      </c>
      <c r="F17" s="1093">
        <f t="shared" si="3"/>
        <v>2334000</v>
      </c>
      <c r="G17" s="1093">
        <f t="shared" si="3"/>
        <v>2018721</v>
      </c>
      <c r="H17" s="1093">
        <f t="shared" si="3"/>
        <v>154067</v>
      </c>
      <c r="I17" s="1097">
        <f>+I15-I16</f>
        <v>3428567</v>
      </c>
      <c r="J17" s="1101">
        <v>423977100</v>
      </c>
      <c r="K17"/>
      <c r="L17" s="122"/>
    </row>
  </sheetData>
  <mergeCells count="4">
    <mergeCell ref="C6:J6"/>
    <mergeCell ref="A1:J1"/>
    <mergeCell ref="A2:J2"/>
    <mergeCell ref="A3:J3"/>
  </mergeCells>
  <pageMargins left="0.7" right="0.7" top="0.75" bottom="0.75" header="0.3" footer="0.3"/>
  <pageSetup paperSize="9" scale="7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3" sqref="A3:F5"/>
    </sheetView>
  </sheetViews>
  <sheetFormatPr defaultRowHeight="13.2" x14ac:dyDescent="0.25"/>
  <cols>
    <col min="1" max="1" width="15.88671875" customWidth="1"/>
    <col min="2" max="2" width="10.21875" customWidth="1"/>
    <col min="4" max="4" width="10.88671875" customWidth="1"/>
    <col min="5" max="5" width="10.33203125" customWidth="1"/>
  </cols>
  <sheetData>
    <row r="1" spans="1:6" ht="18.600000000000001" customHeight="1" x14ac:dyDescent="0.25">
      <c r="A1" s="1491" t="s">
        <v>1118</v>
      </c>
      <c r="B1" s="1491"/>
      <c r="C1" s="1491"/>
      <c r="D1" s="1491"/>
      <c r="E1" s="1491"/>
      <c r="F1" s="1491"/>
    </row>
    <row r="2" spans="1:6" ht="13.2" customHeight="1" x14ac:dyDescent="0.25">
      <c r="A2" s="1491" t="s">
        <v>1141</v>
      </c>
      <c r="B2" s="1491"/>
      <c r="C2" s="1491"/>
      <c r="D2" s="1491"/>
      <c r="E2" s="1491"/>
      <c r="F2" s="1491"/>
    </row>
    <row r="3" spans="1:6" ht="13.2" customHeight="1" x14ac:dyDescent="0.25">
      <c r="A3" s="1076"/>
      <c r="B3" s="1076"/>
      <c r="C3" s="1076"/>
      <c r="D3" s="1076"/>
      <c r="E3" s="1076"/>
      <c r="F3" s="1076"/>
    </row>
    <row r="4" spans="1:6" ht="15" x14ac:dyDescent="0.25">
      <c r="A4" s="1492" t="s">
        <v>1142</v>
      </c>
      <c r="B4" s="1492"/>
      <c r="C4" s="1492"/>
      <c r="D4" s="1492"/>
      <c r="E4" s="1492"/>
      <c r="F4" s="1492"/>
    </row>
    <row r="5" spans="1:6" ht="15" x14ac:dyDescent="0.25">
      <c r="A5" s="862"/>
      <c r="B5" s="862"/>
      <c r="C5" s="862"/>
      <c r="D5" s="862"/>
      <c r="E5" s="862"/>
      <c r="F5" s="862"/>
    </row>
    <row r="6" spans="1:6" ht="13.8" thickBot="1" x14ac:dyDescent="0.3">
      <c r="F6" s="832" t="s">
        <v>1113</v>
      </c>
    </row>
    <row r="7" spans="1:6" ht="25.2" customHeight="1" thickBot="1" x14ac:dyDescent="0.3">
      <c r="A7" s="1493" t="s">
        <v>1131</v>
      </c>
      <c r="B7" s="1493" t="s">
        <v>1132</v>
      </c>
      <c r="C7" s="1493" t="s">
        <v>1133</v>
      </c>
      <c r="D7" s="1495" t="s">
        <v>1134</v>
      </c>
      <c r="E7" s="1495"/>
      <c r="F7" s="1496" t="s">
        <v>1135</v>
      </c>
    </row>
    <row r="8" spans="1:6" ht="13.8" thickBot="1" x14ac:dyDescent="0.3">
      <c r="A8" s="1493"/>
      <c r="B8" s="1494"/>
      <c r="C8" s="1493"/>
      <c r="D8" s="855" t="s">
        <v>473</v>
      </c>
      <c r="E8" s="856" t="s">
        <v>493</v>
      </c>
      <c r="F8" s="1496"/>
    </row>
    <row r="9" spans="1:6" ht="13.8" thickBot="1" x14ac:dyDescent="0.3">
      <c r="A9" s="857" t="s">
        <v>929</v>
      </c>
      <c r="B9" s="857" t="s">
        <v>938</v>
      </c>
      <c r="C9" s="858" t="s">
        <v>954</v>
      </c>
      <c r="D9" s="858" t="s">
        <v>979</v>
      </c>
      <c r="E9" s="858" t="s">
        <v>986</v>
      </c>
      <c r="F9" s="859" t="s">
        <v>1009</v>
      </c>
    </row>
    <row r="10" spans="1:6" ht="13.8" thickBot="1" x14ac:dyDescent="0.3">
      <c r="A10" s="860" t="s">
        <v>1136</v>
      </c>
      <c r="B10" s="863">
        <v>0</v>
      </c>
      <c r="C10" s="864">
        <v>0</v>
      </c>
      <c r="D10" s="865">
        <f>SUM(D11:D11)</f>
        <v>0</v>
      </c>
      <c r="E10" s="865">
        <f>SUM(E11:E11)</f>
        <v>0</v>
      </c>
      <c r="F10" s="866">
        <f>SUM(F11:F11)</f>
        <v>0</v>
      </c>
    </row>
    <row r="11" spans="1:6" ht="21" thickBot="1" x14ac:dyDescent="0.3">
      <c r="A11" s="861" t="s">
        <v>1137</v>
      </c>
      <c r="B11" s="867">
        <v>0</v>
      </c>
      <c r="C11" s="868">
        <v>0</v>
      </c>
      <c r="D11" s="869">
        <v>0</v>
      </c>
      <c r="E11" s="869">
        <v>0</v>
      </c>
      <c r="F11" s="870">
        <v>0</v>
      </c>
    </row>
    <row r="12" spans="1:6" ht="13.8" thickBot="1" x14ac:dyDescent="0.3">
      <c r="A12" s="860" t="s">
        <v>1138</v>
      </c>
      <c r="B12" s="863">
        <v>0</v>
      </c>
      <c r="C12" s="864">
        <v>0</v>
      </c>
      <c r="D12" s="865">
        <f>SUM(D13:D13)</f>
        <v>0</v>
      </c>
      <c r="E12" s="865">
        <f>SUM(E13:E13)</f>
        <v>0</v>
      </c>
      <c r="F12" s="866">
        <f>SUM(F13:F13)</f>
        <v>0</v>
      </c>
    </row>
    <row r="13" spans="1:6" ht="13.8" thickBot="1" x14ac:dyDescent="0.3">
      <c r="A13" s="861" t="s">
        <v>1139</v>
      </c>
      <c r="B13" s="867">
        <v>0</v>
      </c>
      <c r="C13" s="868">
        <v>0</v>
      </c>
      <c r="D13" s="869">
        <v>0</v>
      </c>
      <c r="E13" s="869">
        <v>0</v>
      </c>
      <c r="F13" s="870">
        <v>0</v>
      </c>
    </row>
    <row r="14" spans="1:6" ht="13.8" thickBot="1" x14ac:dyDescent="0.3">
      <c r="A14" s="860" t="s">
        <v>1140</v>
      </c>
      <c r="B14" s="863">
        <v>0</v>
      </c>
      <c r="C14" s="864">
        <v>0</v>
      </c>
      <c r="D14" s="865">
        <f>D10+D12</f>
        <v>0</v>
      </c>
      <c r="E14" s="865">
        <f>E10+E12</f>
        <v>0</v>
      </c>
      <c r="F14" s="866">
        <f>F10+F12</f>
        <v>0</v>
      </c>
    </row>
  </sheetData>
  <mergeCells count="8">
    <mergeCell ref="A1:F1"/>
    <mergeCell ref="A2:F2"/>
    <mergeCell ref="A4:F4"/>
    <mergeCell ref="A7:A8"/>
    <mergeCell ref="B7:B8"/>
    <mergeCell ref="C7:C8"/>
    <mergeCell ref="D7:E7"/>
    <mergeCell ref="F7:F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L12" sqref="L12"/>
    </sheetView>
  </sheetViews>
  <sheetFormatPr defaultColWidth="12" defaultRowHeight="13.2" x14ac:dyDescent="0.25"/>
  <cols>
    <col min="2" max="2" width="16.6640625" customWidth="1"/>
    <col min="258" max="258" width="16.6640625" customWidth="1"/>
    <col min="514" max="514" width="16.6640625" customWidth="1"/>
    <col min="770" max="770" width="16.6640625" customWidth="1"/>
    <col min="1026" max="1026" width="16.6640625" customWidth="1"/>
    <col min="1282" max="1282" width="16.6640625" customWidth="1"/>
    <col min="1538" max="1538" width="16.6640625" customWidth="1"/>
    <col min="1794" max="1794" width="16.6640625" customWidth="1"/>
    <col min="2050" max="2050" width="16.6640625" customWidth="1"/>
    <col min="2306" max="2306" width="16.6640625" customWidth="1"/>
    <col min="2562" max="2562" width="16.6640625" customWidth="1"/>
    <col min="2818" max="2818" width="16.6640625" customWidth="1"/>
    <col min="3074" max="3074" width="16.6640625" customWidth="1"/>
    <col min="3330" max="3330" width="16.6640625" customWidth="1"/>
    <col min="3586" max="3586" width="16.6640625" customWidth="1"/>
    <col min="3842" max="3842" width="16.6640625" customWidth="1"/>
    <col min="4098" max="4098" width="16.6640625" customWidth="1"/>
    <col min="4354" max="4354" width="16.6640625" customWidth="1"/>
    <col min="4610" max="4610" width="16.6640625" customWidth="1"/>
    <col min="4866" max="4866" width="16.6640625" customWidth="1"/>
    <col min="5122" max="5122" width="16.6640625" customWidth="1"/>
    <col min="5378" max="5378" width="16.6640625" customWidth="1"/>
    <col min="5634" max="5634" width="16.6640625" customWidth="1"/>
    <col min="5890" max="5890" width="16.6640625" customWidth="1"/>
    <col min="6146" max="6146" width="16.6640625" customWidth="1"/>
    <col min="6402" max="6402" width="16.6640625" customWidth="1"/>
    <col min="6658" max="6658" width="16.6640625" customWidth="1"/>
    <col min="6914" max="6914" width="16.6640625" customWidth="1"/>
    <col min="7170" max="7170" width="16.6640625" customWidth="1"/>
    <col min="7426" max="7426" width="16.6640625" customWidth="1"/>
    <col min="7682" max="7682" width="16.6640625" customWidth="1"/>
    <col min="7938" max="7938" width="16.6640625" customWidth="1"/>
    <col min="8194" max="8194" width="16.6640625" customWidth="1"/>
    <col min="8450" max="8450" width="16.6640625" customWidth="1"/>
    <col min="8706" max="8706" width="16.6640625" customWidth="1"/>
    <col min="8962" max="8962" width="16.6640625" customWidth="1"/>
    <col min="9218" max="9218" width="16.6640625" customWidth="1"/>
    <col min="9474" max="9474" width="16.6640625" customWidth="1"/>
    <col min="9730" max="9730" width="16.6640625" customWidth="1"/>
    <col min="9986" max="9986" width="16.6640625" customWidth="1"/>
    <col min="10242" max="10242" width="16.6640625" customWidth="1"/>
    <col min="10498" max="10498" width="16.6640625" customWidth="1"/>
    <col min="10754" max="10754" width="16.6640625" customWidth="1"/>
    <col min="11010" max="11010" width="16.6640625" customWidth="1"/>
    <col min="11266" max="11266" width="16.6640625" customWidth="1"/>
    <col min="11522" max="11522" width="16.6640625" customWidth="1"/>
    <col min="11778" max="11778" width="16.6640625" customWidth="1"/>
    <col min="12034" max="12034" width="16.6640625" customWidth="1"/>
    <col min="12290" max="12290" width="16.6640625" customWidth="1"/>
    <col min="12546" max="12546" width="16.6640625" customWidth="1"/>
    <col min="12802" max="12802" width="16.6640625" customWidth="1"/>
    <col min="13058" max="13058" width="16.6640625" customWidth="1"/>
    <col min="13314" max="13314" width="16.6640625" customWidth="1"/>
    <col min="13570" max="13570" width="16.6640625" customWidth="1"/>
    <col min="13826" max="13826" width="16.6640625" customWidth="1"/>
    <col min="14082" max="14082" width="16.6640625" customWidth="1"/>
    <col min="14338" max="14338" width="16.6640625" customWidth="1"/>
    <col min="14594" max="14594" width="16.6640625" customWidth="1"/>
    <col min="14850" max="14850" width="16.6640625" customWidth="1"/>
    <col min="15106" max="15106" width="16.6640625" customWidth="1"/>
    <col min="15362" max="15362" width="16.6640625" customWidth="1"/>
    <col min="15618" max="15618" width="16.6640625" customWidth="1"/>
    <col min="15874" max="15874" width="16.6640625" customWidth="1"/>
    <col min="16130" max="16130" width="16.6640625" customWidth="1"/>
  </cols>
  <sheetData>
    <row r="1" spans="1:10" ht="15.6" x14ac:dyDescent="0.25">
      <c r="A1" s="1497" t="s">
        <v>476</v>
      </c>
      <c r="B1" s="1497"/>
      <c r="C1" s="1497"/>
      <c r="D1" s="1497"/>
      <c r="E1" s="1497"/>
      <c r="F1" s="1497"/>
      <c r="G1" s="1497"/>
      <c r="H1" s="1497"/>
      <c r="I1" s="1497"/>
    </row>
    <row r="2" spans="1:10" ht="19.2" customHeight="1" x14ac:dyDescent="0.25">
      <c r="A2" s="1497" t="s">
        <v>1172</v>
      </c>
      <c r="B2" s="1497"/>
      <c r="C2" s="1497"/>
      <c r="D2" s="1497"/>
      <c r="E2" s="1497"/>
      <c r="F2" s="1497"/>
      <c r="G2" s="1497"/>
      <c r="H2" s="1497"/>
      <c r="I2" s="1497"/>
    </row>
    <row r="3" spans="1:10" ht="20.399999999999999" customHeight="1" x14ac:dyDescent="0.25">
      <c r="A3" s="1497" t="s">
        <v>1212</v>
      </c>
      <c r="B3" s="1497"/>
      <c r="C3" s="1497"/>
      <c r="D3" s="1497"/>
      <c r="E3" s="1497"/>
      <c r="F3" s="1497"/>
      <c r="G3" s="1497"/>
      <c r="H3" s="1497"/>
      <c r="I3" s="1497"/>
    </row>
    <row r="4" spans="1:10" ht="22.2" customHeight="1" thickBot="1" x14ac:dyDescent="0.3">
      <c r="A4" s="8"/>
      <c r="B4" s="8"/>
      <c r="C4" s="8"/>
      <c r="D4" s="8"/>
      <c r="E4" s="8"/>
      <c r="F4" s="8"/>
      <c r="G4" s="8"/>
      <c r="H4" s="1498" t="s">
        <v>1113</v>
      </c>
      <c r="I4" s="1498"/>
    </row>
    <row r="5" spans="1:10" ht="13.8" thickBot="1" x14ac:dyDescent="0.3">
      <c r="A5" s="1499" t="s">
        <v>1143</v>
      </c>
      <c r="B5" s="1500" t="s">
        <v>1144</v>
      </c>
      <c r="C5" s="1501" t="s">
        <v>1145</v>
      </c>
      <c r="D5" s="1502" t="s">
        <v>1146</v>
      </c>
      <c r="E5" s="1502"/>
      <c r="F5" s="1502"/>
      <c r="G5" s="1502"/>
      <c r="H5" s="1502"/>
      <c r="I5" s="1503" t="s">
        <v>1147</v>
      </c>
    </row>
    <row r="6" spans="1:10" ht="23.4" thickBot="1" x14ac:dyDescent="0.3">
      <c r="A6" s="1499"/>
      <c r="B6" s="1500"/>
      <c r="C6" s="1501"/>
      <c r="D6" s="871" t="s">
        <v>1148</v>
      </c>
      <c r="E6" s="871" t="s">
        <v>1149</v>
      </c>
      <c r="F6" s="871" t="s">
        <v>1150</v>
      </c>
      <c r="G6" s="872" t="s">
        <v>1151</v>
      </c>
      <c r="H6" s="872" t="s">
        <v>1152</v>
      </c>
      <c r="I6" s="1503"/>
    </row>
    <row r="7" spans="1:10" ht="13.8" thickBot="1" x14ac:dyDescent="0.3">
      <c r="A7" s="873" t="s">
        <v>789</v>
      </c>
      <c r="B7" s="874" t="s">
        <v>929</v>
      </c>
      <c r="C7" s="874" t="s">
        <v>938</v>
      </c>
      <c r="D7" s="874" t="s">
        <v>954</v>
      </c>
      <c r="E7" s="874" t="s">
        <v>974</v>
      </c>
      <c r="F7" s="874" t="s">
        <v>979</v>
      </c>
      <c r="G7" s="874" t="s">
        <v>986</v>
      </c>
      <c r="H7" s="874" t="s">
        <v>1153</v>
      </c>
      <c r="I7" s="875" t="s">
        <v>1154</v>
      </c>
    </row>
    <row r="8" spans="1:10" x14ac:dyDescent="0.25">
      <c r="A8" s="1504" t="s">
        <v>1155</v>
      </c>
      <c r="B8" s="1504"/>
      <c r="C8" s="1504"/>
      <c r="D8" s="1504"/>
      <c r="E8" s="1504"/>
      <c r="F8" s="1504"/>
      <c r="G8" s="1504"/>
      <c r="H8" s="1504"/>
      <c r="I8" s="1504"/>
    </row>
    <row r="9" spans="1:10" ht="20.399999999999999" x14ac:dyDescent="0.25">
      <c r="A9" s="876" t="s">
        <v>1156</v>
      </c>
      <c r="B9" s="877" t="s">
        <v>1157</v>
      </c>
      <c r="C9" s="878">
        <v>0</v>
      </c>
      <c r="D9" s="878">
        <v>0</v>
      </c>
      <c r="E9" s="878">
        <v>0</v>
      </c>
      <c r="F9" s="878">
        <v>0</v>
      </c>
      <c r="G9" s="879">
        <v>0</v>
      </c>
      <c r="H9" s="880">
        <f t="shared" ref="H9:H14" si="0">SUM(D9:G9)</f>
        <v>0</v>
      </c>
      <c r="I9" s="881">
        <f t="shared" ref="I9:I14" si="1">C9+H9</f>
        <v>0</v>
      </c>
    </row>
    <row r="10" spans="1:10" ht="20.399999999999999" x14ac:dyDescent="0.25">
      <c r="A10" s="876" t="s">
        <v>1158</v>
      </c>
      <c r="B10" s="877" t="s">
        <v>1159</v>
      </c>
      <c r="C10" s="878">
        <v>0</v>
      </c>
      <c r="D10" s="878">
        <v>0</v>
      </c>
      <c r="E10" s="878">
        <v>0</v>
      </c>
      <c r="F10" s="878">
        <v>0</v>
      </c>
      <c r="G10" s="879">
        <v>0</v>
      </c>
      <c r="H10" s="880">
        <f t="shared" si="0"/>
        <v>0</v>
      </c>
      <c r="I10" s="881">
        <f t="shared" si="1"/>
        <v>0</v>
      </c>
    </row>
    <row r="11" spans="1:10" ht="30.6" x14ac:dyDescent="0.25">
      <c r="A11" s="876" t="s">
        <v>1160</v>
      </c>
      <c r="B11" s="877" t="s">
        <v>1161</v>
      </c>
      <c r="C11" s="878">
        <v>0</v>
      </c>
      <c r="D11" s="878">
        <v>0</v>
      </c>
      <c r="E11" s="878">
        <v>0</v>
      </c>
      <c r="F11" s="878">
        <v>0</v>
      </c>
      <c r="G11" s="879">
        <v>0</v>
      </c>
      <c r="H11" s="880">
        <f t="shared" si="0"/>
        <v>0</v>
      </c>
      <c r="I11" s="881">
        <f t="shared" si="1"/>
        <v>0</v>
      </c>
    </row>
    <row r="12" spans="1:10" ht="20.399999999999999" x14ac:dyDescent="0.25">
      <c r="A12" s="876" t="s">
        <v>1162</v>
      </c>
      <c r="B12" s="877" t="s">
        <v>1163</v>
      </c>
      <c r="C12" s="878">
        <v>0</v>
      </c>
      <c r="D12" s="878">
        <v>0</v>
      </c>
      <c r="E12" s="878">
        <v>0</v>
      </c>
      <c r="F12" s="878">
        <v>0</v>
      </c>
      <c r="G12" s="879">
        <v>0</v>
      </c>
      <c r="H12" s="880">
        <f t="shared" si="0"/>
        <v>0</v>
      </c>
      <c r="I12" s="881">
        <f t="shared" si="1"/>
        <v>0</v>
      </c>
    </row>
    <row r="13" spans="1:10" ht="30.6" x14ac:dyDescent="0.25">
      <c r="A13" s="876" t="s">
        <v>1164</v>
      </c>
      <c r="B13" s="877" t="s">
        <v>1165</v>
      </c>
      <c r="C13" s="878">
        <v>0</v>
      </c>
      <c r="D13" s="878">
        <v>0</v>
      </c>
      <c r="E13" s="878">
        <v>0</v>
      </c>
      <c r="F13" s="878">
        <v>0</v>
      </c>
      <c r="G13" s="879">
        <v>0</v>
      </c>
      <c r="H13" s="880">
        <f t="shared" si="0"/>
        <v>0</v>
      </c>
      <c r="I13" s="881">
        <f t="shared" si="1"/>
        <v>0</v>
      </c>
    </row>
    <row r="14" spans="1:10" ht="13.8" thickBot="1" x14ac:dyDescent="0.3">
      <c r="A14" s="882" t="s">
        <v>1166</v>
      </c>
      <c r="B14" s="883" t="s">
        <v>1167</v>
      </c>
      <c r="C14" s="884">
        <v>0</v>
      </c>
      <c r="D14" s="884">
        <v>0</v>
      </c>
      <c r="E14" s="884">
        <v>0</v>
      </c>
      <c r="F14" s="884">
        <v>0</v>
      </c>
      <c r="G14" s="885">
        <v>0</v>
      </c>
      <c r="H14" s="1131">
        <f t="shared" si="0"/>
        <v>0</v>
      </c>
      <c r="I14" s="1132">
        <f t="shared" si="1"/>
        <v>0</v>
      </c>
    </row>
    <row r="15" spans="1:10" ht="13.8" thickBot="1" x14ac:dyDescent="0.3">
      <c r="A15" s="1505" t="s">
        <v>1168</v>
      </c>
      <c r="B15" s="1506"/>
      <c r="C15" s="1133">
        <f t="shared" ref="C15:I15" si="2">SUM(C9:C14)</f>
        <v>0</v>
      </c>
      <c r="D15" s="1133">
        <f t="shared" si="2"/>
        <v>0</v>
      </c>
      <c r="E15" s="1133">
        <f t="shared" si="2"/>
        <v>0</v>
      </c>
      <c r="F15" s="1133">
        <f t="shared" si="2"/>
        <v>0</v>
      </c>
      <c r="G15" s="1134">
        <f t="shared" si="2"/>
        <v>0</v>
      </c>
      <c r="H15" s="1134">
        <f t="shared" si="2"/>
        <v>0</v>
      </c>
      <c r="I15" s="1135">
        <f t="shared" si="2"/>
        <v>0</v>
      </c>
    </row>
    <row r="16" spans="1:10" ht="13.8" thickBot="1" x14ac:dyDescent="0.3">
      <c r="A16" s="1130"/>
      <c r="B16" s="1130"/>
      <c r="C16" s="1129"/>
      <c r="D16" s="1129"/>
      <c r="E16" s="1129"/>
      <c r="F16" s="1129"/>
      <c r="G16" s="1129"/>
      <c r="H16" s="1129"/>
      <c r="I16" s="1129"/>
      <c r="J16" s="46"/>
    </row>
    <row r="17" spans="1:10" ht="13.2" customHeight="1" thickBot="1" x14ac:dyDescent="0.3">
      <c r="A17" s="1514" t="s">
        <v>1411</v>
      </c>
      <c r="B17" s="1515"/>
      <c r="C17" s="1515"/>
      <c r="D17" s="1515"/>
      <c r="E17" s="1515"/>
      <c r="F17" s="1515"/>
      <c r="G17" s="1515"/>
      <c r="H17" s="1515"/>
      <c r="I17" s="1515"/>
      <c r="J17" s="1516"/>
    </row>
    <row r="18" spans="1:10" ht="35.4" customHeight="1" x14ac:dyDescent="0.25">
      <c r="A18" s="1153" t="s">
        <v>1156</v>
      </c>
      <c r="B18" s="1154" t="s">
        <v>1409</v>
      </c>
      <c r="C18" s="1151" t="s">
        <v>1396</v>
      </c>
      <c r="D18" s="1143" t="s">
        <v>1397</v>
      </c>
      <c r="E18" s="1143" t="s">
        <v>466</v>
      </c>
      <c r="F18" s="1143" t="s">
        <v>449</v>
      </c>
      <c r="G18" s="1143" t="s">
        <v>448</v>
      </c>
      <c r="H18" s="1143" t="s">
        <v>1398</v>
      </c>
      <c r="I18" s="1147" t="s">
        <v>420</v>
      </c>
      <c r="J18" s="1150" t="s">
        <v>1118</v>
      </c>
    </row>
    <row r="19" spans="1:10" ht="21" thickBot="1" x14ac:dyDescent="0.3">
      <c r="A19" s="1144" t="s">
        <v>1158</v>
      </c>
      <c r="B19" s="1146" t="s">
        <v>1410</v>
      </c>
      <c r="C19" s="1152">
        <v>13517080</v>
      </c>
      <c r="D19" s="1145">
        <v>469795</v>
      </c>
      <c r="E19" s="1145">
        <v>2800</v>
      </c>
      <c r="F19" s="1145">
        <v>13538</v>
      </c>
      <c r="G19" s="1145">
        <v>0</v>
      </c>
      <c r="H19" s="1145">
        <v>279400</v>
      </c>
      <c r="I19" s="1148">
        <v>1311057</v>
      </c>
      <c r="J19" s="1149">
        <f>SUM(C19:I19)</f>
        <v>15593670</v>
      </c>
    </row>
    <row r="20" spans="1:10" s="46" customFormat="1" ht="13.8" thickBot="1" x14ac:dyDescent="0.3">
      <c r="A20" s="1130"/>
      <c r="B20" s="1130"/>
      <c r="C20" s="1129"/>
      <c r="D20" s="1129"/>
      <c r="E20" s="1129"/>
      <c r="F20" s="1129"/>
      <c r="G20" s="1129"/>
      <c r="H20" s="1129"/>
      <c r="I20" s="1129"/>
    </row>
    <row r="21" spans="1:10" x14ac:dyDescent="0.25">
      <c r="A21" s="1507" t="s">
        <v>1408</v>
      </c>
      <c r="B21" s="1508"/>
      <c r="C21" s="1508"/>
      <c r="D21" s="1508"/>
      <c r="E21" s="1508"/>
      <c r="F21" s="1508"/>
      <c r="G21" s="1508"/>
      <c r="H21" s="1508"/>
      <c r="I21" s="1509"/>
    </row>
    <row r="22" spans="1:10" x14ac:dyDescent="0.25">
      <c r="A22" s="1136" t="s">
        <v>1156</v>
      </c>
      <c r="B22" s="877" t="s">
        <v>1169</v>
      </c>
      <c r="C22" s="878">
        <v>0</v>
      </c>
      <c r="D22" s="878">
        <v>0</v>
      </c>
      <c r="E22" s="878">
        <v>0</v>
      </c>
      <c r="F22" s="878">
        <v>0</v>
      </c>
      <c r="G22" s="879">
        <v>0</v>
      </c>
      <c r="H22" s="880">
        <f>SUM(D22:G22)</f>
        <v>0</v>
      </c>
      <c r="I22" s="1137">
        <f>C22+H22</f>
        <v>0</v>
      </c>
    </row>
    <row r="23" spans="1:10" ht="13.8" thickBot="1" x14ac:dyDescent="0.3">
      <c r="A23" s="1138" t="s">
        <v>1158</v>
      </c>
      <c r="B23" s="888" t="s">
        <v>1167</v>
      </c>
      <c r="C23" s="889">
        <v>0</v>
      </c>
      <c r="D23" s="889">
        <v>0</v>
      </c>
      <c r="E23" s="889">
        <v>0</v>
      </c>
      <c r="F23" s="889">
        <v>0</v>
      </c>
      <c r="G23" s="890">
        <v>0</v>
      </c>
      <c r="H23" s="880">
        <f>SUM(D23:G23)</f>
        <v>0</v>
      </c>
      <c r="I23" s="1139">
        <f>C23+H23</f>
        <v>0</v>
      </c>
    </row>
    <row r="24" spans="1:10" ht="13.8" thickBot="1" x14ac:dyDescent="0.3">
      <c r="A24" s="1510" t="s">
        <v>1170</v>
      </c>
      <c r="B24" s="1511"/>
      <c r="C24" s="886">
        <f t="shared" ref="C24:I24" si="3">SUM(C22:C23)</f>
        <v>0</v>
      </c>
      <c r="D24" s="886">
        <f t="shared" si="3"/>
        <v>0</v>
      </c>
      <c r="E24" s="886">
        <f t="shared" si="3"/>
        <v>0</v>
      </c>
      <c r="F24" s="886">
        <f t="shared" si="3"/>
        <v>0</v>
      </c>
      <c r="G24" s="887">
        <f t="shared" si="3"/>
        <v>0</v>
      </c>
      <c r="H24" s="887">
        <f t="shared" si="3"/>
        <v>0</v>
      </c>
      <c r="I24" s="1140">
        <f t="shared" si="3"/>
        <v>0</v>
      </c>
    </row>
    <row r="25" spans="1:10" ht="13.8" thickBot="1" x14ac:dyDescent="0.3">
      <c r="A25" s="1512" t="s">
        <v>1171</v>
      </c>
      <c r="B25" s="1513"/>
      <c r="C25" s="1141">
        <f t="shared" ref="C25:I25" si="4">C15+C24</f>
        <v>0</v>
      </c>
      <c r="D25" s="1141">
        <f t="shared" si="4"/>
        <v>0</v>
      </c>
      <c r="E25" s="1141">
        <f t="shared" si="4"/>
        <v>0</v>
      </c>
      <c r="F25" s="1141">
        <f t="shared" si="4"/>
        <v>0</v>
      </c>
      <c r="G25" s="1141">
        <f t="shared" si="4"/>
        <v>0</v>
      </c>
      <c r="H25" s="1141">
        <f t="shared" si="4"/>
        <v>0</v>
      </c>
      <c r="I25" s="1142">
        <f t="shared" si="4"/>
        <v>0</v>
      </c>
    </row>
  </sheetData>
  <mergeCells count="15">
    <mergeCell ref="A8:I8"/>
    <mergeCell ref="A15:B15"/>
    <mergeCell ref="A21:I21"/>
    <mergeCell ref="A24:B24"/>
    <mergeCell ref="A25:B25"/>
    <mergeCell ref="A17:J17"/>
    <mergeCell ref="A1:I1"/>
    <mergeCell ref="A2:I2"/>
    <mergeCell ref="H4:I4"/>
    <mergeCell ref="A5:A6"/>
    <mergeCell ref="B5:B6"/>
    <mergeCell ref="C5:C6"/>
    <mergeCell ref="D5:H5"/>
    <mergeCell ref="I5:I6"/>
    <mergeCell ref="A3:I3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H14" sqref="H14"/>
    </sheetView>
  </sheetViews>
  <sheetFormatPr defaultRowHeight="13.2" x14ac:dyDescent="0.25"/>
  <cols>
    <col min="1" max="1" width="25.5546875" bestFit="1" customWidth="1"/>
    <col min="2" max="6" width="16.6640625" customWidth="1"/>
    <col min="8" max="8" width="12.6640625" bestFit="1" customWidth="1"/>
    <col min="9" max="9" width="14" bestFit="1" customWidth="1"/>
    <col min="10" max="10" width="11.77734375" bestFit="1" customWidth="1"/>
    <col min="11" max="11" width="14" bestFit="1" customWidth="1"/>
    <col min="12" max="12" width="9.109375" customWidth="1"/>
  </cols>
  <sheetData>
    <row r="1" spans="1:14" ht="21.6" customHeight="1" x14ac:dyDescent="0.25">
      <c r="A1" s="1460" t="s">
        <v>1211</v>
      </c>
      <c r="B1" s="1460"/>
      <c r="C1" s="1460"/>
      <c r="D1" s="1460"/>
      <c r="E1" s="1460"/>
      <c r="F1" s="1460"/>
    </row>
    <row r="2" spans="1:14" ht="21.6" customHeight="1" x14ac:dyDescent="0.25">
      <c r="A2" s="762"/>
      <c r="B2" s="762"/>
      <c r="C2" s="762"/>
      <c r="D2" s="762"/>
      <c r="E2" s="762"/>
      <c r="F2" s="762"/>
    </row>
    <row r="3" spans="1:14" ht="21" customHeight="1" x14ac:dyDescent="0.25">
      <c r="A3" s="1460" t="s">
        <v>1213</v>
      </c>
      <c r="B3" s="1460"/>
      <c r="C3" s="1460"/>
      <c r="D3" s="1460"/>
      <c r="E3" s="1460"/>
      <c r="F3" s="1460"/>
    </row>
    <row r="4" spans="1:14" ht="21" customHeight="1" x14ac:dyDescent="0.25">
      <c r="A4" s="762"/>
      <c r="B4" s="762"/>
      <c r="C4" s="762"/>
      <c r="D4" s="762"/>
      <c r="E4" s="762"/>
      <c r="F4" s="762"/>
    </row>
    <row r="5" spans="1:14" ht="13.8" thickBot="1" x14ac:dyDescent="0.3">
      <c r="F5" s="832" t="s">
        <v>1113</v>
      </c>
    </row>
    <row r="6" spans="1:14" ht="16.2" thickBot="1" x14ac:dyDescent="0.3">
      <c r="A6" s="936" t="s">
        <v>366</v>
      </c>
      <c r="B6" s="937" t="s">
        <v>1201</v>
      </c>
      <c r="C6" s="938" t="s">
        <v>1202</v>
      </c>
      <c r="D6" s="938" t="s">
        <v>1203</v>
      </c>
      <c r="E6" s="938" t="s">
        <v>1204</v>
      </c>
      <c r="F6" s="939" t="s">
        <v>1205</v>
      </c>
    </row>
    <row r="7" spans="1:14" ht="15.6" x14ac:dyDescent="0.3">
      <c r="A7" s="940"/>
      <c r="B7" s="941"/>
      <c r="C7" s="942"/>
      <c r="D7" s="942"/>
      <c r="E7" s="942"/>
      <c r="F7" s="943"/>
      <c r="H7" t="s">
        <v>1407</v>
      </c>
    </row>
    <row r="8" spans="1:14" ht="15.6" x14ac:dyDescent="0.3">
      <c r="A8" s="944"/>
      <c r="B8" s="945"/>
      <c r="C8" s="946"/>
      <c r="D8" s="946"/>
      <c r="E8" s="946"/>
      <c r="F8" s="947"/>
    </row>
    <row r="9" spans="1:14" ht="15.6" x14ac:dyDescent="0.3">
      <c r="A9" s="948" t="s">
        <v>1206</v>
      </c>
      <c r="B9" s="949">
        <f>SUM([1]Önkormányzat!B8,[1]Bölcsőde!B8,[1]Óvoda!B8,[1]Dr.Gáspár!B8,[1]Konyha!B8,[1]Wamkk!B8,[1]PH!B8)</f>
        <v>489603987</v>
      </c>
      <c r="C9" s="950">
        <f>SUM([1]Önkormányzat!C8,[1]Bölcsőde!C8,[1]Óvoda!C8,[1]Dr.Gáspár!C8,[1]Konyha!C8,[1]Wamkk!C8,[1]PH!C8)</f>
        <v>543382882</v>
      </c>
      <c r="D9" s="950">
        <f>SUM([1]Önkormányzat!D8,[1]Bölcsőde!D8,[1]Óvoda!D8,[1]Dr.Gáspár!D8,[1]Konyha!D8,[1]Wamkk!D8,[1]PH!D8)</f>
        <v>670182154</v>
      </c>
      <c r="E9" s="950">
        <f>SUM([1]Önkormányzat!E8,[1]Bölcsőde!E8,[1]Óvoda!E8,[1]Dr.Gáspár!E8,[1]Konyha!E8,[1]Wamkk!E8,[1]PH!E8)</f>
        <v>583226758</v>
      </c>
      <c r="F9" s="951">
        <f>SUM([1]Önkormányzat!F8,[1]Bölcsőde!F8,[1]Óvoda!F8,[1]Dr.Gáspár!F8,[1]Konyha!F8,[1]Wamkk!F8,[1]PH!F8)</f>
        <v>489603987</v>
      </c>
      <c r="H9" t="s">
        <v>1401</v>
      </c>
      <c r="I9" s="122">
        <v>1432709617</v>
      </c>
      <c r="K9" s="122">
        <v>1435255758</v>
      </c>
      <c r="L9" t="s">
        <v>1403</v>
      </c>
    </row>
    <row r="10" spans="1:14" ht="15.6" x14ac:dyDescent="0.3">
      <c r="A10" s="948"/>
      <c r="B10" s="949"/>
      <c r="C10" s="950"/>
      <c r="D10" s="950"/>
      <c r="E10" s="950"/>
      <c r="F10" s="951"/>
      <c r="H10" s="1115" t="s">
        <v>1402</v>
      </c>
      <c r="I10" s="1116">
        <v>959481726</v>
      </c>
      <c r="K10" s="1116">
        <v>531647428</v>
      </c>
      <c r="L10" s="1115" t="s">
        <v>1404</v>
      </c>
    </row>
    <row r="11" spans="1:14" ht="15.6" x14ac:dyDescent="0.3">
      <c r="A11" s="948"/>
      <c r="B11" s="949"/>
      <c r="C11" s="950"/>
      <c r="D11" s="950"/>
      <c r="E11" s="950"/>
      <c r="F11" s="951"/>
      <c r="H11" t="s">
        <v>1405</v>
      </c>
      <c r="I11" s="122">
        <f>+I9+I10</f>
        <v>2392191343</v>
      </c>
      <c r="K11" s="122">
        <f>+K9+K10</f>
        <v>1966903186</v>
      </c>
      <c r="L11" t="s">
        <v>1406</v>
      </c>
      <c r="N11" s="122"/>
    </row>
    <row r="12" spans="1:14" ht="15.6" x14ac:dyDescent="0.3">
      <c r="A12" s="948" t="s">
        <v>1207</v>
      </c>
      <c r="B12" s="949">
        <f>SUM([1]Önkormányzat!B11,[1]Bölcsőde!B11,[1]Óvoda!B11,[1]Dr.Gáspár!B11,[1]Konyha!B11,[1]Wamkk!B11,[1]PH!B11)</f>
        <v>411824155</v>
      </c>
      <c r="C12" s="950">
        <f>SUM([1]Önkormányzat!C11,[1]Bölcsőde!C11,[1]Óvoda!C11,[1]Dr.Gáspár!C11,[1]Konyha!C11,[1]Wamkk!C11,[1]PH!C11)</f>
        <v>618562435</v>
      </c>
      <c r="D12" s="950">
        <f>SUM([1]Önkormányzat!D11,[1]Bölcsőde!D11,[1]Óvoda!D11,[1]Dr.Gáspár!D11,[1]Konyha!D11,[1]Wamkk!D11,[1]PH!D11)</f>
        <v>421237205</v>
      </c>
      <c r="E12" s="950">
        <f>SUM([1]Önkormányzat!E11,[1]Bölcsőde!E11,[1]Óvoda!E11,[1]Dr.Gáspár!E11,[1]Konyha!E11,[1]Wamkk!E11,[1]PH!E11)</f>
        <v>516107126</v>
      </c>
      <c r="F12" s="1114">
        <f>SUM([1]Önkormányzat!F11,[1]Bölcsőde!F11,[1]Óvoda!F11,[1]Dr.Gáspár!F11,[1]Konyha!F11,[1]Wamkk!F11,[1]PH!F11)</f>
        <v>1967730921</v>
      </c>
      <c r="H12" s="1116" t="s">
        <v>1400</v>
      </c>
      <c r="I12" s="1116">
        <v>424460422</v>
      </c>
      <c r="J12" s="122"/>
    </row>
    <row r="13" spans="1:14" ht="15.6" x14ac:dyDescent="0.3">
      <c r="A13" s="948"/>
      <c r="B13" s="949"/>
      <c r="C13" s="950"/>
      <c r="D13" s="950"/>
      <c r="E13" s="950"/>
      <c r="F13" s="951"/>
      <c r="I13" s="122">
        <f>+I11-I12</f>
        <v>1967730921</v>
      </c>
    </row>
    <row r="14" spans="1:14" ht="15.6" x14ac:dyDescent="0.3">
      <c r="A14" s="948"/>
      <c r="B14" s="949"/>
      <c r="C14" s="950"/>
      <c r="D14" s="950"/>
      <c r="E14" s="950"/>
      <c r="F14" s="951"/>
    </row>
    <row r="15" spans="1:14" ht="15.6" x14ac:dyDescent="0.3">
      <c r="A15" s="948" t="s">
        <v>1208</v>
      </c>
      <c r="B15" s="949">
        <f>SUM([1]Önkormányzat!B14,[1]Bölcsőde!B14,[1]Óvoda!B14,[1]Dr.Gáspár!B14,[1]Konyha!B14,[1]Wamkk!B14,[1]PH!B14)</f>
        <v>374164390</v>
      </c>
      <c r="C15" s="950">
        <f>SUM([1]Önkormányzat!C14,[1]Bölcsőde!C14,[1]Óvoda!C14,[1]Dr.Gáspár!C14,[1]Konyha!C14,[1]Wamkk!C14,[1]PH!C14)</f>
        <v>475044730</v>
      </c>
      <c r="D15" s="950">
        <f>SUM([1]Önkormányzat!D14,[1]Bölcsőde!D14,[1]Óvoda!D14,[1]Dr.Gáspár!D14,[1]Konyha!D14,[1]Wamkk!D14,[1]PH!D14)</f>
        <v>517931598</v>
      </c>
      <c r="E15" s="950">
        <f>SUM([1]Önkormányzat!E14,[1]Bölcsőde!E14,[1]Óvoda!E14,[1]Dr.Gáspár!E14,[1]Konyha!E14,[1]Wamkk!E14,[1]PH!E14)</f>
        <v>599762468</v>
      </c>
      <c r="F15" s="1114">
        <f>SUM([1]Önkormányzat!F14,[1]Bölcsőde!F14,[1]Óvoda!F14,[1]Dr.Gáspár!F14,[1]Konyha!F14,[1]Wamkk!F14,[1]PH!F14)</f>
        <v>1966903186</v>
      </c>
    </row>
    <row r="16" spans="1:14" ht="15.6" x14ac:dyDescent="0.3">
      <c r="A16" s="948"/>
      <c r="B16" s="949"/>
      <c r="C16" s="950"/>
      <c r="D16" s="950"/>
      <c r="E16" s="950"/>
      <c r="F16" s="951"/>
      <c r="I16" s="122"/>
    </row>
    <row r="17" spans="1:6" ht="15.6" x14ac:dyDescent="0.3">
      <c r="A17" s="948"/>
      <c r="B17" s="949"/>
      <c r="C17" s="950"/>
      <c r="D17" s="950"/>
      <c r="E17" s="950"/>
      <c r="F17" s="951"/>
    </row>
    <row r="18" spans="1:6" ht="15.6" x14ac:dyDescent="0.3">
      <c r="A18" s="948" t="s">
        <v>1209</v>
      </c>
      <c r="B18" s="949">
        <f>SUM([1]Önkormányzat!B17,[1]Bölcsőde!B17,[1]Óvoda!B17,[1]Dr.Gáspár!B17,[1]Konyha!B17,[1]Wamkk!B17,[1]PH!B17)</f>
        <v>16119130</v>
      </c>
      <c r="C18" s="950">
        <f>SUM([1]Önkormányzat!C17,[1]Bölcsőde!C17,[1]Óvoda!C17,[1]Dr.Gáspár!C17,[1]Konyha!C17,[1]Wamkk!C17,[1]PH!C17)</f>
        <v>-16718433</v>
      </c>
      <c r="D18" s="950">
        <f>SUM([1]Önkormányzat!D17,[1]Bölcsőde!D17,[1]Óvoda!D17,[1]Dr.Gáspár!D17,[1]Konyha!D17,[1]Wamkk!D17,[1]PH!D17)</f>
        <v>9738997</v>
      </c>
      <c r="E18" s="950">
        <f>SUM([1]Önkormányzat!E17,[1]Bölcsőde!E17,[1]Óvoda!E17,[1]Dr.Gáspár!E17,[1]Konyha!E17,[1]Wamkk!E17,[1]PH!E17)</f>
        <v>7239272</v>
      </c>
      <c r="F18" s="951">
        <f>SUM([1]Önkormányzat!F17,[1]Bölcsőde!F17,[1]Óvoda!F17,[1]Dr.Gáspár!F17,[1]Konyha!F17,[1]Wamkk!F17,[1]PH!F17)</f>
        <v>16378966</v>
      </c>
    </row>
    <row r="19" spans="1:6" ht="15.6" x14ac:dyDescent="0.3">
      <c r="A19" s="948"/>
      <c r="B19" s="949"/>
      <c r="C19" s="950"/>
      <c r="D19" s="950"/>
      <c r="E19" s="950"/>
      <c r="F19" s="952"/>
    </row>
    <row r="20" spans="1:6" ht="16.2" thickBot="1" x14ac:dyDescent="0.35">
      <c r="A20" s="1117"/>
      <c r="B20" s="1118"/>
      <c r="C20" s="1119"/>
      <c r="D20" s="1119"/>
      <c r="E20" s="1119"/>
      <c r="F20" s="1120"/>
    </row>
    <row r="21" spans="1:6" ht="16.2" thickBot="1" x14ac:dyDescent="0.35">
      <c r="A21" s="1125" t="s">
        <v>1210</v>
      </c>
      <c r="B21" s="1126">
        <f>B9+B12-B15+B18</f>
        <v>543382882</v>
      </c>
      <c r="C21" s="1127">
        <f>C9+C12-C15+C18</f>
        <v>670182154</v>
      </c>
      <c r="D21" s="1127">
        <f>D9+D12-D15+D18</f>
        <v>583226758</v>
      </c>
      <c r="E21" s="1127">
        <f>E9+E12-E15+E18</f>
        <v>506810688</v>
      </c>
      <c r="F21" s="1128">
        <f>F9+F12-F15+F18</f>
        <v>506810688</v>
      </c>
    </row>
    <row r="22" spans="1:6" ht="15" thickBot="1" x14ac:dyDescent="0.35">
      <c r="A22" s="1121"/>
      <c r="B22" s="1122"/>
      <c r="C22" s="1123"/>
      <c r="D22" s="1123"/>
      <c r="E22" s="1123"/>
      <c r="F22" s="1124"/>
    </row>
  </sheetData>
  <mergeCells count="2">
    <mergeCell ref="A1:F1"/>
    <mergeCell ref="A3:F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H17" sqref="H17"/>
    </sheetView>
  </sheetViews>
  <sheetFormatPr defaultRowHeight="13.2" x14ac:dyDescent="0.25"/>
  <cols>
    <col min="1" max="1" width="42.33203125" customWidth="1"/>
    <col min="2" max="2" width="11.33203125" customWidth="1"/>
    <col min="3" max="3" width="12.6640625" bestFit="1" customWidth="1"/>
    <col min="4" max="4" width="12.6640625" customWidth="1"/>
    <col min="5" max="5" width="40.6640625" customWidth="1"/>
    <col min="6" max="6" width="12.109375" customWidth="1"/>
    <col min="7" max="7" width="11.33203125" customWidth="1"/>
    <col min="8" max="8" width="15.88671875" customWidth="1"/>
  </cols>
  <sheetData>
    <row r="1" spans="1:8" ht="15.6" x14ac:dyDescent="0.25">
      <c r="A1" s="1517" t="s">
        <v>477</v>
      </c>
      <c r="B1" s="1517"/>
      <c r="C1" s="1517"/>
      <c r="D1" s="1517"/>
      <c r="E1" s="1517"/>
      <c r="F1" s="1517"/>
      <c r="G1" s="1517"/>
      <c r="H1" s="1517"/>
    </row>
    <row r="2" spans="1:8" x14ac:dyDescent="0.25">
      <c r="C2" s="891"/>
      <c r="D2" s="891"/>
      <c r="E2" s="891"/>
    </row>
    <row r="3" spans="1:8" ht="15.6" x14ac:dyDescent="0.25">
      <c r="A3" s="1517" t="s">
        <v>1235</v>
      </c>
      <c r="B3" s="1517"/>
      <c r="C3" s="1517"/>
      <c r="D3" s="1517"/>
      <c r="E3" s="1517"/>
      <c r="F3" s="1517"/>
      <c r="G3" s="1517"/>
      <c r="H3" s="1517"/>
    </row>
    <row r="4" spans="1:8" ht="15.6" x14ac:dyDescent="0.25">
      <c r="A4" s="1517"/>
      <c r="B4" s="1517"/>
      <c r="C4" s="1517"/>
      <c r="D4" s="1517"/>
      <c r="E4" s="1517"/>
      <c r="F4" s="1517"/>
      <c r="G4" s="1517"/>
      <c r="H4" s="1517"/>
    </row>
    <row r="5" spans="1:8" ht="15.6" x14ac:dyDescent="0.25">
      <c r="A5" s="1517" t="s">
        <v>1234</v>
      </c>
      <c r="B5" s="1517"/>
      <c r="C5" s="1517"/>
      <c r="D5" s="1517"/>
      <c r="E5" s="1517"/>
      <c r="F5" s="1517"/>
      <c r="G5" s="1517"/>
      <c r="H5" s="1517"/>
    </row>
    <row r="6" spans="1:8" x14ac:dyDescent="0.25">
      <c r="H6" s="892"/>
    </row>
    <row r="7" spans="1:8" ht="13.8" thickBot="1" x14ac:dyDescent="0.3">
      <c r="H7" s="892" t="s">
        <v>1173</v>
      </c>
    </row>
    <row r="8" spans="1:8" ht="15.6" x14ac:dyDescent="0.25">
      <c r="A8" s="1518" t="s">
        <v>1174</v>
      </c>
      <c r="B8" s="1519"/>
      <c r="C8" s="1519"/>
      <c r="D8" s="1520"/>
      <c r="E8" s="1521" t="s">
        <v>1175</v>
      </c>
      <c r="F8" s="1522"/>
      <c r="G8" s="1522"/>
      <c r="H8" s="1523"/>
    </row>
    <row r="9" spans="1:8" x14ac:dyDescent="0.25">
      <c r="A9" s="893"/>
      <c r="B9" s="894" t="s">
        <v>473</v>
      </c>
      <c r="C9" s="895" t="s">
        <v>493</v>
      </c>
      <c r="D9" s="894" t="s">
        <v>493</v>
      </c>
      <c r="E9" s="893"/>
      <c r="F9" s="894" t="s">
        <v>473</v>
      </c>
      <c r="G9" s="895" t="s">
        <v>493</v>
      </c>
      <c r="H9" s="894" t="s">
        <v>493</v>
      </c>
    </row>
    <row r="10" spans="1:8" x14ac:dyDescent="0.25">
      <c r="A10" s="896" t="s">
        <v>366</v>
      </c>
      <c r="B10" s="894" t="s">
        <v>1176</v>
      </c>
      <c r="C10" s="895" t="s">
        <v>1177</v>
      </c>
      <c r="D10" s="894" t="s">
        <v>1176</v>
      </c>
      <c r="E10" s="896" t="s">
        <v>366</v>
      </c>
      <c r="F10" s="894" t="s">
        <v>1176</v>
      </c>
      <c r="G10" s="895" t="s">
        <v>1177</v>
      </c>
      <c r="H10" s="894" t="s">
        <v>1176</v>
      </c>
    </row>
    <row r="11" spans="1:8" x14ac:dyDescent="0.25">
      <c r="A11" s="897"/>
      <c r="B11" s="898"/>
      <c r="C11" s="899"/>
      <c r="D11" s="898"/>
      <c r="E11" s="897"/>
      <c r="F11" s="898"/>
      <c r="G11" s="900"/>
      <c r="H11" s="898"/>
    </row>
    <row r="12" spans="1:8" x14ac:dyDescent="0.25">
      <c r="A12" s="901" t="s">
        <v>1178</v>
      </c>
      <c r="B12" s="902">
        <v>623149</v>
      </c>
      <c r="C12" s="903">
        <v>609944</v>
      </c>
      <c r="D12" s="902">
        <v>609818</v>
      </c>
      <c r="E12" s="904" t="s">
        <v>1179</v>
      </c>
      <c r="F12" s="902">
        <v>424066</v>
      </c>
      <c r="G12" s="903">
        <v>442390</v>
      </c>
      <c r="H12" s="902">
        <v>439918</v>
      </c>
    </row>
    <row r="13" spans="1:8" x14ac:dyDescent="0.25">
      <c r="A13" s="901"/>
      <c r="B13" s="902"/>
      <c r="C13" s="903"/>
      <c r="D13" s="902"/>
      <c r="E13" s="904"/>
      <c r="F13" s="902"/>
      <c r="G13" s="903"/>
      <c r="H13" s="902"/>
    </row>
    <row r="14" spans="1:8" x14ac:dyDescent="0.25">
      <c r="A14" s="901" t="s">
        <v>1180</v>
      </c>
      <c r="B14" s="902">
        <v>245141</v>
      </c>
      <c r="C14" s="903">
        <v>274449</v>
      </c>
      <c r="D14" s="902">
        <v>274433</v>
      </c>
      <c r="E14" s="904" t="s">
        <v>1181</v>
      </c>
      <c r="F14" s="902">
        <v>83597</v>
      </c>
      <c r="G14" s="903">
        <v>83075</v>
      </c>
      <c r="H14" s="902">
        <v>82750</v>
      </c>
    </row>
    <row r="15" spans="1:8" x14ac:dyDescent="0.25">
      <c r="A15" s="901"/>
      <c r="B15" s="902"/>
      <c r="C15" s="903"/>
      <c r="D15" s="902"/>
      <c r="E15" s="904"/>
      <c r="F15" s="902"/>
      <c r="G15" s="903"/>
      <c r="H15" s="902"/>
    </row>
    <row r="16" spans="1:8" x14ac:dyDescent="0.25">
      <c r="A16" s="901" t="s">
        <v>1182</v>
      </c>
      <c r="B16" s="902">
        <v>110160</v>
      </c>
      <c r="C16" s="903">
        <v>361512</v>
      </c>
      <c r="D16" s="902">
        <v>364307</v>
      </c>
      <c r="E16" s="904" t="s">
        <v>1183</v>
      </c>
      <c r="F16" s="902">
        <v>346064</v>
      </c>
      <c r="G16" s="903">
        <v>327881</v>
      </c>
      <c r="H16" s="902">
        <v>301426</v>
      </c>
    </row>
    <row r="17" spans="1:8" x14ac:dyDescent="0.25">
      <c r="A17" s="901"/>
      <c r="B17" s="902"/>
      <c r="C17" s="903"/>
      <c r="D17" s="902"/>
      <c r="E17" s="904" t="s">
        <v>1184</v>
      </c>
      <c r="F17" s="902">
        <v>22054</v>
      </c>
      <c r="G17" s="903">
        <v>20200</v>
      </c>
      <c r="H17" s="902">
        <v>13764</v>
      </c>
    </row>
    <row r="18" spans="1:8" x14ac:dyDescent="0.25">
      <c r="A18" s="905" t="s">
        <v>1185</v>
      </c>
      <c r="B18" s="902">
        <v>60</v>
      </c>
      <c r="C18" s="903">
        <v>10038</v>
      </c>
      <c r="D18" s="902">
        <v>0</v>
      </c>
      <c r="E18" s="905" t="s">
        <v>1186</v>
      </c>
      <c r="F18" s="902">
        <v>130328</v>
      </c>
      <c r="G18" s="903">
        <v>141694</v>
      </c>
      <c r="H18" s="902">
        <v>136018</v>
      </c>
    </row>
    <row r="19" spans="1:8" x14ac:dyDescent="0.25">
      <c r="A19" s="901"/>
      <c r="B19" s="902"/>
      <c r="C19" s="903"/>
      <c r="D19" s="902"/>
      <c r="E19" s="906" t="s">
        <v>1187</v>
      </c>
      <c r="F19" s="907">
        <v>0</v>
      </c>
      <c r="G19" s="908">
        <v>5000</v>
      </c>
      <c r="H19" s="907">
        <v>0</v>
      </c>
    </row>
    <row r="20" spans="1:8" ht="15.6" x14ac:dyDescent="0.3">
      <c r="A20" s="909" t="s">
        <v>1188</v>
      </c>
      <c r="B20" s="910">
        <f>B12+B14+B16+B18</f>
        <v>978510</v>
      </c>
      <c r="C20" s="911">
        <f>C12+C14+C16+C18</f>
        <v>1255943</v>
      </c>
      <c r="D20" s="910">
        <f>D12+D14+D16+D18</f>
        <v>1248558</v>
      </c>
      <c r="E20" s="909" t="s">
        <v>1189</v>
      </c>
      <c r="F20" s="910">
        <f>F12+F14+F16+F17+F18</f>
        <v>1006109</v>
      </c>
      <c r="G20" s="911">
        <f>G12+G14+G16+G17+G18</f>
        <v>1015240</v>
      </c>
      <c r="H20" s="910">
        <f>H12+H14+H16+H17+H18-H19</f>
        <v>973876</v>
      </c>
    </row>
    <row r="21" spans="1:8" x14ac:dyDescent="0.25">
      <c r="A21" s="912" t="s">
        <v>1190</v>
      </c>
      <c r="B21" s="913">
        <f>B20-F20</f>
        <v>-27599</v>
      </c>
      <c r="C21" s="913">
        <f>C20-G20</f>
        <v>240703</v>
      </c>
      <c r="D21" s="914">
        <f>D20-H20</f>
        <v>274682</v>
      </c>
      <c r="E21" s="905" t="s">
        <v>1191</v>
      </c>
      <c r="F21" s="902">
        <v>0</v>
      </c>
      <c r="G21" s="915">
        <v>0</v>
      </c>
      <c r="H21" s="902">
        <v>0</v>
      </c>
    </row>
    <row r="22" spans="1:8" x14ac:dyDescent="0.25">
      <c r="A22" s="901" t="s">
        <v>1385</v>
      </c>
      <c r="B22" s="902">
        <f>SUM(B23:B25)</f>
        <v>474597</v>
      </c>
      <c r="C22" s="915">
        <f>SUM(C23:C25)</f>
        <v>424460</v>
      </c>
      <c r="D22" s="902">
        <f>SUM(D23:D25)</f>
        <v>445753</v>
      </c>
      <c r="E22" s="904" t="s">
        <v>198</v>
      </c>
      <c r="F22" s="916">
        <f>SUM(F23:F24)</f>
        <v>18663</v>
      </c>
      <c r="G22" s="903">
        <f>SUM(G23:G24)</f>
        <v>17919</v>
      </c>
      <c r="H22" s="916">
        <f>SUM(H23:H24)</f>
        <v>17919</v>
      </c>
    </row>
    <row r="23" spans="1:8" x14ac:dyDescent="0.25">
      <c r="A23" s="897" t="s">
        <v>1192</v>
      </c>
      <c r="B23" s="898">
        <v>0</v>
      </c>
      <c r="C23" s="917">
        <v>0</v>
      </c>
      <c r="D23" s="898">
        <v>0</v>
      </c>
      <c r="E23" s="918" t="s">
        <v>1193</v>
      </c>
      <c r="F23" s="898">
        <v>0</v>
      </c>
      <c r="G23" s="917">
        <v>0</v>
      </c>
      <c r="H23" s="898">
        <v>0</v>
      </c>
    </row>
    <row r="24" spans="1:8" x14ac:dyDescent="0.25">
      <c r="A24" s="897" t="s">
        <v>1194</v>
      </c>
      <c r="B24" s="898">
        <v>456678</v>
      </c>
      <c r="C24" s="917">
        <v>424460</v>
      </c>
      <c r="D24" s="898">
        <v>424460</v>
      </c>
      <c r="E24" s="919" t="s">
        <v>1195</v>
      </c>
      <c r="F24" s="898">
        <v>18663</v>
      </c>
      <c r="G24" s="917">
        <v>17919</v>
      </c>
      <c r="H24" s="898">
        <v>17919</v>
      </c>
    </row>
    <row r="25" spans="1:8" x14ac:dyDescent="0.25">
      <c r="A25" s="897" t="s">
        <v>1196</v>
      </c>
      <c r="B25" s="898">
        <v>17919</v>
      </c>
      <c r="C25" s="917">
        <v>0</v>
      </c>
      <c r="D25" s="898">
        <v>21293</v>
      </c>
      <c r="E25" s="904"/>
      <c r="F25" s="902"/>
      <c r="G25" s="903"/>
      <c r="H25" s="902"/>
    </row>
    <row r="26" spans="1:8" x14ac:dyDescent="0.25">
      <c r="A26" s="897"/>
      <c r="B26" s="898"/>
      <c r="C26" s="917"/>
      <c r="D26" s="898"/>
      <c r="E26" s="919"/>
      <c r="F26" s="898"/>
      <c r="G26" s="917"/>
      <c r="H26" s="898"/>
    </row>
    <row r="27" spans="1:8" ht="13.8" thickBot="1" x14ac:dyDescent="0.3">
      <c r="A27" s="920" t="s">
        <v>1197</v>
      </c>
      <c r="B27" s="921">
        <f>B20+B22</f>
        <v>1453107</v>
      </c>
      <c r="C27" s="922">
        <f>C20+C22</f>
        <v>1680403</v>
      </c>
      <c r="D27" s="921">
        <f>D20+D22</f>
        <v>1694311</v>
      </c>
      <c r="E27" s="923" t="s">
        <v>1198</v>
      </c>
      <c r="F27" s="921">
        <f>F20+F22</f>
        <v>1024772</v>
      </c>
      <c r="G27" s="922">
        <f>G20+G21+G22</f>
        <v>1033159</v>
      </c>
      <c r="H27" s="921">
        <f>H20+H22</f>
        <v>991795</v>
      </c>
    </row>
    <row r="28" spans="1:8" x14ac:dyDescent="0.25">
      <c r="A28" s="924" t="s">
        <v>1190</v>
      </c>
      <c r="B28" s="925">
        <f>B27-F27</f>
        <v>428335</v>
      </c>
      <c r="C28" s="925">
        <f>C27-G27</f>
        <v>647244</v>
      </c>
      <c r="D28" s="925">
        <f>D27-H27</f>
        <v>702516</v>
      </c>
      <c r="E28" s="926"/>
      <c r="F28" s="927"/>
      <c r="G28" s="928"/>
      <c r="H28" s="929"/>
    </row>
    <row r="29" spans="1:8" ht="13.8" thickBot="1" x14ac:dyDescent="0.3">
      <c r="A29" s="930"/>
      <c r="B29" s="46"/>
      <c r="C29" s="46"/>
      <c r="D29" s="46"/>
      <c r="E29" s="46"/>
      <c r="F29" s="46"/>
      <c r="G29" s="46"/>
      <c r="H29" s="931"/>
    </row>
    <row r="30" spans="1:8" ht="13.8" thickBot="1" x14ac:dyDescent="0.3">
      <c r="A30" s="932" t="s">
        <v>1199</v>
      </c>
      <c r="B30" s="933">
        <f>+B27+'23_Felhalm. mérleg'!B23</f>
        <v>1695546</v>
      </c>
      <c r="C30" s="933">
        <f>+C27+'23_Felhalm. mérleg'!C23</f>
        <v>1961864</v>
      </c>
      <c r="D30" s="933">
        <f>+D27+'23_Felhalm. mérleg'!D23</f>
        <v>1878462</v>
      </c>
      <c r="E30" s="934" t="s">
        <v>1200</v>
      </c>
      <c r="F30" s="933">
        <f>+F27+'23_Felhalm. mérleg'!F23</f>
        <v>1271085</v>
      </c>
      <c r="G30" s="933">
        <f>+G27+'23_Felhalm. mérleg'!G23</f>
        <v>1961864</v>
      </c>
      <c r="H30" s="935">
        <f>+H27+'23_Felhalm. mérleg'!H23</f>
        <v>1453175</v>
      </c>
    </row>
    <row r="32" spans="1:8" x14ac:dyDescent="0.25">
      <c r="C32" s="122"/>
      <c r="G32" s="122"/>
    </row>
    <row r="33" spans="4:6" x14ac:dyDescent="0.25">
      <c r="D33" s="574"/>
      <c r="F33" s="122"/>
    </row>
  </sheetData>
  <mergeCells count="6">
    <mergeCell ref="A1:H1"/>
    <mergeCell ref="A3:H3"/>
    <mergeCell ref="A4:H4"/>
    <mergeCell ref="A8:D8"/>
    <mergeCell ref="E8:H8"/>
    <mergeCell ref="A5:H5"/>
  </mergeCells>
  <pageMargins left="0.7" right="0.7" top="0.75" bottom="0.75" header="0.3" footer="0.3"/>
  <pageSetup paperSize="9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D14" sqref="D14"/>
    </sheetView>
  </sheetViews>
  <sheetFormatPr defaultRowHeight="13.2" x14ac:dyDescent="0.25"/>
  <cols>
    <col min="1" max="1" width="40" customWidth="1"/>
    <col min="2" max="2" width="12.6640625" customWidth="1"/>
    <col min="3" max="3" width="11.33203125" customWidth="1"/>
    <col min="4" max="4" width="13.6640625" customWidth="1"/>
    <col min="5" max="5" width="37.88671875" customWidth="1"/>
    <col min="6" max="7" width="8.88671875" customWidth="1"/>
    <col min="8" max="9" width="12.109375" customWidth="1"/>
    <col min="11" max="11" width="13.6640625" bestFit="1" customWidth="1"/>
    <col min="257" max="257" width="40" customWidth="1"/>
    <col min="259" max="259" width="8.6640625" customWidth="1"/>
    <col min="260" max="260" width="9.44140625" customWidth="1"/>
    <col min="261" max="261" width="37.88671875" customWidth="1"/>
    <col min="262" max="263" width="8.88671875" customWidth="1"/>
    <col min="264" max="265" width="12.109375" customWidth="1"/>
    <col min="513" max="513" width="40" customWidth="1"/>
    <col min="515" max="515" width="8.6640625" customWidth="1"/>
    <col min="516" max="516" width="9.44140625" customWidth="1"/>
    <col min="517" max="517" width="37.88671875" customWidth="1"/>
    <col min="518" max="519" width="8.88671875" customWidth="1"/>
    <col min="520" max="521" width="12.109375" customWidth="1"/>
    <col min="769" max="769" width="40" customWidth="1"/>
    <col min="771" max="771" width="8.6640625" customWidth="1"/>
    <col min="772" max="772" width="9.44140625" customWidth="1"/>
    <col min="773" max="773" width="37.88671875" customWidth="1"/>
    <col min="774" max="775" width="8.88671875" customWidth="1"/>
    <col min="776" max="777" width="12.109375" customWidth="1"/>
    <col min="1025" max="1025" width="40" customWidth="1"/>
    <col min="1027" max="1027" width="8.6640625" customWidth="1"/>
    <col min="1028" max="1028" width="9.44140625" customWidth="1"/>
    <col min="1029" max="1029" width="37.88671875" customWidth="1"/>
    <col min="1030" max="1031" width="8.88671875" customWidth="1"/>
    <col min="1032" max="1033" width="12.109375" customWidth="1"/>
    <col min="1281" max="1281" width="40" customWidth="1"/>
    <col min="1283" max="1283" width="8.6640625" customWidth="1"/>
    <col min="1284" max="1284" width="9.44140625" customWidth="1"/>
    <col min="1285" max="1285" width="37.88671875" customWidth="1"/>
    <col min="1286" max="1287" width="8.88671875" customWidth="1"/>
    <col min="1288" max="1289" width="12.109375" customWidth="1"/>
    <col min="1537" max="1537" width="40" customWidth="1"/>
    <col min="1539" max="1539" width="8.6640625" customWidth="1"/>
    <col min="1540" max="1540" width="9.44140625" customWidth="1"/>
    <col min="1541" max="1541" width="37.88671875" customWidth="1"/>
    <col min="1542" max="1543" width="8.88671875" customWidth="1"/>
    <col min="1544" max="1545" width="12.109375" customWidth="1"/>
    <col min="1793" max="1793" width="40" customWidth="1"/>
    <col min="1795" max="1795" width="8.6640625" customWidth="1"/>
    <col min="1796" max="1796" width="9.44140625" customWidth="1"/>
    <col min="1797" max="1797" width="37.88671875" customWidth="1"/>
    <col min="1798" max="1799" width="8.88671875" customWidth="1"/>
    <col min="1800" max="1801" width="12.109375" customWidth="1"/>
    <col min="2049" max="2049" width="40" customWidth="1"/>
    <col min="2051" max="2051" width="8.6640625" customWidth="1"/>
    <col min="2052" max="2052" width="9.44140625" customWidth="1"/>
    <col min="2053" max="2053" width="37.88671875" customWidth="1"/>
    <col min="2054" max="2055" width="8.88671875" customWidth="1"/>
    <col min="2056" max="2057" width="12.109375" customWidth="1"/>
    <col min="2305" max="2305" width="40" customWidth="1"/>
    <col min="2307" max="2307" width="8.6640625" customWidth="1"/>
    <col min="2308" max="2308" width="9.44140625" customWidth="1"/>
    <col min="2309" max="2309" width="37.88671875" customWidth="1"/>
    <col min="2310" max="2311" width="8.88671875" customWidth="1"/>
    <col min="2312" max="2313" width="12.109375" customWidth="1"/>
    <col min="2561" max="2561" width="40" customWidth="1"/>
    <col min="2563" max="2563" width="8.6640625" customWidth="1"/>
    <col min="2564" max="2564" width="9.44140625" customWidth="1"/>
    <col min="2565" max="2565" width="37.88671875" customWidth="1"/>
    <col min="2566" max="2567" width="8.88671875" customWidth="1"/>
    <col min="2568" max="2569" width="12.109375" customWidth="1"/>
    <col min="2817" max="2817" width="40" customWidth="1"/>
    <col min="2819" max="2819" width="8.6640625" customWidth="1"/>
    <col min="2820" max="2820" width="9.44140625" customWidth="1"/>
    <col min="2821" max="2821" width="37.88671875" customWidth="1"/>
    <col min="2822" max="2823" width="8.88671875" customWidth="1"/>
    <col min="2824" max="2825" width="12.109375" customWidth="1"/>
    <col min="3073" max="3073" width="40" customWidth="1"/>
    <col min="3075" max="3075" width="8.6640625" customWidth="1"/>
    <col min="3076" max="3076" width="9.44140625" customWidth="1"/>
    <col min="3077" max="3077" width="37.88671875" customWidth="1"/>
    <col min="3078" max="3079" width="8.88671875" customWidth="1"/>
    <col min="3080" max="3081" width="12.109375" customWidth="1"/>
    <col min="3329" max="3329" width="40" customWidth="1"/>
    <col min="3331" max="3331" width="8.6640625" customWidth="1"/>
    <col min="3332" max="3332" width="9.44140625" customWidth="1"/>
    <col min="3333" max="3333" width="37.88671875" customWidth="1"/>
    <col min="3334" max="3335" width="8.88671875" customWidth="1"/>
    <col min="3336" max="3337" width="12.109375" customWidth="1"/>
    <col min="3585" max="3585" width="40" customWidth="1"/>
    <col min="3587" max="3587" width="8.6640625" customWidth="1"/>
    <col min="3588" max="3588" width="9.44140625" customWidth="1"/>
    <col min="3589" max="3589" width="37.88671875" customWidth="1"/>
    <col min="3590" max="3591" width="8.88671875" customWidth="1"/>
    <col min="3592" max="3593" width="12.109375" customWidth="1"/>
    <col min="3841" max="3841" width="40" customWidth="1"/>
    <col min="3843" max="3843" width="8.6640625" customWidth="1"/>
    <col min="3844" max="3844" width="9.44140625" customWidth="1"/>
    <col min="3845" max="3845" width="37.88671875" customWidth="1"/>
    <col min="3846" max="3847" width="8.88671875" customWidth="1"/>
    <col min="3848" max="3849" width="12.109375" customWidth="1"/>
    <col min="4097" max="4097" width="40" customWidth="1"/>
    <col min="4099" max="4099" width="8.6640625" customWidth="1"/>
    <col min="4100" max="4100" width="9.44140625" customWidth="1"/>
    <col min="4101" max="4101" width="37.88671875" customWidth="1"/>
    <col min="4102" max="4103" width="8.88671875" customWidth="1"/>
    <col min="4104" max="4105" width="12.109375" customWidth="1"/>
    <col min="4353" max="4353" width="40" customWidth="1"/>
    <col min="4355" max="4355" width="8.6640625" customWidth="1"/>
    <col min="4356" max="4356" width="9.44140625" customWidth="1"/>
    <col min="4357" max="4357" width="37.88671875" customWidth="1"/>
    <col min="4358" max="4359" width="8.88671875" customWidth="1"/>
    <col min="4360" max="4361" width="12.109375" customWidth="1"/>
    <col min="4609" max="4609" width="40" customWidth="1"/>
    <col min="4611" max="4611" width="8.6640625" customWidth="1"/>
    <col min="4612" max="4612" width="9.44140625" customWidth="1"/>
    <col min="4613" max="4613" width="37.88671875" customWidth="1"/>
    <col min="4614" max="4615" width="8.88671875" customWidth="1"/>
    <col min="4616" max="4617" width="12.109375" customWidth="1"/>
    <col min="4865" max="4865" width="40" customWidth="1"/>
    <col min="4867" max="4867" width="8.6640625" customWidth="1"/>
    <col min="4868" max="4868" width="9.44140625" customWidth="1"/>
    <col min="4869" max="4869" width="37.88671875" customWidth="1"/>
    <col min="4870" max="4871" width="8.88671875" customWidth="1"/>
    <col min="4872" max="4873" width="12.109375" customWidth="1"/>
    <col min="5121" max="5121" width="40" customWidth="1"/>
    <col min="5123" max="5123" width="8.6640625" customWidth="1"/>
    <col min="5124" max="5124" width="9.44140625" customWidth="1"/>
    <col min="5125" max="5125" width="37.88671875" customWidth="1"/>
    <col min="5126" max="5127" width="8.88671875" customWidth="1"/>
    <col min="5128" max="5129" width="12.109375" customWidth="1"/>
    <col min="5377" max="5377" width="40" customWidth="1"/>
    <col min="5379" max="5379" width="8.6640625" customWidth="1"/>
    <col min="5380" max="5380" width="9.44140625" customWidth="1"/>
    <col min="5381" max="5381" width="37.88671875" customWidth="1"/>
    <col min="5382" max="5383" width="8.88671875" customWidth="1"/>
    <col min="5384" max="5385" width="12.109375" customWidth="1"/>
    <col min="5633" max="5633" width="40" customWidth="1"/>
    <col min="5635" max="5635" width="8.6640625" customWidth="1"/>
    <col min="5636" max="5636" width="9.44140625" customWidth="1"/>
    <col min="5637" max="5637" width="37.88671875" customWidth="1"/>
    <col min="5638" max="5639" width="8.88671875" customWidth="1"/>
    <col min="5640" max="5641" width="12.109375" customWidth="1"/>
    <col min="5889" max="5889" width="40" customWidth="1"/>
    <col min="5891" max="5891" width="8.6640625" customWidth="1"/>
    <col min="5892" max="5892" width="9.44140625" customWidth="1"/>
    <col min="5893" max="5893" width="37.88671875" customWidth="1"/>
    <col min="5894" max="5895" width="8.88671875" customWidth="1"/>
    <col min="5896" max="5897" width="12.109375" customWidth="1"/>
    <col min="6145" max="6145" width="40" customWidth="1"/>
    <col min="6147" max="6147" width="8.6640625" customWidth="1"/>
    <col min="6148" max="6148" width="9.44140625" customWidth="1"/>
    <col min="6149" max="6149" width="37.88671875" customWidth="1"/>
    <col min="6150" max="6151" width="8.88671875" customWidth="1"/>
    <col min="6152" max="6153" width="12.109375" customWidth="1"/>
    <col min="6401" max="6401" width="40" customWidth="1"/>
    <col min="6403" max="6403" width="8.6640625" customWidth="1"/>
    <col min="6404" max="6404" width="9.44140625" customWidth="1"/>
    <col min="6405" max="6405" width="37.88671875" customWidth="1"/>
    <col min="6406" max="6407" width="8.88671875" customWidth="1"/>
    <col min="6408" max="6409" width="12.109375" customWidth="1"/>
    <col min="6657" max="6657" width="40" customWidth="1"/>
    <col min="6659" max="6659" width="8.6640625" customWidth="1"/>
    <col min="6660" max="6660" width="9.44140625" customWidth="1"/>
    <col min="6661" max="6661" width="37.88671875" customWidth="1"/>
    <col min="6662" max="6663" width="8.88671875" customWidth="1"/>
    <col min="6664" max="6665" width="12.109375" customWidth="1"/>
    <col min="6913" max="6913" width="40" customWidth="1"/>
    <col min="6915" max="6915" width="8.6640625" customWidth="1"/>
    <col min="6916" max="6916" width="9.44140625" customWidth="1"/>
    <col min="6917" max="6917" width="37.88671875" customWidth="1"/>
    <col min="6918" max="6919" width="8.88671875" customWidth="1"/>
    <col min="6920" max="6921" width="12.109375" customWidth="1"/>
    <col min="7169" max="7169" width="40" customWidth="1"/>
    <col min="7171" max="7171" width="8.6640625" customWidth="1"/>
    <col min="7172" max="7172" width="9.44140625" customWidth="1"/>
    <col min="7173" max="7173" width="37.88671875" customWidth="1"/>
    <col min="7174" max="7175" width="8.88671875" customWidth="1"/>
    <col min="7176" max="7177" width="12.109375" customWidth="1"/>
    <col min="7425" max="7425" width="40" customWidth="1"/>
    <col min="7427" max="7427" width="8.6640625" customWidth="1"/>
    <col min="7428" max="7428" width="9.44140625" customWidth="1"/>
    <col min="7429" max="7429" width="37.88671875" customWidth="1"/>
    <col min="7430" max="7431" width="8.88671875" customWidth="1"/>
    <col min="7432" max="7433" width="12.109375" customWidth="1"/>
    <col min="7681" max="7681" width="40" customWidth="1"/>
    <col min="7683" max="7683" width="8.6640625" customWidth="1"/>
    <col min="7684" max="7684" width="9.44140625" customWidth="1"/>
    <col min="7685" max="7685" width="37.88671875" customWidth="1"/>
    <col min="7686" max="7687" width="8.88671875" customWidth="1"/>
    <col min="7688" max="7689" width="12.109375" customWidth="1"/>
    <col min="7937" max="7937" width="40" customWidth="1"/>
    <col min="7939" max="7939" width="8.6640625" customWidth="1"/>
    <col min="7940" max="7940" width="9.44140625" customWidth="1"/>
    <col min="7941" max="7941" width="37.88671875" customWidth="1"/>
    <col min="7942" max="7943" width="8.88671875" customWidth="1"/>
    <col min="7944" max="7945" width="12.109375" customWidth="1"/>
    <col min="8193" max="8193" width="40" customWidth="1"/>
    <col min="8195" max="8195" width="8.6640625" customWidth="1"/>
    <col min="8196" max="8196" width="9.44140625" customWidth="1"/>
    <col min="8197" max="8197" width="37.88671875" customWidth="1"/>
    <col min="8198" max="8199" width="8.88671875" customWidth="1"/>
    <col min="8200" max="8201" width="12.109375" customWidth="1"/>
    <col min="8449" max="8449" width="40" customWidth="1"/>
    <col min="8451" max="8451" width="8.6640625" customWidth="1"/>
    <col min="8452" max="8452" width="9.44140625" customWidth="1"/>
    <col min="8453" max="8453" width="37.88671875" customWidth="1"/>
    <col min="8454" max="8455" width="8.88671875" customWidth="1"/>
    <col min="8456" max="8457" width="12.109375" customWidth="1"/>
    <col min="8705" max="8705" width="40" customWidth="1"/>
    <col min="8707" max="8707" width="8.6640625" customWidth="1"/>
    <col min="8708" max="8708" width="9.44140625" customWidth="1"/>
    <col min="8709" max="8709" width="37.88671875" customWidth="1"/>
    <col min="8710" max="8711" width="8.88671875" customWidth="1"/>
    <col min="8712" max="8713" width="12.109375" customWidth="1"/>
    <col min="8961" max="8961" width="40" customWidth="1"/>
    <col min="8963" max="8963" width="8.6640625" customWidth="1"/>
    <col min="8964" max="8964" width="9.44140625" customWidth="1"/>
    <col min="8965" max="8965" width="37.88671875" customWidth="1"/>
    <col min="8966" max="8967" width="8.88671875" customWidth="1"/>
    <col min="8968" max="8969" width="12.109375" customWidth="1"/>
    <col min="9217" max="9217" width="40" customWidth="1"/>
    <col min="9219" max="9219" width="8.6640625" customWidth="1"/>
    <col min="9220" max="9220" width="9.44140625" customWidth="1"/>
    <col min="9221" max="9221" width="37.88671875" customWidth="1"/>
    <col min="9222" max="9223" width="8.88671875" customWidth="1"/>
    <col min="9224" max="9225" width="12.109375" customWidth="1"/>
    <col min="9473" max="9473" width="40" customWidth="1"/>
    <col min="9475" max="9475" width="8.6640625" customWidth="1"/>
    <col min="9476" max="9476" width="9.44140625" customWidth="1"/>
    <col min="9477" max="9477" width="37.88671875" customWidth="1"/>
    <col min="9478" max="9479" width="8.88671875" customWidth="1"/>
    <col min="9480" max="9481" width="12.109375" customWidth="1"/>
    <col min="9729" max="9729" width="40" customWidth="1"/>
    <col min="9731" max="9731" width="8.6640625" customWidth="1"/>
    <col min="9732" max="9732" width="9.44140625" customWidth="1"/>
    <col min="9733" max="9733" width="37.88671875" customWidth="1"/>
    <col min="9734" max="9735" width="8.88671875" customWidth="1"/>
    <col min="9736" max="9737" width="12.109375" customWidth="1"/>
    <col min="9985" max="9985" width="40" customWidth="1"/>
    <col min="9987" max="9987" width="8.6640625" customWidth="1"/>
    <col min="9988" max="9988" width="9.44140625" customWidth="1"/>
    <col min="9989" max="9989" width="37.88671875" customWidth="1"/>
    <col min="9990" max="9991" width="8.88671875" customWidth="1"/>
    <col min="9992" max="9993" width="12.109375" customWidth="1"/>
    <col min="10241" max="10241" width="40" customWidth="1"/>
    <col min="10243" max="10243" width="8.6640625" customWidth="1"/>
    <col min="10244" max="10244" width="9.44140625" customWidth="1"/>
    <col min="10245" max="10245" width="37.88671875" customWidth="1"/>
    <col min="10246" max="10247" width="8.88671875" customWidth="1"/>
    <col min="10248" max="10249" width="12.109375" customWidth="1"/>
    <col min="10497" max="10497" width="40" customWidth="1"/>
    <col min="10499" max="10499" width="8.6640625" customWidth="1"/>
    <col min="10500" max="10500" width="9.44140625" customWidth="1"/>
    <col min="10501" max="10501" width="37.88671875" customWidth="1"/>
    <col min="10502" max="10503" width="8.88671875" customWidth="1"/>
    <col min="10504" max="10505" width="12.109375" customWidth="1"/>
    <col min="10753" max="10753" width="40" customWidth="1"/>
    <col min="10755" max="10755" width="8.6640625" customWidth="1"/>
    <col min="10756" max="10756" width="9.44140625" customWidth="1"/>
    <col min="10757" max="10757" width="37.88671875" customWidth="1"/>
    <col min="10758" max="10759" width="8.88671875" customWidth="1"/>
    <col min="10760" max="10761" width="12.109375" customWidth="1"/>
    <col min="11009" max="11009" width="40" customWidth="1"/>
    <col min="11011" max="11011" width="8.6640625" customWidth="1"/>
    <col min="11012" max="11012" width="9.44140625" customWidth="1"/>
    <col min="11013" max="11013" width="37.88671875" customWidth="1"/>
    <col min="11014" max="11015" width="8.88671875" customWidth="1"/>
    <col min="11016" max="11017" width="12.109375" customWidth="1"/>
    <col min="11265" max="11265" width="40" customWidth="1"/>
    <col min="11267" max="11267" width="8.6640625" customWidth="1"/>
    <col min="11268" max="11268" width="9.44140625" customWidth="1"/>
    <col min="11269" max="11269" width="37.88671875" customWidth="1"/>
    <col min="11270" max="11271" width="8.88671875" customWidth="1"/>
    <col min="11272" max="11273" width="12.109375" customWidth="1"/>
    <col min="11521" max="11521" width="40" customWidth="1"/>
    <col min="11523" max="11523" width="8.6640625" customWidth="1"/>
    <col min="11524" max="11524" width="9.44140625" customWidth="1"/>
    <col min="11525" max="11525" width="37.88671875" customWidth="1"/>
    <col min="11526" max="11527" width="8.88671875" customWidth="1"/>
    <col min="11528" max="11529" width="12.109375" customWidth="1"/>
    <col min="11777" max="11777" width="40" customWidth="1"/>
    <col min="11779" max="11779" width="8.6640625" customWidth="1"/>
    <col min="11780" max="11780" width="9.44140625" customWidth="1"/>
    <col min="11781" max="11781" width="37.88671875" customWidth="1"/>
    <col min="11782" max="11783" width="8.88671875" customWidth="1"/>
    <col min="11784" max="11785" width="12.109375" customWidth="1"/>
    <col min="12033" max="12033" width="40" customWidth="1"/>
    <col min="12035" max="12035" width="8.6640625" customWidth="1"/>
    <col min="12036" max="12036" width="9.44140625" customWidth="1"/>
    <col min="12037" max="12037" width="37.88671875" customWidth="1"/>
    <col min="12038" max="12039" width="8.88671875" customWidth="1"/>
    <col min="12040" max="12041" width="12.109375" customWidth="1"/>
    <col min="12289" max="12289" width="40" customWidth="1"/>
    <col min="12291" max="12291" width="8.6640625" customWidth="1"/>
    <col min="12292" max="12292" width="9.44140625" customWidth="1"/>
    <col min="12293" max="12293" width="37.88671875" customWidth="1"/>
    <col min="12294" max="12295" width="8.88671875" customWidth="1"/>
    <col min="12296" max="12297" width="12.109375" customWidth="1"/>
    <col min="12545" max="12545" width="40" customWidth="1"/>
    <col min="12547" max="12547" width="8.6640625" customWidth="1"/>
    <col min="12548" max="12548" width="9.44140625" customWidth="1"/>
    <col min="12549" max="12549" width="37.88671875" customWidth="1"/>
    <col min="12550" max="12551" width="8.88671875" customWidth="1"/>
    <col min="12552" max="12553" width="12.109375" customWidth="1"/>
    <col min="12801" max="12801" width="40" customWidth="1"/>
    <col min="12803" max="12803" width="8.6640625" customWidth="1"/>
    <col min="12804" max="12804" width="9.44140625" customWidth="1"/>
    <col min="12805" max="12805" width="37.88671875" customWidth="1"/>
    <col min="12806" max="12807" width="8.88671875" customWidth="1"/>
    <col min="12808" max="12809" width="12.109375" customWidth="1"/>
    <col min="13057" max="13057" width="40" customWidth="1"/>
    <col min="13059" max="13059" width="8.6640625" customWidth="1"/>
    <col min="13060" max="13060" width="9.44140625" customWidth="1"/>
    <col min="13061" max="13061" width="37.88671875" customWidth="1"/>
    <col min="13062" max="13063" width="8.88671875" customWidth="1"/>
    <col min="13064" max="13065" width="12.109375" customWidth="1"/>
    <col min="13313" max="13313" width="40" customWidth="1"/>
    <col min="13315" max="13315" width="8.6640625" customWidth="1"/>
    <col min="13316" max="13316" width="9.44140625" customWidth="1"/>
    <col min="13317" max="13317" width="37.88671875" customWidth="1"/>
    <col min="13318" max="13319" width="8.88671875" customWidth="1"/>
    <col min="13320" max="13321" width="12.109375" customWidth="1"/>
    <col min="13569" max="13569" width="40" customWidth="1"/>
    <col min="13571" max="13571" width="8.6640625" customWidth="1"/>
    <col min="13572" max="13572" width="9.44140625" customWidth="1"/>
    <col min="13573" max="13573" width="37.88671875" customWidth="1"/>
    <col min="13574" max="13575" width="8.88671875" customWidth="1"/>
    <col min="13576" max="13577" width="12.109375" customWidth="1"/>
    <col min="13825" max="13825" width="40" customWidth="1"/>
    <col min="13827" max="13827" width="8.6640625" customWidth="1"/>
    <col min="13828" max="13828" width="9.44140625" customWidth="1"/>
    <col min="13829" max="13829" width="37.88671875" customWidth="1"/>
    <col min="13830" max="13831" width="8.88671875" customWidth="1"/>
    <col min="13832" max="13833" width="12.109375" customWidth="1"/>
    <col min="14081" max="14081" width="40" customWidth="1"/>
    <col min="14083" max="14083" width="8.6640625" customWidth="1"/>
    <col min="14084" max="14084" width="9.44140625" customWidth="1"/>
    <col min="14085" max="14085" width="37.88671875" customWidth="1"/>
    <col min="14086" max="14087" width="8.88671875" customWidth="1"/>
    <col min="14088" max="14089" width="12.109375" customWidth="1"/>
    <col min="14337" max="14337" width="40" customWidth="1"/>
    <col min="14339" max="14339" width="8.6640625" customWidth="1"/>
    <col min="14340" max="14340" width="9.44140625" customWidth="1"/>
    <col min="14341" max="14341" width="37.88671875" customWidth="1"/>
    <col min="14342" max="14343" width="8.88671875" customWidth="1"/>
    <col min="14344" max="14345" width="12.109375" customWidth="1"/>
    <col min="14593" max="14593" width="40" customWidth="1"/>
    <col min="14595" max="14595" width="8.6640625" customWidth="1"/>
    <col min="14596" max="14596" width="9.44140625" customWidth="1"/>
    <col min="14597" max="14597" width="37.88671875" customWidth="1"/>
    <col min="14598" max="14599" width="8.88671875" customWidth="1"/>
    <col min="14600" max="14601" width="12.109375" customWidth="1"/>
    <col min="14849" max="14849" width="40" customWidth="1"/>
    <col min="14851" max="14851" width="8.6640625" customWidth="1"/>
    <col min="14852" max="14852" width="9.44140625" customWidth="1"/>
    <col min="14853" max="14853" width="37.88671875" customWidth="1"/>
    <col min="14854" max="14855" width="8.88671875" customWidth="1"/>
    <col min="14856" max="14857" width="12.109375" customWidth="1"/>
    <col min="15105" max="15105" width="40" customWidth="1"/>
    <col min="15107" max="15107" width="8.6640625" customWidth="1"/>
    <col min="15108" max="15108" width="9.44140625" customWidth="1"/>
    <col min="15109" max="15109" width="37.88671875" customWidth="1"/>
    <col min="15110" max="15111" width="8.88671875" customWidth="1"/>
    <col min="15112" max="15113" width="12.109375" customWidth="1"/>
    <col min="15361" max="15361" width="40" customWidth="1"/>
    <col min="15363" max="15363" width="8.6640625" customWidth="1"/>
    <col min="15364" max="15364" width="9.44140625" customWidth="1"/>
    <col min="15365" max="15365" width="37.88671875" customWidth="1"/>
    <col min="15366" max="15367" width="8.88671875" customWidth="1"/>
    <col min="15368" max="15369" width="12.109375" customWidth="1"/>
    <col min="15617" max="15617" width="40" customWidth="1"/>
    <col min="15619" max="15619" width="8.6640625" customWidth="1"/>
    <col min="15620" max="15620" width="9.44140625" customWidth="1"/>
    <col min="15621" max="15621" width="37.88671875" customWidth="1"/>
    <col min="15622" max="15623" width="8.88671875" customWidth="1"/>
    <col min="15624" max="15625" width="12.109375" customWidth="1"/>
    <col min="15873" max="15873" width="40" customWidth="1"/>
    <col min="15875" max="15875" width="8.6640625" customWidth="1"/>
    <col min="15876" max="15876" width="9.44140625" customWidth="1"/>
    <col min="15877" max="15877" width="37.88671875" customWidth="1"/>
    <col min="15878" max="15879" width="8.88671875" customWidth="1"/>
    <col min="15880" max="15881" width="12.109375" customWidth="1"/>
    <col min="16129" max="16129" width="40" customWidth="1"/>
    <col min="16131" max="16131" width="8.6640625" customWidth="1"/>
    <col min="16132" max="16132" width="9.44140625" customWidth="1"/>
    <col min="16133" max="16133" width="37.88671875" customWidth="1"/>
    <col min="16134" max="16135" width="8.88671875" customWidth="1"/>
    <col min="16136" max="16137" width="12.109375" customWidth="1"/>
  </cols>
  <sheetData>
    <row r="1" spans="1:10" x14ac:dyDescent="0.25">
      <c r="A1" s="1524" t="s">
        <v>477</v>
      </c>
      <c r="B1" s="1524"/>
      <c r="C1" s="1524"/>
      <c r="D1" s="1524"/>
      <c r="E1" s="1524"/>
      <c r="F1" s="1524"/>
      <c r="G1" s="1524"/>
      <c r="H1" s="1524"/>
    </row>
    <row r="2" spans="1:10" x14ac:dyDescent="0.25">
      <c r="A2" s="1524" t="s">
        <v>1214</v>
      </c>
      <c r="B2" s="1524"/>
      <c r="C2" s="1524"/>
      <c r="D2" s="1524"/>
      <c r="E2" s="1524"/>
      <c r="F2" s="1524"/>
      <c r="G2" s="1524"/>
      <c r="H2" s="1524"/>
    </row>
    <row r="3" spans="1:10" x14ac:dyDescent="0.25">
      <c r="A3" s="1524" t="s">
        <v>1233</v>
      </c>
      <c r="B3" s="1524"/>
      <c r="C3" s="1524"/>
      <c r="D3" s="1524"/>
      <c r="E3" s="1524"/>
      <c r="F3" s="1524"/>
      <c r="G3" s="1524"/>
      <c r="H3" s="1524"/>
    </row>
    <row r="4" spans="1:10" x14ac:dyDescent="0.25">
      <c r="A4" s="1002"/>
      <c r="B4" s="1002"/>
      <c r="C4" s="1002"/>
      <c r="D4" s="1002"/>
      <c r="E4" s="1002"/>
      <c r="F4" s="1002"/>
      <c r="G4" s="1002"/>
      <c r="H4" s="1002"/>
    </row>
    <row r="5" spans="1:10" x14ac:dyDescent="0.25">
      <c r="A5" s="1524" t="s">
        <v>1114</v>
      </c>
      <c r="B5" s="1524"/>
      <c r="C5" s="1524"/>
      <c r="D5" s="1524"/>
      <c r="E5" s="1524"/>
      <c r="F5" s="1524"/>
      <c r="G5" s="1524"/>
      <c r="H5" s="1524"/>
    </row>
    <row r="6" spans="1:10" x14ac:dyDescent="0.25">
      <c r="G6" s="953"/>
    </row>
    <row r="7" spans="1:10" ht="13.8" thickBot="1" x14ac:dyDescent="0.3">
      <c r="H7" s="59" t="s">
        <v>1173</v>
      </c>
    </row>
    <row r="8" spans="1:10" ht="13.8" thickBot="1" x14ac:dyDescent="0.3">
      <c r="A8" s="954"/>
      <c r="B8" s="955" t="s">
        <v>1215</v>
      </c>
      <c r="C8" s="956" t="s">
        <v>1216</v>
      </c>
      <c r="D8" s="957" t="s">
        <v>1217</v>
      </c>
      <c r="E8" s="956" t="s">
        <v>1218</v>
      </c>
      <c r="F8" s="956" t="s">
        <v>1219</v>
      </c>
      <c r="G8" s="956"/>
      <c r="H8" s="958"/>
      <c r="I8" s="46"/>
      <c r="J8" s="46"/>
    </row>
    <row r="9" spans="1:10" x14ac:dyDescent="0.25">
      <c r="A9" s="959"/>
      <c r="B9" s="960" t="s">
        <v>473</v>
      </c>
      <c r="C9" s="961" t="s">
        <v>493</v>
      </c>
      <c r="D9" s="962" t="s">
        <v>493</v>
      </c>
      <c r="E9" s="963"/>
      <c r="F9" s="960" t="s">
        <v>473</v>
      </c>
      <c r="G9" s="961" t="s">
        <v>493</v>
      </c>
      <c r="H9" s="962" t="s">
        <v>493</v>
      </c>
      <c r="I9" s="46"/>
      <c r="J9" s="46"/>
    </row>
    <row r="10" spans="1:10" x14ac:dyDescent="0.25">
      <c r="A10" s="896" t="s">
        <v>366</v>
      </c>
      <c r="B10" s="964" t="s">
        <v>1176</v>
      </c>
      <c r="C10" s="895" t="s">
        <v>1177</v>
      </c>
      <c r="D10" s="965" t="s">
        <v>1176</v>
      </c>
      <c r="E10" s="966" t="s">
        <v>366</v>
      </c>
      <c r="F10" s="967" t="s">
        <v>1176</v>
      </c>
      <c r="G10" s="968" t="s">
        <v>1220</v>
      </c>
      <c r="H10" s="969" t="s">
        <v>1176</v>
      </c>
      <c r="I10" s="46"/>
      <c r="J10" s="46"/>
    </row>
    <row r="11" spans="1:10" x14ac:dyDescent="0.25">
      <c r="A11" s="970"/>
      <c r="B11" s="917"/>
      <c r="C11" s="917"/>
      <c r="D11" s="971"/>
      <c r="E11" s="972"/>
      <c r="F11" s="917"/>
      <c r="G11" s="917"/>
      <c r="H11" s="971"/>
      <c r="I11" s="46"/>
      <c r="J11" s="46"/>
    </row>
    <row r="12" spans="1:10" x14ac:dyDescent="0.25">
      <c r="A12" s="901" t="s">
        <v>1221</v>
      </c>
      <c r="B12" s="903">
        <v>220578</v>
      </c>
      <c r="C12" s="903">
        <v>241108</v>
      </c>
      <c r="D12" s="916">
        <v>147169</v>
      </c>
      <c r="E12" s="973" t="s">
        <v>1222</v>
      </c>
      <c r="F12" s="903">
        <v>168757</v>
      </c>
      <c r="G12" s="974">
        <v>665947</v>
      </c>
      <c r="H12" s="916">
        <v>237832</v>
      </c>
      <c r="I12" s="46"/>
      <c r="J12" s="46"/>
    </row>
    <row r="13" spans="1:10" x14ac:dyDescent="0.25">
      <c r="A13" s="901"/>
      <c r="B13" s="903"/>
      <c r="C13" s="903"/>
      <c r="D13" s="916"/>
      <c r="E13" s="973"/>
      <c r="F13" s="903"/>
      <c r="G13" s="974"/>
      <c r="H13" s="916"/>
      <c r="I13" s="46"/>
      <c r="J13" s="46"/>
    </row>
    <row r="14" spans="1:10" x14ac:dyDescent="0.25">
      <c r="A14" s="901" t="s">
        <v>1223</v>
      </c>
      <c r="B14" s="903">
        <v>21217</v>
      </c>
      <c r="C14" s="903">
        <v>40240</v>
      </c>
      <c r="D14" s="916">
        <v>36042</v>
      </c>
      <c r="E14" s="975" t="s">
        <v>1224</v>
      </c>
      <c r="F14" s="915">
        <v>77093</v>
      </c>
      <c r="G14" s="974">
        <v>262758</v>
      </c>
      <c r="H14" s="902">
        <v>223548</v>
      </c>
      <c r="I14" s="46"/>
      <c r="J14" s="46"/>
    </row>
    <row r="15" spans="1:10" x14ac:dyDescent="0.25">
      <c r="A15" s="901"/>
      <c r="B15" s="903"/>
      <c r="C15" s="903"/>
      <c r="D15" s="916"/>
      <c r="E15" s="975"/>
      <c r="F15" s="915"/>
      <c r="G15" s="974"/>
      <c r="H15" s="902"/>
      <c r="I15" s="46"/>
      <c r="J15" s="46"/>
    </row>
    <row r="16" spans="1:10" x14ac:dyDescent="0.25">
      <c r="A16" s="901"/>
      <c r="B16" s="903"/>
      <c r="C16" s="903"/>
      <c r="D16" s="916"/>
      <c r="E16" s="975" t="s">
        <v>1225</v>
      </c>
      <c r="F16" s="915">
        <v>463</v>
      </c>
      <c r="G16" s="976">
        <v>0</v>
      </c>
      <c r="H16" s="902">
        <v>0</v>
      </c>
      <c r="I16" s="46"/>
      <c r="J16" s="46"/>
    </row>
    <row r="17" spans="1:12" ht="26.4" x14ac:dyDescent="0.25">
      <c r="A17" s="977" t="s">
        <v>1226</v>
      </c>
      <c r="B17" s="915">
        <v>644</v>
      </c>
      <c r="C17" s="903">
        <v>113</v>
      </c>
      <c r="D17" s="902">
        <v>940</v>
      </c>
      <c r="E17" s="978"/>
      <c r="F17" s="915">
        <v>0</v>
      </c>
      <c r="G17" s="915">
        <v>0</v>
      </c>
      <c r="H17" s="902">
        <v>0</v>
      </c>
      <c r="I17" s="46"/>
      <c r="J17" s="46"/>
    </row>
    <row r="18" spans="1:12" ht="31.2" x14ac:dyDescent="0.3">
      <c r="A18" s="979" t="s">
        <v>1227</v>
      </c>
      <c r="B18" s="911">
        <f>B12+B14+B17</f>
        <v>242439</v>
      </c>
      <c r="C18" s="911">
        <f>C12+C14+C17</f>
        <v>281461</v>
      </c>
      <c r="D18" s="910">
        <f>D12+D14+D17</f>
        <v>184151</v>
      </c>
      <c r="E18" s="980" t="s">
        <v>1228</v>
      </c>
      <c r="F18" s="911">
        <f>F12+F14+F16+F17</f>
        <v>246313</v>
      </c>
      <c r="G18" s="911">
        <f>G12+G14+G16+G17</f>
        <v>928705</v>
      </c>
      <c r="H18" s="910">
        <f>H12+H14+H16+H17</f>
        <v>461380</v>
      </c>
      <c r="I18" s="46"/>
      <c r="J18" s="46"/>
    </row>
    <row r="19" spans="1:12" x14ac:dyDescent="0.25">
      <c r="A19" s="981" t="s">
        <v>1190</v>
      </c>
      <c r="B19" s="913">
        <f>B18-F18</f>
        <v>-3874</v>
      </c>
      <c r="C19" s="913">
        <f>C18-G18</f>
        <v>-647244</v>
      </c>
      <c r="D19" s="914">
        <f>D18-H18</f>
        <v>-277229</v>
      </c>
      <c r="E19" s="982"/>
      <c r="F19" s="983"/>
      <c r="G19" s="984"/>
      <c r="H19" s="985"/>
      <c r="I19" s="46"/>
      <c r="J19" s="46"/>
    </row>
    <row r="20" spans="1:12" x14ac:dyDescent="0.25">
      <c r="A20" s="986" t="s">
        <v>330</v>
      </c>
      <c r="B20" s="911">
        <f>SUM(B21:B21)</f>
        <v>0</v>
      </c>
      <c r="C20" s="911">
        <f>SUM(C21:C21)</f>
        <v>0</v>
      </c>
      <c r="D20" s="910">
        <f>SUM(D21:D21)</f>
        <v>0</v>
      </c>
      <c r="E20" s="987" t="s">
        <v>1229</v>
      </c>
      <c r="F20" s="911">
        <v>0</v>
      </c>
      <c r="G20" s="911">
        <v>0</v>
      </c>
      <c r="H20" s="910">
        <v>0</v>
      </c>
      <c r="I20" s="46"/>
      <c r="J20" s="46"/>
      <c r="K20" s="574"/>
    </row>
    <row r="21" spans="1:12" x14ac:dyDescent="0.25">
      <c r="A21" s="919" t="s">
        <v>1230</v>
      </c>
      <c r="B21" s="988">
        <v>0</v>
      </c>
      <c r="C21" s="917">
        <v>0</v>
      </c>
      <c r="D21" s="898">
        <v>0</v>
      </c>
      <c r="E21" s="989"/>
      <c r="F21" s="988"/>
      <c r="G21" s="990"/>
      <c r="H21" s="898"/>
    </row>
    <row r="22" spans="1:12" x14ac:dyDescent="0.25">
      <c r="A22" s="919"/>
      <c r="B22" s="988"/>
      <c r="C22" s="988"/>
      <c r="D22" s="898"/>
      <c r="E22" s="989"/>
      <c r="F22" s="988"/>
      <c r="G22" s="990"/>
      <c r="H22" s="898"/>
      <c r="K22" s="2"/>
    </row>
    <row r="23" spans="1:12" x14ac:dyDescent="0.25">
      <c r="A23" s="991" t="s">
        <v>1231</v>
      </c>
      <c r="B23" s="911">
        <f>B18+B20</f>
        <v>242439</v>
      </c>
      <c r="C23" s="911">
        <f>C18+C20</f>
        <v>281461</v>
      </c>
      <c r="D23" s="910">
        <f>D18+D20</f>
        <v>184151</v>
      </c>
      <c r="E23" s="992" t="s">
        <v>1232</v>
      </c>
      <c r="F23" s="911">
        <f>F18+F20</f>
        <v>246313</v>
      </c>
      <c r="G23" s="911">
        <f>G18+G20</f>
        <v>928705</v>
      </c>
      <c r="H23" s="910">
        <f>H18+H20</f>
        <v>461380</v>
      </c>
    </row>
    <row r="24" spans="1:12" ht="13.8" thickBot="1" x14ac:dyDescent="0.3">
      <c r="A24" s="993" t="s">
        <v>1190</v>
      </c>
      <c r="B24" s="994">
        <f>B23-F23</f>
        <v>-3874</v>
      </c>
      <c r="C24" s="995">
        <f>C23-G23</f>
        <v>-647244</v>
      </c>
      <c r="D24" s="996">
        <f>D23-H23</f>
        <v>-277229</v>
      </c>
      <c r="E24" s="997"/>
      <c r="F24" s="998"/>
      <c r="G24" s="999"/>
      <c r="H24" s="1000"/>
      <c r="L24" s="1001"/>
    </row>
    <row r="26" spans="1:12" x14ac:dyDescent="0.25">
      <c r="B26" s="122"/>
      <c r="C26" s="122"/>
      <c r="D26" s="122"/>
    </row>
  </sheetData>
  <mergeCells count="4">
    <mergeCell ref="A1:H1"/>
    <mergeCell ref="A2:H2"/>
    <mergeCell ref="A3:H3"/>
    <mergeCell ref="A5:H5"/>
  </mergeCells>
  <pageMargins left="0.7" right="0.7" top="0.75" bottom="0.75" header="0.3" footer="0.3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opLeftCell="A19" workbookViewId="0">
      <selection activeCell="G57" sqref="G57"/>
    </sheetView>
  </sheetViews>
  <sheetFormatPr defaultColWidth="8.88671875" defaultRowHeight="13.2" x14ac:dyDescent="0.25"/>
  <cols>
    <col min="1" max="1" width="8.109375" style="1003" bestFit="1" customWidth="1"/>
    <col min="2" max="2" width="39" style="1003" bestFit="1" customWidth="1"/>
    <col min="3" max="3" width="51.44140625" style="1003" customWidth="1"/>
    <col min="4" max="4" width="14.6640625" style="1003" customWidth="1"/>
    <col min="5" max="5" width="16.88671875" style="1004" customWidth="1"/>
    <col min="6" max="6" width="8.88671875" style="1003"/>
    <col min="7" max="7" width="10" style="1003" bestFit="1" customWidth="1"/>
    <col min="8" max="16384" width="8.88671875" style="1003"/>
  </cols>
  <sheetData>
    <row r="1" spans="1:5" ht="13.8" customHeight="1" x14ac:dyDescent="0.25"/>
    <row r="2" spans="1:5" ht="24" customHeight="1" x14ac:dyDescent="0.25">
      <c r="A2" s="1525" t="s">
        <v>477</v>
      </c>
      <c r="B2" s="1525"/>
      <c r="C2" s="1525"/>
      <c r="D2" s="1525"/>
      <c r="E2" s="1525"/>
    </row>
    <row r="3" spans="1:5" ht="15" customHeight="1" x14ac:dyDescent="0.25">
      <c r="A3" s="1525" t="s">
        <v>1384</v>
      </c>
      <c r="B3" s="1525"/>
      <c r="C3" s="1525"/>
      <c r="D3" s="1525"/>
      <c r="E3" s="1525"/>
    </row>
    <row r="4" spans="1:5" ht="15" customHeight="1" thickBot="1" x14ac:dyDescent="0.3">
      <c r="A4" s="1074"/>
      <c r="B4" s="1074"/>
      <c r="C4" s="1074"/>
      <c r="D4" s="1074"/>
      <c r="E4" s="1074"/>
    </row>
    <row r="5" spans="1:5" ht="22.8" customHeight="1" thickBot="1" x14ac:dyDescent="0.3">
      <c r="A5" s="1526" t="s">
        <v>1236</v>
      </c>
      <c r="B5" s="1527"/>
      <c r="C5" s="1527"/>
      <c r="D5" s="1527"/>
      <c r="E5" s="1528"/>
    </row>
    <row r="6" spans="1:5" x14ac:dyDescent="0.25">
      <c r="A6" s="1005" t="s">
        <v>778</v>
      </c>
      <c r="B6" s="1006" t="s">
        <v>1237</v>
      </c>
      <c r="C6" s="1006" t="s">
        <v>366</v>
      </c>
      <c r="D6" s="1007" t="s">
        <v>1113</v>
      </c>
      <c r="E6" s="1008" t="s">
        <v>1238</v>
      </c>
    </row>
    <row r="7" spans="1:5" ht="13.2" customHeight="1" x14ac:dyDescent="0.25">
      <c r="A7" s="1009">
        <v>1</v>
      </c>
      <c r="B7" s="1010" t="s">
        <v>1239</v>
      </c>
      <c r="C7" s="1010" t="s">
        <v>1240</v>
      </c>
      <c r="D7" s="1011">
        <v>37772</v>
      </c>
      <c r="E7" s="1012" t="s">
        <v>447</v>
      </c>
    </row>
    <row r="8" spans="1:5" ht="13.2" customHeight="1" x14ac:dyDescent="0.25">
      <c r="A8" s="1009">
        <v>2</v>
      </c>
      <c r="B8" s="1010" t="s">
        <v>1241</v>
      </c>
      <c r="C8" s="1010" t="s">
        <v>1242</v>
      </c>
      <c r="D8" s="1011">
        <v>39110</v>
      </c>
      <c r="E8" s="1012" t="s">
        <v>447</v>
      </c>
    </row>
    <row r="9" spans="1:5" ht="13.2" customHeight="1" x14ac:dyDescent="0.25">
      <c r="A9" s="1009">
        <v>3</v>
      </c>
      <c r="B9" s="1010" t="s">
        <v>1243</v>
      </c>
      <c r="C9" s="1010" t="s">
        <v>1244</v>
      </c>
      <c r="D9" s="1011">
        <v>43228</v>
      </c>
      <c r="E9" s="1012" t="s">
        <v>447</v>
      </c>
    </row>
    <row r="10" spans="1:5" x14ac:dyDescent="0.25">
      <c r="A10" s="1009">
        <v>4</v>
      </c>
      <c r="B10" s="1021" t="s">
        <v>1245</v>
      </c>
      <c r="C10" s="1021" t="s">
        <v>1246</v>
      </c>
      <c r="D10" s="1022">
        <v>43937</v>
      </c>
      <c r="E10" s="1012" t="s">
        <v>447</v>
      </c>
    </row>
    <row r="11" spans="1:5" x14ac:dyDescent="0.25">
      <c r="A11" s="1009">
        <v>5</v>
      </c>
      <c r="B11" s="1021" t="s">
        <v>1247</v>
      </c>
      <c r="C11" s="1021" t="s">
        <v>1248</v>
      </c>
      <c r="D11" s="1022">
        <v>72400</v>
      </c>
      <c r="E11" s="1012" t="s">
        <v>447</v>
      </c>
    </row>
    <row r="12" spans="1:5" ht="13.2" customHeight="1" x14ac:dyDescent="0.25">
      <c r="A12" s="1009"/>
      <c r="B12" s="1010" t="s">
        <v>1249</v>
      </c>
      <c r="C12" s="1010"/>
      <c r="D12" s="1022">
        <v>44293</v>
      </c>
      <c r="E12" s="1012" t="s">
        <v>447</v>
      </c>
    </row>
    <row r="13" spans="1:5" ht="14.4" thickBot="1" x14ac:dyDescent="0.3">
      <c r="A13" s="1024"/>
      <c r="B13" s="1025" t="s">
        <v>1250</v>
      </c>
      <c r="C13" s="1025"/>
      <c r="D13" s="1026">
        <f>SUM(D7:D12)</f>
        <v>280740</v>
      </c>
      <c r="E13" s="1075" t="s">
        <v>447</v>
      </c>
    </row>
    <row r="14" spans="1:5" x14ac:dyDescent="0.25">
      <c r="A14" s="1018"/>
      <c r="B14" s="1019"/>
      <c r="C14" s="1019"/>
      <c r="D14" s="1019"/>
      <c r="E14" s="1020"/>
    </row>
    <row r="15" spans="1:5" x14ac:dyDescent="0.25">
      <c r="A15" s="1009">
        <v>1</v>
      </c>
      <c r="B15" s="1027" t="s">
        <v>1245</v>
      </c>
      <c r="C15" s="1027" t="s">
        <v>1251</v>
      </c>
      <c r="D15" s="1028">
        <v>110236</v>
      </c>
      <c r="E15" s="1012" t="s">
        <v>1252</v>
      </c>
    </row>
    <row r="16" spans="1:5" x14ac:dyDescent="0.25">
      <c r="A16" s="1009">
        <v>2</v>
      </c>
      <c r="B16" s="1027" t="s">
        <v>1253</v>
      </c>
      <c r="C16" s="1027" t="s">
        <v>1254</v>
      </c>
      <c r="D16" s="1028">
        <v>267543</v>
      </c>
      <c r="E16" s="1012" t="s">
        <v>1252</v>
      </c>
    </row>
    <row r="17" spans="1:5" x14ac:dyDescent="0.25">
      <c r="A17" s="1009">
        <v>3</v>
      </c>
      <c r="B17" s="1029" t="s">
        <v>1255</v>
      </c>
      <c r="C17" s="1030" t="s">
        <v>1256</v>
      </c>
      <c r="D17" s="1031">
        <v>66921</v>
      </c>
      <c r="E17" s="1032" t="s">
        <v>1252</v>
      </c>
    </row>
    <row r="18" spans="1:5" x14ac:dyDescent="0.25">
      <c r="A18" s="1023">
        <v>4</v>
      </c>
      <c r="B18" s="1029" t="s">
        <v>1255</v>
      </c>
      <c r="C18" s="1030" t="s">
        <v>1257</v>
      </c>
      <c r="D18" s="1031">
        <v>66921</v>
      </c>
      <c r="E18" s="1032" t="s">
        <v>1252</v>
      </c>
    </row>
    <row r="19" spans="1:5" x14ac:dyDescent="0.25">
      <c r="A19" s="1023">
        <v>5</v>
      </c>
      <c r="B19" s="1033" t="s">
        <v>1258</v>
      </c>
      <c r="C19" s="1034" t="s">
        <v>1259</v>
      </c>
      <c r="D19" s="1035">
        <v>12591</v>
      </c>
      <c r="E19" s="1032" t="s">
        <v>1252</v>
      </c>
    </row>
    <row r="20" spans="1:5" x14ac:dyDescent="0.25">
      <c r="A20" s="1023">
        <v>6</v>
      </c>
      <c r="B20" s="1029" t="s">
        <v>1260</v>
      </c>
      <c r="C20" s="1029" t="s">
        <v>1261</v>
      </c>
      <c r="D20" s="1031">
        <v>18260</v>
      </c>
      <c r="E20" s="1032" t="s">
        <v>1252</v>
      </c>
    </row>
    <row r="21" spans="1:5" x14ac:dyDescent="0.25">
      <c r="A21" s="1023">
        <v>7</v>
      </c>
      <c r="B21" s="1029" t="s">
        <v>1260</v>
      </c>
      <c r="C21" s="1029" t="s">
        <v>1261</v>
      </c>
      <c r="D21" s="1031">
        <v>18102</v>
      </c>
      <c r="E21" s="1032" t="s">
        <v>1252</v>
      </c>
    </row>
    <row r="22" spans="1:5" x14ac:dyDescent="0.25">
      <c r="A22" s="1023">
        <v>8</v>
      </c>
      <c r="B22" s="1029" t="s">
        <v>1262</v>
      </c>
      <c r="C22" s="1029" t="s">
        <v>1263</v>
      </c>
      <c r="D22" s="1031">
        <v>36142</v>
      </c>
      <c r="E22" s="1032" t="s">
        <v>1252</v>
      </c>
    </row>
    <row r="23" spans="1:5" x14ac:dyDescent="0.25">
      <c r="A23" s="1023">
        <v>9</v>
      </c>
      <c r="B23" s="1029" t="s">
        <v>1245</v>
      </c>
      <c r="C23" s="1029" t="s">
        <v>1264</v>
      </c>
      <c r="D23" s="1031">
        <v>35511</v>
      </c>
      <c r="E23" s="1032" t="s">
        <v>1252</v>
      </c>
    </row>
    <row r="24" spans="1:5" x14ac:dyDescent="0.25">
      <c r="A24" s="1023"/>
      <c r="B24" s="1021" t="s">
        <v>1265</v>
      </c>
      <c r="C24" s="1021"/>
      <c r="D24" s="1036">
        <v>170702</v>
      </c>
      <c r="E24" s="1012" t="s">
        <v>1252</v>
      </c>
    </row>
    <row r="25" spans="1:5" ht="14.4" thickBot="1" x14ac:dyDescent="0.3">
      <c r="A25" s="1024"/>
      <c r="B25" s="1025" t="s">
        <v>1266</v>
      </c>
      <c r="C25" s="1025"/>
      <c r="D25" s="1037">
        <f>SUM(D15:D24)</f>
        <v>802929</v>
      </c>
      <c r="E25" s="1038" t="s">
        <v>1252</v>
      </c>
    </row>
    <row r="26" spans="1:5" x14ac:dyDescent="0.25">
      <c r="A26" s="1018"/>
      <c r="B26" s="1019"/>
      <c r="C26" s="1019"/>
      <c r="D26" s="1019"/>
      <c r="E26" s="1032"/>
    </row>
    <row r="27" spans="1:5" x14ac:dyDescent="0.25">
      <c r="A27" s="1039">
        <v>1</v>
      </c>
      <c r="B27" s="1040" t="s">
        <v>1267</v>
      </c>
      <c r="C27" s="1027" t="s">
        <v>1268</v>
      </c>
      <c r="D27" s="1041">
        <v>17480</v>
      </c>
      <c r="E27" s="1012" t="s">
        <v>1269</v>
      </c>
    </row>
    <row r="28" spans="1:5" ht="15" thickBot="1" x14ac:dyDescent="0.35">
      <c r="A28" s="1042"/>
      <c r="B28" s="1043" t="s">
        <v>1270</v>
      </c>
      <c r="C28" s="1044"/>
      <c r="D28" s="1045">
        <v>4720</v>
      </c>
      <c r="E28" s="1046" t="s">
        <v>1269</v>
      </c>
    </row>
    <row r="29" spans="1:5" ht="14.4" thickBot="1" x14ac:dyDescent="0.3">
      <c r="A29" s="1014"/>
      <c r="B29" s="1015" t="s">
        <v>1271</v>
      </c>
      <c r="C29" s="1015"/>
      <c r="D29" s="1016">
        <f>SUM(D27:D28)</f>
        <v>22200</v>
      </c>
      <c r="E29" s="1017" t="s">
        <v>1269</v>
      </c>
    </row>
    <row r="30" spans="1:5" x14ac:dyDescent="0.25">
      <c r="A30" s="1018"/>
      <c r="B30" s="1019"/>
      <c r="C30" s="1019"/>
      <c r="D30" s="1019"/>
      <c r="E30" s="1020"/>
    </row>
    <row r="31" spans="1:5" x14ac:dyDescent="0.25">
      <c r="A31" s="1039">
        <v>1</v>
      </c>
      <c r="B31" s="1029" t="s">
        <v>1272</v>
      </c>
      <c r="C31" s="1029" t="s">
        <v>1273</v>
      </c>
      <c r="D31" s="1047">
        <v>135961</v>
      </c>
      <c r="E31" s="1012" t="s">
        <v>1274</v>
      </c>
    </row>
    <row r="32" spans="1:5" x14ac:dyDescent="0.25">
      <c r="A32" s="1039">
        <v>2</v>
      </c>
      <c r="B32" s="1029" t="s">
        <v>1275</v>
      </c>
      <c r="C32" s="1029" t="s">
        <v>1276</v>
      </c>
      <c r="D32" s="1031">
        <v>12165</v>
      </c>
      <c r="E32" s="1012" t="s">
        <v>1274</v>
      </c>
    </row>
    <row r="33" spans="1:5" x14ac:dyDescent="0.25">
      <c r="A33" s="1039">
        <v>3</v>
      </c>
      <c r="B33" s="1029" t="s">
        <v>1277</v>
      </c>
      <c r="C33" s="1029" t="s">
        <v>1278</v>
      </c>
      <c r="D33" s="1031">
        <v>160752</v>
      </c>
      <c r="E33" s="1012" t="s">
        <v>1274</v>
      </c>
    </row>
    <row r="34" spans="1:5" x14ac:dyDescent="0.25">
      <c r="A34" s="1039">
        <v>4</v>
      </c>
      <c r="B34" s="1029" t="s">
        <v>1279</v>
      </c>
      <c r="C34" s="1029" t="s">
        <v>1280</v>
      </c>
      <c r="D34" s="1031">
        <v>112323</v>
      </c>
      <c r="E34" s="1012" t="s">
        <v>1274</v>
      </c>
    </row>
    <row r="35" spans="1:5" x14ac:dyDescent="0.25">
      <c r="A35" s="1039">
        <v>5</v>
      </c>
      <c r="B35" s="1029" t="s">
        <v>1281</v>
      </c>
      <c r="C35" s="1029" t="s">
        <v>1282</v>
      </c>
      <c r="D35" s="1031">
        <v>42496</v>
      </c>
      <c r="E35" s="1012" t="s">
        <v>1274</v>
      </c>
    </row>
    <row r="36" spans="1:5" x14ac:dyDescent="0.25">
      <c r="A36" s="1039">
        <v>6</v>
      </c>
      <c r="B36" s="1029" t="s">
        <v>1283</v>
      </c>
      <c r="C36" s="1029" t="s">
        <v>1284</v>
      </c>
      <c r="D36" s="1031">
        <v>24851</v>
      </c>
      <c r="E36" s="1012" t="s">
        <v>1274</v>
      </c>
    </row>
    <row r="37" spans="1:5" x14ac:dyDescent="0.25">
      <c r="A37" s="1039">
        <v>7</v>
      </c>
      <c r="B37" s="1029" t="s">
        <v>1277</v>
      </c>
      <c r="C37" s="1029" t="s">
        <v>1285</v>
      </c>
      <c r="D37" s="1031">
        <v>30707</v>
      </c>
      <c r="E37" s="1012" t="s">
        <v>1274</v>
      </c>
    </row>
    <row r="38" spans="1:5" x14ac:dyDescent="0.25">
      <c r="A38" s="1039">
        <v>8</v>
      </c>
      <c r="B38" s="1029" t="s">
        <v>1286</v>
      </c>
      <c r="C38" s="1029" t="s">
        <v>1287</v>
      </c>
      <c r="D38" s="1031">
        <v>27992</v>
      </c>
      <c r="E38" s="1012" t="s">
        <v>1274</v>
      </c>
    </row>
    <row r="39" spans="1:5" x14ac:dyDescent="0.25">
      <c r="A39" s="1039">
        <v>9</v>
      </c>
      <c r="B39" s="1029" t="s">
        <v>1286</v>
      </c>
      <c r="C39" s="1029" t="s">
        <v>1288</v>
      </c>
      <c r="D39" s="1031">
        <v>362205</v>
      </c>
      <c r="E39" s="1012" t="s">
        <v>1274</v>
      </c>
    </row>
    <row r="40" spans="1:5" x14ac:dyDescent="0.25">
      <c r="A40" s="1039">
        <v>10</v>
      </c>
      <c r="B40" s="1029" t="s">
        <v>1286</v>
      </c>
      <c r="C40" s="1029" t="s">
        <v>1287</v>
      </c>
      <c r="D40" s="1031">
        <v>111968</v>
      </c>
      <c r="E40" s="1012" t="s">
        <v>1274</v>
      </c>
    </row>
    <row r="41" spans="1:5" x14ac:dyDescent="0.25">
      <c r="A41" s="1039">
        <v>11</v>
      </c>
      <c r="B41" s="1029" t="s">
        <v>1289</v>
      </c>
      <c r="C41" s="1029" t="s">
        <v>1290</v>
      </c>
      <c r="D41" s="1031">
        <v>74882</v>
      </c>
      <c r="E41" s="1012" t="s">
        <v>1274</v>
      </c>
    </row>
    <row r="42" spans="1:5" x14ac:dyDescent="0.25">
      <c r="A42" s="1039">
        <v>12</v>
      </c>
      <c r="B42" s="1029" t="s">
        <v>1291</v>
      </c>
      <c r="C42" s="1029" t="s">
        <v>1292</v>
      </c>
      <c r="D42" s="1031">
        <v>5260</v>
      </c>
      <c r="E42" s="1012" t="s">
        <v>1274</v>
      </c>
    </row>
    <row r="43" spans="1:5" x14ac:dyDescent="0.25">
      <c r="A43" s="1039">
        <v>13</v>
      </c>
      <c r="B43" s="1029" t="s">
        <v>1293</v>
      </c>
      <c r="C43" s="1029" t="s">
        <v>1294</v>
      </c>
      <c r="D43" s="1031">
        <v>18480</v>
      </c>
      <c r="E43" s="1012" t="s">
        <v>1274</v>
      </c>
    </row>
    <row r="44" spans="1:5" x14ac:dyDescent="0.25">
      <c r="A44" s="1039">
        <v>14</v>
      </c>
      <c r="B44" s="1029" t="s">
        <v>1295</v>
      </c>
      <c r="C44" s="1029" t="s">
        <v>1296</v>
      </c>
      <c r="D44" s="1031">
        <v>20000</v>
      </c>
      <c r="E44" s="1012" t="s">
        <v>1274</v>
      </c>
    </row>
    <row r="45" spans="1:5" x14ac:dyDescent="0.25">
      <c r="A45" s="1039">
        <v>15</v>
      </c>
      <c r="B45" s="1029" t="s">
        <v>1295</v>
      </c>
      <c r="C45" s="1029" t="s">
        <v>1296</v>
      </c>
      <c r="D45" s="1031">
        <v>10000</v>
      </c>
      <c r="E45" s="1012" t="s">
        <v>1274</v>
      </c>
    </row>
    <row r="46" spans="1:5" ht="13.8" thickBot="1" x14ac:dyDescent="0.3">
      <c r="A46" s="1042"/>
      <c r="B46" s="1048" t="s">
        <v>1297</v>
      </c>
      <c r="C46" s="1048"/>
      <c r="D46" s="1049">
        <v>302411</v>
      </c>
      <c r="E46" s="1013" t="s">
        <v>1274</v>
      </c>
    </row>
    <row r="47" spans="1:5" ht="14.4" thickBot="1" x14ac:dyDescent="0.3">
      <c r="A47" s="1014"/>
      <c r="B47" s="1015" t="s">
        <v>1298</v>
      </c>
      <c r="C47" s="1015"/>
      <c r="D47" s="1016">
        <f>SUM(D31:D46)</f>
        <v>1452453</v>
      </c>
      <c r="E47" s="1017" t="s">
        <v>1274</v>
      </c>
    </row>
    <row r="48" spans="1:5" x14ac:dyDescent="0.25">
      <c r="A48" s="1018"/>
      <c r="B48" s="1019"/>
      <c r="C48" s="1019"/>
      <c r="D48" s="1019"/>
      <c r="E48" s="1020"/>
    </row>
    <row r="49" spans="1:7" x14ac:dyDescent="0.25">
      <c r="A49" s="1039">
        <v>1</v>
      </c>
      <c r="B49" s="1034" t="s">
        <v>1299</v>
      </c>
      <c r="C49" s="1029" t="s">
        <v>1300</v>
      </c>
      <c r="D49" s="1047">
        <v>182677</v>
      </c>
      <c r="E49" s="1012" t="s">
        <v>1301</v>
      </c>
    </row>
    <row r="50" spans="1:7" x14ac:dyDescent="0.25">
      <c r="A50" s="1039">
        <v>2</v>
      </c>
      <c r="B50" s="1029" t="s">
        <v>1302</v>
      </c>
      <c r="C50" s="1029" t="s">
        <v>1303</v>
      </c>
      <c r="D50" s="1031">
        <v>709220</v>
      </c>
      <c r="E50" s="1012" t="s">
        <v>1301</v>
      </c>
    </row>
    <row r="51" spans="1:7" x14ac:dyDescent="0.25">
      <c r="A51" s="1039">
        <v>3</v>
      </c>
      <c r="B51" s="1029" t="s">
        <v>1245</v>
      </c>
      <c r="C51" s="1029" t="s">
        <v>1304</v>
      </c>
      <c r="D51" s="1031">
        <v>63335</v>
      </c>
      <c r="E51" s="1012" t="s">
        <v>1301</v>
      </c>
    </row>
    <row r="52" spans="1:7" x14ac:dyDescent="0.25">
      <c r="A52" s="1039">
        <v>4</v>
      </c>
      <c r="B52" s="1029" t="s">
        <v>1302</v>
      </c>
      <c r="C52" s="1029" t="s">
        <v>1303</v>
      </c>
      <c r="D52" s="1031">
        <v>200000</v>
      </c>
      <c r="E52" s="1012" t="s">
        <v>1301</v>
      </c>
    </row>
    <row r="53" spans="1:7" x14ac:dyDescent="0.25">
      <c r="A53" s="1039">
        <v>5</v>
      </c>
      <c r="B53" s="1029" t="s">
        <v>1305</v>
      </c>
      <c r="C53" s="1029" t="s">
        <v>1306</v>
      </c>
      <c r="D53" s="1031">
        <v>15188</v>
      </c>
      <c r="E53" s="1012" t="s">
        <v>1301</v>
      </c>
    </row>
    <row r="54" spans="1:7" x14ac:dyDescent="0.25">
      <c r="A54" s="1039">
        <v>6</v>
      </c>
      <c r="B54" s="1029" t="s">
        <v>1307</v>
      </c>
      <c r="C54" s="1029" t="s">
        <v>1308</v>
      </c>
      <c r="D54" s="1031">
        <v>18032</v>
      </c>
      <c r="E54" s="1012" t="s">
        <v>1301</v>
      </c>
    </row>
    <row r="55" spans="1:7" x14ac:dyDescent="0.25">
      <c r="A55" s="1039">
        <v>7</v>
      </c>
      <c r="B55" s="1029" t="s">
        <v>1309</v>
      </c>
      <c r="C55" s="1029" t="s">
        <v>1310</v>
      </c>
      <c r="D55" s="1031">
        <v>76312</v>
      </c>
      <c r="E55" s="1012" t="s">
        <v>1301</v>
      </c>
    </row>
    <row r="56" spans="1:7" ht="13.8" thickBot="1" x14ac:dyDescent="0.3">
      <c r="A56" s="1042"/>
      <c r="B56" s="1048" t="s">
        <v>1311</v>
      </c>
      <c r="C56" s="1048"/>
      <c r="D56" s="1049">
        <v>341487</v>
      </c>
      <c r="E56" s="1013" t="s">
        <v>1301</v>
      </c>
    </row>
    <row r="57" spans="1:7" ht="14.4" thickBot="1" x14ac:dyDescent="0.3">
      <c r="A57" s="1014"/>
      <c r="B57" s="1015" t="s">
        <v>1312</v>
      </c>
      <c r="C57" s="1015"/>
      <c r="D57" s="1016">
        <f>SUM(D49:D56)</f>
        <v>1606251</v>
      </c>
      <c r="E57" s="1017" t="s">
        <v>1301</v>
      </c>
      <c r="G57" s="1059"/>
    </row>
    <row r="58" spans="1:7" x14ac:dyDescent="0.25">
      <c r="A58" s="1050"/>
      <c r="B58" s="1051"/>
      <c r="C58" s="1051"/>
      <c r="D58" s="1051"/>
      <c r="E58" s="1052"/>
    </row>
    <row r="59" spans="1:7" x14ac:dyDescent="0.25">
      <c r="A59" s="1039">
        <v>1</v>
      </c>
      <c r="B59" s="1053" t="s">
        <v>1313</v>
      </c>
      <c r="C59" s="1053" t="s">
        <v>1314</v>
      </c>
      <c r="D59" s="1054">
        <v>100000</v>
      </c>
      <c r="E59" s="1012" t="s">
        <v>1315</v>
      </c>
    </row>
    <row r="60" spans="1:7" x14ac:dyDescent="0.25">
      <c r="A60" s="1039">
        <v>2</v>
      </c>
      <c r="B60" s="1053" t="s">
        <v>1313</v>
      </c>
      <c r="C60" s="1053" t="s">
        <v>1316</v>
      </c>
      <c r="D60" s="1054">
        <v>306000</v>
      </c>
      <c r="E60" s="1012" t="s">
        <v>1315</v>
      </c>
    </row>
    <row r="61" spans="1:7" x14ac:dyDescent="0.25">
      <c r="A61" s="1039">
        <v>3</v>
      </c>
      <c r="B61" s="1053" t="s">
        <v>1272</v>
      </c>
      <c r="C61" s="1053" t="s">
        <v>1317</v>
      </c>
      <c r="D61" s="1054">
        <v>109370</v>
      </c>
      <c r="E61" s="1012" t="s">
        <v>1315</v>
      </c>
    </row>
    <row r="62" spans="1:7" x14ac:dyDescent="0.25">
      <c r="A62" s="1039">
        <v>4</v>
      </c>
      <c r="B62" s="1053" t="s">
        <v>1279</v>
      </c>
      <c r="C62" s="1053" t="s">
        <v>1318</v>
      </c>
      <c r="D62" s="1054">
        <v>28969</v>
      </c>
      <c r="E62" s="1012" t="s">
        <v>1315</v>
      </c>
    </row>
    <row r="63" spans="1:7" x14ac:dyDescent="0.25">
      <c r="A63" s="1039">
        <v>5</v>
      </c>
      <c r="B63" s="1053" t="s">
        <v>1279</v>
      </c>
      <c r="C63" s="1053" t="s">
        <v>1318</v>
      </c>
      <c r="D63" s="1054">
        <v>57780</v>
      </c>
      <c r="E63" s="1012" t="s">
        <v>1315</v>
      </c>
    </row>
    <row r="64" spans="1:7" x14ac:dyDescent="0.25">
      <c r="A64" s="1039">
        <v>6</v>
      </c>
      <c r="B64" s="1053" t="s">
        <v>1319</v>
      </c>
      <c r="C64" s="1053" t="s">
        <v>1320</v>
      </c>
      <c r="D64" s="1054">
        <v>429843</v>
      </c>
      <c r="E64" s="1012" t="s">
        <v>1315</v>
      </c>
    </row>
    <row r="65" spans="1:8" x14ac:dyDescent="0.25">
      <c r="A65" s="1039">
        <v>7</v>
      </c>
      <c r="B65" s="1053" t="s">
        <v>1279</v>
      </c>
      <c r="C65" s="1053" t="s">
        <v>1321</v>
      </c>
      <c r="D65" s="1054">
        <v>34134</v>
      </c>
      <c r="E65" s="1012" t="s">
        <v>1315</v>
      </c>
    </row>
    <row r="66" spans="1:8" x14ac:dyDescent="0.25">
      <c r="A66" s="1039">
        <v>8</v>
      </c>
      <c r="B66" s="1053" t="s">
        <v>1322</v>
      </c>
      <c r="C66" s="1053" t="s">
        <v>1323</v>
      </c>
      <c r="D66" s="1054">
        <v>29669</v>
      </c>
      <c r="E66" s="1012" t="s">
        <v>1315</v>
      </c>
    </row>
    <row r="67" spans="1:8" x14ac:dyDescent="0.25">
      <c r="A67" s="1039">
        <v>9</v>
      </c>
      <c r="B67" s="1053" t="s">
        <v>1324</v>
      </c>
      <c r="C67" s="1053" t="s">
        <v>1325</v>
      </c>
      <c r="D67" s="1054">
        <v>3390000</v>
      </c>
      <c r="E67" s="1012" t="s">
        <v>1315</v>
      </c>
    </row>
    <row r="68" spans="1:8" x14ac:dyDescent="0.25">
      <c r="A68" s="1039">
        <v>10</v>
      </c>
      <c r="B68" s="1053" t="s">
        <v>1326</v>
      </c>
      <c r="C68" s="1053" t="s">
        <v>1327</v>
      </c>
      <c r="D68" s="1054">
        <v>66433296</v>
      </c>
      <c r="E68" s="1012" t="s">
        <v>1315</v>
      </c>
    </row>
    <row r="69" spans="1:8" x14ac:dyDescent="0.25">
      <c r="A69" s="1039">
        <v>11</v>
      </c>
      <c r="B69" s="1053" t="s">
        <v>1328</v>
      </c>
      <c r="C69" s="1053" t="s">
        <v>1329</v>
      </c>
      <c r="D69" s="1054">
        <v>1100000</v>
      </c>
      <c r="E69" s="1012" t="s">
        <v>1315</v>
      </c>
    </row>
    <row r="70" spans="1:8" x14ac:dyDescent="0.25">
      <c r="A70" s="1039">
        <v>12</v>
      </c>
      <c r="B70" s="1053" t="s">
        <v>1330</v>
      </c>
      <c r="C70" s="1053" t="s">
        <v>1331</v>
      </c>
      <c r="D70" s="1054">
        <v>22015081</v>
      </c>
      <c r="E70" s="1012" t="s">
        <v>1315</v>
      </c>
    </row>
    <row r="71" spans="1:8" x14ac:dyDescent="0.25">
      <c r="A71" s="1039">
        <v>13</v>
      </c>
      <c r="B71" s="1053" t="s">
        <v>1326</v>
      </c>
      <c r="C71" s="1053" t="s">
        <v>1327</v>
      </c>
      <c r="D71" s="1054">
        <v>55361080</v>
      </c>
      <c r="E71" s="1012" t="s">
        <v>1315</v>
      </c>
    </row>
    <row r="72" spans="1:8" x14ac:dyDescent="0.25">
      <c r="A72" s="1039">
        <v>14</v>
      </c>
      <c r="B72" s="1053" t="s">
        <v>1328</v>
      </c>
      <c r="C72" s="1053" t="s">
        <v>1329</v>
      </c>
      <c r="D72" s="1054">
        <v>1100000</v>
      </c>
      <c r="E72" s="1012" t="s">
        <v>1315</v>
      </c>
    </row>
    <row r="73" spans="1:8" x14ac:dyDescent="0.25">
      <c r="A73" s="1039">
        <v>15</v>
      </c>
      <c r="B73" s="1053" t="s">
        <v>1332</v>
      </c>
      <c r="C73" s="1053" t="s">
        <v>1333</v>
      </c>
      <c r="D73" s="1054">
        <v>13448352</v>
      </c>
      <c r="E73" s="1012" t="s">
        <v>1315</v>
      </c>
    </row>
    <row r="74" spans="1:8" x14ac:dyDescent="0.25">
      <c r="A74" s="1039">
        <v>16</v>
      </c>
      <c r="B74" s="1053" t="s">
        <v>1334</v>
      </c>
      <c r="C74" s="1053" t="s">
        <v>1335</v>
      </c>
      <c r="D74" s="1054">
        <v>3350000</v>
      </c>
      <c r="E74" s="1012" t="s">
        <v>1315</v>
      </c>
    </row>
    <row r="75" spans="1:8" x14ac:dyDescent="0.25">
      <c r="A75" s="1039">
        <v>17</v>
      </c>
      <c r="B75" s="1053" t="s">
        <v>1326</v>
      </c>
      <c r="C75" s="1053" t="s">
        <v>1327</v>
      </c>
      <c r="D75" s="1054">
        <v>55361080</v>
      </c>
      <c r="E75" s="1012" t="s">
        <v>1315</v>
      </c>
    </row>
    <row r="76" spans="1:8" x14ac:dyDescent="0.25">
      <c r="A76" s="1039">
        <v>18</v>
      </c>
      <c r="B76" s="1053" t="s">
        <v>1336</v>
      </c>
      <c r="C76" s="1053" t="s">
        <v>1337</v>
      </c>
      <c r="D76" s="1054">
        <v>2359358</v>
      </c>
      <c r="E76" s="1012" t="s">
        <v>1315</v>
      </c>
    </row>
    <row r="77" spans="1:8" ht="13.8" thickBot="1" x14ac:dyDescent="0.3">
      <c r="A77" s="1055"/>
      <c r="B77" s="1056" t="s">
        <v>1338</v>
      </c>
      <c r="C77" s="1056"/>
      <c r="D77" s="1057">
        <v>8653727</v>
      </c>
      <c r="E77" s="1058" t="s">
        <v>1315</v>
      </c>
      <c r="G77" s="1059"/>
    </row>
    <row r="78" spans="1:8" ht="14.4" thickBot="1" x14ac:dyDescent="0.3">
      <c r="A78" s="1014"/>
      <c r="B78" s="1015" t="s">
        <v>1339</v>
      </c>
      <c r="C78" s="1015"/>
      <c r="D78" s="1016">
        <f>SUM(D59:D77)</f>
        <v>233667739</v>
      </c>
      <c r="E78" s="1017" t="s">
        <v>1315</v>
      </c>
    </row>
    <row r="79" spans="1:8" ht="13.8" thickBot="1" x14ac:dyDescent="0.3"/>
    <row r="80" spans="1:8" ht="14.4" thickBot="1" x14ac:dyDescent="0.3">
      <c r="A80" s="1014"/>
      <c r="B80" s="1015" t="s">
        <v>1340</v>
      </c>
      <c r="C80" s="1015"/>
      <c r="D80" s="1016">
        <f>+D13+D25+D29+D47+D57+D78</f>
        <v>237832312</v>
      </c>
      <c r="E80" s="1017"/>
      <c r="H80" s="1059"/>
    </row>
    <row r="82" spans="1:5" ht="13.8" thickBot="1" x14ac:dyDescent="0.3">
      <c r="A82" s="1060" t="s">
        <v>1341</v>
      </c>
    </row>
    <row r="83" spans="1:5" x14ac:dyDescent="0.25">
      <c r="A83" s="1061">
        <v>1</v>
      </c>
      <c r="B83" s="1062" t="s">
        <v>1342</v>
      </c>
      <c r="C83" s="1062" t="s">
        <v>1343</v>
      </c>
      <c r="D83" s="1063">
        <v>95800</v>
      </c>
      <c r="E83" s="1064" t="s">
        <v>1315</v>
      </c>
    </row>
    <row r="84" spans="1:5" x14ac:dyDescent="0.25">
      <c r="A84" s="1065">
        <v>2</v>
      </c>
      <c r="B84" s="1053" t="s">
        <v>1344</v>
      </c>
      <c r="C84" s="1066" t="s">
        <v>1345</v>
      </c>
      <c r="D84" s="1054">
        <v>4315551</v>
      </c>
      <c r="E84" s="1012" t="s">
        <v>1315</v>
      </c>
    </row>
    <row r="85" spans="1:5" x14ac:dyDescent="0.25">
      <c r="A85" s="1067">
        <v>3</v>
      </c>
      <c r="B85" s="1053" t="s">
        <v>1346</v>
      </c>
      <c r="C85" s="1053" t="s">
        <v>1347</v>
      </c>
      <c r="D85" s="1054">
        <v>627200</v>
      </c>
      <c r="E85" s="1012" t="s">
        <v>1315</v>
      </c>
    </row>
    <row r="86" spans="1:5" x14ac:dyDescent="0.25">
      <c r="A86" s="1010">
        <v>4</v>
      </c>
      <c r="B86" s="1053" t="s">
        <v>1342</v>
      </c>
      <c r="C86" s="1053" t="s">
        <v>1348</v>
      </c>
      <c r="D86" s="1054">
        <v>7486400</v>
      </c>
      <c r="E86" s="1012" t="s">
        <v>1315</v>
      </c>
    </row>
    <row r="87" spans="1:5" x14ac:dyDescent="0.25">
      <c r="A87" s="1010">
        <v>5</v>
      </c>
      <c r="B87" s="1053" t="s">
        <v>1349</v>
      </c>
      <c r="C87" s="1053" t="s">
        <v>1350</v>
      </c>
      <c r="D87" s="1054">
        <v>4887101</v>
      </c>
      <c r="E87" s="1012" t="s">
        <v>1315</v>
      </c>
    </row>
    <row r="88" spans="1:5" x14ac:dyDescent="0.25">
      <c r="A88" s="1010">
        <v>6</v>
      </c>
      <c r="B88" s="1053" t="s">
        <v>1351</v>
      </c>
      <c r="C88" s="1053" t="s">
        <v>1352</v>
      </c>
      <c r="D88" s="1054">
        <v>1190000</v>
      </c>
      <c r="E88" s="1012" t="s">
        <v>1315</v>
      </c>
    </row>
    <row r="89" spans="1:5" x14ac:dyDescent="0.25">
      <c r="A89" s="1010">
        <v>7</v>
      </c>
      <c r="B89" s="1053" t="s">
        <v>1349</v>
      </c>
      <c r="C89" s="1053" t="s">
        <v>1353</v>
      </c>
      <c r="D89" s="1054">
        <v>34209707</v>
      </c>
      <c r="E89" s="1012" t="s">
        <v>1315</v>
      </c>
    </row>
    <row r="90" spans="1:5" x14ac:dyDescent="0.25">
      <c r="A90" s="1010">
        <v>8</v>
      </c>
      <c r="B90" s="1053" t="s">
        <v>1354</v>
      </c>
      <c r="C90" s="1053" t="s">
        <v>1355</v>
      </c>
      <c r="D90" s="1054">
        <v>510000</v>
      </c>
      <c r="E90" s="1012" t="s">
        <v>1315</v>
      </c>
    </row>
    <row r="91" spans="1:5" x14ac:dyDescent="0.25">
      <c r="A91" s="1010">
        <v>9</v>
      </c>
      <c r="B91" s="1053" t="s">
        <v>1356</v>
      </c>
      <c r="C91" s="1053" t="s">
        <v>1357</v>
      </c>
      <c r="D91" s="1054">
        <v>680000</v>
      </c>
      <c r="E91" s="1012" t="s">
        <v>1315</v>
      </c>
    </row>
    <row r="92" spans="1:5" x14ac:dyDescent="0.25">
      <c r="A92" s="1010">
        <v>10</v>
      </c>
      <c r="B92" s="1053" t="s">
        <v>1342</v>
      </c>
      <c r="C92" s="1053" t="s">
        <v>1348</v>
      </c>
      <c r="D92" s="1054">
        <v>7486400</v>
      </c>
      <c r="E92" s="1012" t="s">
        <v>1315</v>
      </c>
    </row>
    <row r="93" spans="1:5" x14ac:dyDescent="0.25">
      <c r="A93" s="1010">
        <v>11</v>
      </c>
      <c r="B93" s="1053" t="s">
        <v>1351</v>
      </c>
      <c r="C93" s="1053" t="s">
        <v>1358</v>
      </c>
      <c r="D93" s="1054">
        <v>393318</v>
      </c>
      <c r="E93" s="1012" t="s">
        <v>1315</v>
      </c>
    </row>
    <row r="94" spans="1:5" x14ac:dyDescent="0.25">
      <c r="A94" s="1010">
        <v>12</v>
      </c>
      <c r="B94" s="1053" t="s">
        <v>1349</v>
      </c>
      <c r="C94" s="1053" t="s">
        <v>1353</v>
      </c>
      <c r="D94" s="1054">
        <v>34209707</v>
      </c>
      <c r="E94" s="1012" t="s">
        <v>1315</v>
      </c>
    </row>
    <row r="95" spans="1:5" x14ac:dyDescent="0.25">
      <c r="A95" s="1010">
        <v>13</v>
      </c>
      <c r="B95" s="1053" t="s">
        <v>1359</v>
      </c>
      <c r="C95" s="1053" t="s">
        <v>1360</v>
      </c>
      <c r="D95" s="1054">
        <v>675000</v>
      </c>
      <c r="E95" s="1012" t="s">
        <v>1315</v>
      </c>
    </row>
    <row r="96" spans="1:5" x14ac:dyDescent="0.25">
      <c r="A96" s="1010">
        <v>14</v>
      </c>
      <c r="B96" s="1053" t="s">
        <v>1361</v>
      </c>
      <c r="C96" s="1053" t="s">
        <v>1362</v>
      </c>
      <c r="D96" s="1054">
        <v>194638</v>
      </c>
      <c r="E96" s="1012" t="s">
        <v>1315</v>
      </c>
    </row>
    <row r="97" spans="1:7" x14ac:dyDescent="0.25">
      <c r="A97" s="1010">
        <v>15</v>
      </c>
      <c r="B97" s="1053" t="s">
        <v>1349</v>
      </c>
      <c r="C97" s="1053" t="s">
        <v>1353</v>
      </c>
      <c r="D97" s="1054">
        <v>22311677</v>
      </c>
      <c r="E97" s="1012" t="s">
        <v>1315</v>
      </c>
    </row>
    <row r="98" spans="1:7" x14ac:dyDescent="0.25">
      <c r="A98" s="1010">
        <v>16</v>
      </c>
      <c r="B98" s="1053" t="s">
        <v>1363</v>
      </c>
      <c r="C98" s="1053" t="s">
        <v>1364</v>
      </c>
      <c r="D98" s="1054">
        <v>1360000</v>
      </c>
      <c r="E98" s="1012" t="s">
        <v>1315</v>
      </c>
    </row>
    <row r="99" spans="1:7" x14ac:dyDescent="0.25">
      <c r="A99" s="1010">
        <v>17</v>
      </c>
      <c r="B99" s="1053" t="s">
        <v>1336</v>
      </c>
      <c r="C99" s="1053" t="s">
        <v>1365</v>
      </c>
      <c r="D99" s="1054">
        <v>2466539</v>
      </c>
      <c r="E99" s="1012" t="s">
        <v>1315</v>
      </c>
    </row>
    <row r="100" spans="1:7" x14ac:dyDescent="0.25">
      <c r="A100" s="1010">
        <v>18</v>
      </c>
      <c r="B100" s="1053" t="s">
        <v>1366</v>
      </c>
      <c r="C100" s="1053" t="s">
        <v>1367</v>
      </c>
      <c r="D100" s="1054">
        <v>690000</v>
      </c>
      <c r="E100" s="1012" t="s">
        <v>1315</v>
      </c>
    </row>
    <row r="101" spans="1:7" x14ac:dyDescent="0.25">
      <c r="A101" s="1010">
        <v>19</v>
      </c>
      <c r="B101" s="1053" t="s">
        <v>1336</v>
      </c>
      <c r="C101" s="1053" t="s">
        <v>1368</v>
      </c>
      <c r="D101" s="1054">
        <v>44922087</v>
      </c>
      <c r="E101" s="1012" t="s">
        <v>1315</v>
      </c>
    </row>
    <row r="102" spans="1:7" x14ac:dyDescent="0.25">
      <c r="A102" s="1010">
        <v>20</v>
      </c>
      <c r="B102" s="1053" t="s">
        <v>1336</v>
      </c>
      <c r="C102" s="1053" t="s">
        <v>1369</v>
      </c>
      <c r="D102" s="1054">
        <v>3828676</v>
      </c>
      <c r="E102" s="1012" t="s">
        <v>1315</v>
      </c>
    </row>
    <row r="103" spans="1:7" x14ac:dyDescent="0.25">
      <c r="A103" s="1010">
        <v>21</v>
      </c>
      <c r="B103" s="1053" t="s">
        <v>1370</v>
      </c>
      <c r="C103" s="1053" t="s">
        <v>1371</v>
      </c>
      <c r="D103" s="1054">
        <v>1500000</v>
      </c>
      <c r="E103" s="1012" t="s">
        <v>1315</v>
      </c>
    </row>
    <row r="104" spans="1:7" x14ac:dyDescent="0.25">
      <c r="A104" s="1010">
        <v>22</v>
      </c>
      <c r="B104" s="1053" t="s">
        <v>1372</v>
      </c>
      <c r="C104" s="1053" t="s">
        <v>1373</v>
      </c>
      <c r="D104" s="1054">
        <v>770000</v>
      </c>
      <c r="E104" s="1012" t="s">
        <v>1315</v>
      </c>
    </row>
    <row r="105" spans="1:7" x14ac:dyDescent="0.25">
      <c r="A105" s="1065">
        <v>23</v>
      </c>
      <c r="B105" s="1053" t="s">
        <v>1374</v>
      </c>
      <c r="C105" s="1066" t="s">
        <v>1375</v>
      </c>
      <c r="D105" s="1054">
        <v>1889764</v>
      </c>
      <c r="E105" s="1012" t="s">
        <v>1315</v>
      </c>
      <c r="G105" s="1059"/>
    </row>
    <row r="106" spans="1:7" ht="13.8" thickBot="1" x14ac:dyDescent="0.3">
      <c r="A106" s="1065"/>
      <c r="B106" s="1068" t="s">
        <v>1376</v>
      </c>
      <c r="C106" s="1053"/>
      <c r="D106" s="1054">
        <v>46848338</v>
      </c>
      <c r="E106" s="1012" t="s">
        <v>1315</v>
      </c>
    </row>
    <row r="107" spans="1:7" ht="14.4" thickBot="1" x14ac:dyDescent="0.3">
      <c r="A107" s="1069"/>
      <c r="B107" s="1014" t="s">
        <v>1377</v>
      </c>
      <c r="C107" s="1015"/>
      <c r="D107" s="1016">
        <f>SUM(D83:D106)</f>
        <v>223547903</v>
      </c>
      <c r="E107" s="1017" t="s">
        <v>1315</v>
      </c>
    </row>
    <row r="108" spans="1:7" ht="13.8" thickBot="1" x14ac:dyDescent="0.3">
      <c r="G108" s="1059"/>
    </row>
    <row r="109" spans="1:7" ht="14.4" thickBot="1" x14ac:dyDescent="0.3">
      <c r="A109" s="1014"/>
      <c r="B109" s="1015" t="s">
        <v>1378</v>
      </c>
      <c r="C109" s="1015"/>
      <c r="D109" s="1016">
        <f>+D107</f>
        <v>223547903</v>
      </c>
      <c r="E109" s="1017"/>
    </row>
    <row r="111" spans="1:7" x14ac:dyDescent="0.25">
      <c r="G111" s="1059"/>
    </row>
    <row r="112" spans="1:7" ht="26.4" x14ac:dyDescent="0.25">
      <c r="C112" s="1070" t="s">
        <v>1379</v>
      </c>
      <c r="D112" s="1070" t="s">
        <v>1380</v>
      </c>
      <c r="E112" s="1071" t="s">
        <v>1381</v>
      </c>
    </row>
    <row r="113" spans="3:5" x14ac:dyDescent="0.25">
      <c r="C113" s="1010" t="s">
        <v>1382</v>
      </c>
      <c r="D113" s="1072">
        <v>237832312</v>
      </c>
      <c r="E113" s="1073">
        <f>+D113-D80</f>
        <v>0</v>
      </c>
    </row>
    <row r="114" spans="3:5" x14ac:dyDescent="0.25">
      <c r="C114" s="1010" t="s">
        <v>1383</v>
      </c>
      <c r="D114" s="1072">
        <v>223547903</v>
      </c>
      <c r="E114" s="1073">
        <f>+D109-D114</f>
        <v>0</v>
      </c>
    </row>
  </sheetData>
  <mergeCells count="3">
    <mergeCell ref="A2:E2"/>
    <mergeCell ref="A5:E5"/>
    <mergeCell ref="A3:E3"/>
  </mergeCells>
  <pageMargins left="0.7" right="0.7" top="0.75" bottom="0.75" header="0.3" footer="0.3"/>
  <pageSetup paperSize="9" scale="4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C4"/>
    </sheetView>
  </sheetViews>
  <sheetFormatPr defaultColWidth="8.6640625" defaultRowHeight="14.4" x14ac:dyDescent="0.3"/>
  <cols>
    <col min="1" max="1" width="14.21875" style="821" customWidth="1"/>
    <col min="2" max="2" width="14.33203125" style="821" customWidth="1"/>
    <col min="3" max="3" width="60.109375" style="821" customWidth="1"/>
    <col min="4" max="256" width="8.6640625" style="821"/>
    <col min="257" max="257" width="14.21875" style="821" customWidth="1"/>
    <col min="258" max="258" width="14.33203125" style="821" customWidth="1"/>
    <col min="259" max="259" width="60.109375" style="821" customWidth="1"/>
    <col min="260" max="512" width="8.6640625" style="821"/>
    <col min="513" max="513" width="14.21875" style="821" customWidth="1"/>
    <col min="514" max="514" width="14.33203125" style="821" customWidth="1"/>
    <col min="515" max="515" width="60.109375" style="821" customWidth="1"/>
    <col min="516" max="768" width="8.6640625" style="821"/>
    <col min="769" max="769" width="14.21875" style="821" customWidth="1"/>
    <col min="770" max="770" width="14.33203125" style="821" customWidth="1"/>
    <col min="771" max="771" width="60.109375" style="821" customWidth="1"/>
    <col min="772" max="1024" width="8.6640625" style="821"/>
    <col min="1025" max="1025" width="14.21875" style="821" customWidth="1"/>
    <col min="1026" max="1026" width="14.33203125" style="821" customWidth="1"/>
    <col min="1027" max="1027" width="60.109375" style="821" customWidth="1"/>
    <col min="1028" max="1280" width="8.6640625" style="821"/>
    <col min="1281" max="1281" width="14.21875" style="821" customWidth="1"/>
    <col min="1282" max="1282" width="14.33203125" style="821" customWidth="1"/>
    <col min="1283" max="1283" width="60.109375" style="821" customWidth="1"/>
    <col min="1284" max="1536" width="8.6640625" style="821"/>
    <col min="1537" max="1537" width="14.21875" style="821" customWidth="1"/>
    <col min="1538" max="1538" width="14.33203125" style="821" customWidth="1"/>
    <col min="1539" max="1539" width="60.109375" style="821" customWidth="1"/>
    <col min="1540" max="1792" width="8.6640625" style="821"/>
    <col min="1793" max="1793" width="14.21875" style="821" customWidth="1"/>
    <col min="1794" max="1794" width="14.33203125" style="821" customWidth="1"/>
    <col min="1795" max="1795" width="60.109375" style="821" customWidth="1"/>
    <col min="1796" max="2048" width="8.6640625" style="821"/>
    <col min="2049" max="2049" width="14.21875" style="821" customWidth="1"/>
    <col min="2050" max="2050" width="14.33203125" style="821" customWidth="1"/>
    <col min="2051" max="2051" width="60.109375" style="821" customWidth="1"/>
    <col min="2052" max="2304" width="8.6640625" style="821"/>
    <col min="2305" max="2305" width="14.21875" style="821" customWidth="1"/>
    <col min="2306" max="2306" width="14.33203125" style="821" customWidth="1"/>
    <col min="2307" max="2307" width="60.109375" style="821" customWidth="1"/>
    <col min="2308" max="2560" width="8.6640625" style="821"/>
    <col min="2561" max="2561" width="14.21875" style="821" customWidth="1"/>
    <col min="2562" max="2562" width="14.33203125" style="821" customWidth="1"/>
    <col min="2563" max="2563" width="60.109375" style="821" customWidth="1"/>
    <col min="2564" max="2816" width="8.6640625" style="821"/>
    <col min="2817" max="2817" width="14.21875" style="821" customWidth="1"/>
    <col min="2818" max="2818" width="14.33203125" style="821" customWidth="1"/>
    <col min="2819" max="2819" width="60.109375" style="821" customWidth="1"/>
    <col min="2820" max="3072" width="8.6640625" style="821"/>
    <col min="3073" max="3073" width="14.21875" style="821" customWidth="1"/>
    <col min="3074" max="3074" width="14.33203125" style="821" customWidth="1"/>
    <col min="3075" max="3075" width="60.109375" style="821" customWidth="1"/>
    <col min="3076" max="3328" width="8.6640625" style="821"/>
    <col min="3329" max="3329" width="14.21875" style="821" customWidth="1"/>
    <col min="3330" max="3330" width="14.33203125" style="821" customWidth="1"/>
    <col min="3331" max="3331" width="60.109375" style="821" customWidth="1"/>
    <col min="3332" max="3584" width="8.6640625" style="821"/>
    <col min="3585" max="3585" width="14.21875" style="821" customWidth="1"/>
    <col min="3586" max="3586" width="14.33203125" style="821" customWidth="1"/>
    <col min="3587" max="3587" width="60.109375" style="821" customWidth="1"/>
    <col min="3588" max="3840" width="8.6640625" style="821"/>
    <col min="3841" max="3841" width="14.21875" style="821" customWidth="1"/>
    <col min="3842" max="3842" width="14.33203125" style="821" customWidth="1"/>
    <col min="3843" max="3843" width="60.109375" style="821" customWidth="1"/>
    <col min="3844" max="4096" width="8.6640625" style="821"/>
    <col min="4097" max="4097" width="14.21875" style="821" customWidth="1"/>
    <col min="4098" max="4098" width="14.33203125" style="821" customWidth="1"/>
    <col min="4099" max="4099" width="60.109375" style="821" customWidth="1"/>
    <col min="4100" max="4352" width="8.6640625" style="821"/>
    <col min="4353" max="4353" width="14.21875" style="821" customWidth="1"/>
    <col min="4354" max="4354" width="14.33203125" style="821" customWidth="1"/>
    <col min="4355" max="4355" width="60.109375" style="821" customWidth="1"/>
    <col min="4356" max="4608" width="8.6640625" style="821"/>
    <col min="4609" max="4609" width="14.21875" style="821" customWidth="1"/>
    <col min="4610" max="4610" width="14.33203125" style="821" customWidth="1"/>
    <col min="4611" max="4611" width="60.109375" style="821" customWidth="1"/>
    <col min="4612" max="4864" width="8.6640625" style="821"/>
    <col min="4865" max="4865" width="14.21875" style="821" customWidth="1"/>
    <col min="4866" max="4866" width="14.33203125" style="821" customWidth="1"/>
    <col min="4867" max="4867" width="60.109375" style="821" customWidth="1"/>
    <col min="4868" max="5120" width="8.6640625" style="821"/>
    <col min="5121" max="5121" width="14.21875" style="821" customWidth="1"/>
    <col min="5122" max="5122" width="14.33203125" style="821" customWidth="1"/>
    <col min="5123" max="5123" width="60.109375" style="821" customWidth="1"/>
    <col min="5124" max="5376" width="8.6640625" style="821"/>
    <col min="5377" max="5377" width="14.21875" style="821" customWidth="1"/>
    <col min="5378" max="5378" width="14.33203125" style="821" customWidth="1"/>
    <col min="5379" max="5379" width="60.109375" style="821" customWidth="1"/>
    <col min="5380" max="5632" width="8.6640625" style="821"/>
    <col min="5633" max="5633" width="14.21875" style="821" customWidth="1"/>
    <col min="5634" max="5634" width="14.33203125" style="821" customWidth="1"/>
    <col min="5635" max="5635" width="60.109375" style="821" customWidth="1"/>
    <col min="5636" max="5888" width="8.6640625" style="821"/>
    <col min="5889" max="5889" width="14.21875" style="821" customWidth="1"/>
    <col min="5890" max="5890" width="14.33203125" style="821" customWidth="1"/>
    <col min="5891" max="5891" width="60.109375" style="821" customWidth="1"/>
    <col min="5892" max="6144" width="8.6640625" style="821"/>
    <col min="6145" max="6145" width="14.21875" style="821" customWidth="1"/>
    <col min="6146" max="6146" width="14.33203125" style="821" customWidth="1"/>
    <col min="6147" max="6147" width="60.109375" style="821" customWidth="1"/>
    <col min="6148" max="6400" width="8.6640625" style="821"/>
    <col min="6401" max="6401" width="14.21875" style="821" customWidth="1"/>
    <col min="6402" max="6402" width="14.33203125" style="821" customWidth="1"/>
    <col min="6403" max="6403" width="60.109375" style="821" customWidth="1"/>
    <col min="6404" max="6656" width="8.6640625" style="821"/>
    <col min="6657" max="6657" width="14.21875" style="821" customWidth="1"/>
    <col min="6658" max="6658" width="14.33203125" style="821" customWidth="1"/>
    <col min="6659" max="6659" width="60.109375" style="821" customWidth="1"/>
    <col min="6660" max="6912" width="8.6640625" style="821"/>
    <col min="6913" max="6913" width="14.21875" style="821" customWidth="1"/>
    <col min="6914" max="6914" width="14.33203125" style="821" customWidth="1"/>
    <col min="6915" max="6915" width="60.109375" style="821" customWidth="1"/>
    <col min="6916" max="7168" width="8.6640625" style="821"/>
    <col min="7169" max="7169" width="14.21875" style="821" customWidth="1"/>
    <col min="7170" max="7170" width="14.33203125" style="821" customWidth="1"/>
    <col min="7171" max="7171" width="60.109375" style="821" customWidth="1"/>
    <col min="7172" max="7424" width="8.6640625" style="821"/>
    <col min="7425" max="7425" width="14.21875" style="821" customWidth="1"/>
    <col min="7426" max="7426" width="14.33203125" style="821" customWidth="1"/>
    <col min="7427" max="7427" width="60.109375" style="821" customWidth="1"/>
    <col min="7428" max="7680" width="8.6640625" style="821"/>
    <col min="7681" max="7681" width="14.21875" style="821" customWidth="1"/>
    <col min="7682" max="7682" width="14.33203125" style="821" customWidth="1"/>
    <col min="7683" max="7683" width="60.109375" style="821" customWidth="1"/>
    <col min="7684" max="7936" width="8.6640625" style="821"/>
    <col min="7937" max="7937" width="14.21875" style="821" customWidth="1"/>
    <col min="7938" max="7938" width="14.33203125" style="821" customWidth="1"/>
    <col min="7939" max="7939" width="60.109375" style="821" customWidth="1"/>
    <col min="7940" max="8192" width="8.6640625" style="821"/>
    <col min="8193" max="8193" width="14.21875" style="821" customWidth="1"/>
    <col min="8194" max="8194" width="14.33203125" style="821" customWidth="1"/>
    <col min="8195" max="8195" width="60.109375" style="821" customWidth="1"/>
    <col min="8196" max="8448" width="8.6640625" style="821"/>
    <col min="8449" max="8449" width="14.21875" style="821" customWidth="1"/>
    <col min="8450" max="8450" width="14.33203125" style="821" customWidth="1"/>
    <col min="8451" max="8451" width="60.109375" style="821" customWidth="1"/>
    <col min="8452" max="8704" width="8.6640625" style="821"/>
    <col min="8705" max="8705" width="14.21875" style="821" customWidth="1"/>
    <col min="8706" max="8706" width="14.33203125" style="821" customWidth="1"/>
    <col min="8707" max="8707" width="60.109375" style="821" customWidth="1"/>
    <col min="8708" max="8960" width="8.6640625" style="821"/>
    <col min="8961" max="8961" width="14.21875" style="821" customWidth="1"/>
    <col min="8962" max="8962" width="14.33203125" style="821" customWidth="1"/>
    <col min="8963" max="8963" width="60.109375" style="821" customWidth="1"/>
    <col min="8964" max="9216" width="8.6640625" style="821"/>
    <col min="9217" max="9217" width="14.21875" style="821" customWidth="1"/>
    <col min="9218" max="9218" width="14.33203125" style="821" customWidth="1"/>
    <col min="9219" max="9219" width="60.109375" style="821" customWidth="1"/>
    <col min="9220" max="9472" width="8.6640625" style="821"/>
    <col min="9473" max="9473" width="14.21875" style="821" customWidth="1"/>
    <col min="9474" max="9474" width="14.33203125" style="821" customWidth="1"/>
    <col min="9475" max="9475" width="60.109375" style="821" customWidth="1"/>
    <col min="9476" max="9728" width="8.6640625" style="821"/>
    <col min="9729" max="9729" width="14.21875" style="821" customWidth="1"/>
    <col min="9730" max="9730" width="14.33203125" style="821" customWidth="1"/>
    <col min="9731" max="9731" width="60.109375" style="821" customWidth="1"/>
    <col min="9732" max="9984" width="8.6640625" style="821"/>
    <col min="9985" max="9985" width="14.21875" style="821" customWidth="1"/>
    <col min="9986" max="9986" width="14.33203125" style="821" customWidth="1"/>
    <col min="9987" max="9987" width="60.109375" style="821" customWidth="1"/>
    <col min="9988" max="10240" width="8.6640625" style="821"/>
    <col min="10241" max="10241" width="14.21875" style="821" customWidth="1"/>
    <col min="10242" max="10242" width="14.33203125" style="821" customWidth="1"/>
    <col min="10243" max="10243" width="60.109375" style="821" customWidth="1"/>
    <col min="10244" max="10496" width="8.6640625" style="821"/>
    <col min="10497" max="10497" width="14.21875" style="821" customWidth="1"/>
    <col min="10498" max="10498" width="14.33203125" style="821" customWidth="1"/>
    <col min="10499" max="10499" width="60.109375" style="821" customWidth="1"/>
    <col min="10500" max="10752" width="8.6640625" style="821"/>
    <col min="10753" max="10753" width="14.21875" style="821" customWidth="1"/>
    <col min="10754" max="10754" width="14.33203125" style="821" customWidth="1"/>
    <col min="10755" max="10755" width="60.109375" style="821" customWidth="1"/>
    <col min="10756" max="11008" width="8.6640625" style="821"/>
    <col min="11009" max="11009" width="14.21875" style="821" customWidth="1"/>
    <col min="11010" max="11010" width="14.33203125" style="821" customWidth="1"/>
    <col min="11011" max="11011" width="60.109375" style="821" customWidth="1"/>
    <col min="11012" max="11264" width="8.6640625" style="821"/>
    <col min="11265" max="11265" width="14.21875" style="821" customWidth="1"/>
    <col min="11266" max="11266" width="14.33203125" style="821" customWidth="1"/>
    <col min="11267" max="11267" width="60.109375" style="821" customWidth="1"/>
    <col min="11268" max="11520" width="8.6640625" style="821"/>
    <col min="11521" max="11521" width="14.21875" style="821" customWidth="1"/>
    <col min="11522" max="11522" width="14.33203125" style="821" customWidth="1"/>
    <col min="11523" max="11523" width="60.109375" style="821" customWidth="1"/>
    <col min="11524" max="11776" width="8.6640625" style="821"/>
    <col min="11777" max="11777" width="14.21875" style="821" customWidth="1"/>
    <col min="11778" max="11778" width="14.33203125" style="821" customWidth="1"/>
    <col min="11779" max="11779" width="60.109375" style="821" customWidth="1"/>
    <col min="11780" max="12032" width="8.6640625" style="821"/>
    <col min="12033" max="12033" width="14.21875" style="821" customWidth="1"/>
    <col min="12034" max="12034" width="14.33203125" style="821" customWidth="1"/>
    <col min="12035" max="12035" width="60.109375" style="821" customWidth="1"/>
    <col min="12036" max="12288" width="8.6640625" style="821"/>
    <col min="12289" max="12289" width="14.21875" style="821" customWidth="1"/>
    <col min="12290" max="12290" width="14.33203125" style="821" customWidth="1"/>
    <col min="12291" max="12291" width="60.109375" style="821" customWidth="1"/>
    <col min="12292" max="12544" width="8.6640625" style="821"/>
    <col min="12545" max="12545" width="14.21875" style="821" customWidth="1"/>
    <col min="12546" max="12546" width="14.33203125" style="821" customWidth="1"/>
    <col min="12547" max="12547" width="60.109375" style="821" customWidth="1"/>
    <col min="12548" max="12800" width="8.6640625" style="821"/>
    <col min="12801" max="12801" width="14.21875" style="821" customWidth="1"/>
    <col min="12802" max="12802" width="14.33203125" style="821" customWidth="1"/>
    <col min="12803" max="12803" width="60.109375" style="821" customWidth="1"/>
    <col min="12804" max="13056" width="8.6640625" style="821"/>
    <col min="13057" max="13057" width="14.21875" style="821" customWidth="1"/>
    <col min="13058" max="13058" width="14.33203125" style="821" customWidth="1"/>
    <col min="13059" max="13059" width="60.109375" style="821" customWidth="1"/>
    <col min="13060" max="13312" width="8.6640625" style="821"/>
    <col min="13313" max="13313" width="14.21875" style="821" customWidth="1"/>
    <col min="13314" max="13314" width="14.33203125" style="821" customWidth="1"/>
    <col min="13315" max="13315" width="60.109375" style="821" customWidth="1"/>
    <col min="13316" max="13568" width="8.6640625" style="821"/>
    <col min="13569" max="13569" width="14.21875" style="821" customWidth="1"/>
    <col min="13570" max="13570" width="14.33203125" style="821" customWidth="1"/>
    <col min="13571" max="13571" width="60.109375" style="821" customWidth="1"/>
    <col min="13572" max="13824" width="8.6640625" style="821"/>
    <col min="13825" max="13825" width="14.21875" style="821" customWidth="1"/>
    <col min="13826" max="13826" width="14.33203125" style="821" customWidth="1"/>
    <col min="13827" max="13827" width="60.109375" style="821" customWidth="1"/>
    <col min="13828" max="14080" width="8.6640625" style="821"/>
    <col min="14081" max="14081" width="14.21875" style="821" customWidth="1"/>
    <col min="14082" max="14082" width="14.33203125" style="821" customWidth="1"/>
    <col min="14083" max="14083" width="60.109375" style="821" customWidth="1"/>
    <col min="14084" max="14336" width="8.6640625" style="821"/>
    <col min="14337" max="14337" width="14.21875" style="821" customWidth="1"/>
    <col min="14338" max="14338" width="14.33203125" style="821" customWidth="1"/>
    <col min="14339" max="14339" width="60.109375" style="821" customWidth="1"/>
    <col min="14340" max="14592" width="8.6640625" style="821"/>
    <col min="14593" max="14593" width="14.21875" style="821" customWidth="1"/>
    <col min="14594" max="14594" width="14.33203125" style="821" customWidth="1"/>
    <col min="14595" max="14595" width="60.109375" style="821" customWidth="1"/>
    <col min="14596" max="14848" width="8.6640625" style="821"/>
    <col min="14849" max="14849" width="14.21875" style="821" customWidth="1"/>
    <col min="14850" max="14850" width="14.33203125" style="821" customWidth="1"/>
    <col min="14851" max="14851" width="60.109375" style="821" customWidth="1"/>
    <col min="14852" max="15104" width="8.6640625" style="821"/>
    <col min="15105" max="15105" width="14.21875" style="821" customWidth="1"/>
    <col min="15106" max="15106" width="14.33203125" style="821" customWidth="1"/>
    <col min="15107" max="15107" width="60.109375" style="821" customWidth="1"/>
    <col min="15108" max="15360" width="8.6640625" style="821"/>
    <col min="15361" max="15361" width="14.21875" style="821" customWidth="1"/>
    <col min="15362" max="15362" width="14.33203125" style="821" customWidth="1"/>
    <col min="15363" max="15363" width="60.109375" style="821" customWidth="1"/>
    <col min="15364" max="15616" width="8.6640625" style="821"/>
    <col min="15617" max="15617" width="14.21875" style="821" customWidth="1"/>
    <col min="15618" max="15618" width="14.33203125" style="821" customWidth="1"/>
    <col min="15619" max="15619" width="60.109375" style="821" customWidth="1"/>
    <col min="15620" max="15872" width="8.6640625" style="821"/>
    <col min="15873" max="15873" width="14.21875" style="821" customWidth="1"/>
    <col min="15874" max="15874" width="14.33203125" style="821" customWidth="1"/>
    <col min="15875" max="15875" width="60.109375" style="821" customWidth="1"/>
    <col min="15876" max="16128" width="8.6640625" style="821"/>
    <col min="16129" max="16129" width="14.21875" style="821" customWidth="1"/>
    <col min="16130" max="16130" width="14.33203125" style="821" customWidth="1"/>
    <col min="16131" max="16131" width="60.109375" style="821" customWidth="1"/>
    <col min="16132" max="16384" width="8.6640625" style="821"/>
  </cols>
  <sheetData>
    <row r="1" spans="1:11" ht="17.399999999999999" x14ac:dyDescent="0.3">
      <c r="A1" s="1529" t="s">
        <v>467</v>
      </c>
      <c r="B1" s="1529"/>
      <c r="C1" s="1529"/>
    </row>
    <row r="2" spans="1:11" ht="17.399999999999999" x14ac:dyDescent="0.3">
      <c r="A2" s="1529" t="s">
        <v>1386</v>
      </c>
      <c r="B2" s="1529"/>
      <c r="C2" s="1529"/>
    </row>
    <row r="3" spans="1:11" ht="17.399999999999999" x14ac:dyDescent="0.3">
      <c r="A3" s="839"/>
      <c r="B3" s="839"/>
      <c r="C3" s="839"/>
    </row>
    <row r="4" spans="1:11" ht="17.399999999999999" x14ac:dyDescent="0.3">
      <c r="A4" s="1529" t="s">
        <v>1115</v>
      </c>
      <c r="B4" s="1529"/>
      <c r="C4" s="1529"/>
    </row>
    <row r="5" spans="1:11" ht="17.399999999999999" x14ac:dyDescent="0.3">
      <c r="A5" s="839"/>
      <c r="B5" s="839"/>
      <c r="C5" s="839"/>
    </row>
    <row r="6" spans="1:11" x14ac:dyDescent="0.3">
      <c r="A6" s="1530" t="s">
        <v>1063</v>
      </c>
      <c r="B6" s="1530"/>
      <c r="C6" s="1530"/>
    </row>
    <row r="8" spans="1:11" x14ac:dyDescent="0.3">
      <c r="A8" s="822" t="s">
        <v>366</v>
      </c>
      <c r="B8" s="822" t="s">
        <v>1064</v>
      </c>
      <c r="C8" s="822" t="s">
        <v>1065</v>
      </c>
    </row>
    <row r="9" spans="1:11" ht="28.8" x14ac:dyDescent="0.3">
      <c r="A9" s="823" t="s">
        <v>1066</v>
      </c>
      <c r="B9" s="824">
        <v>275911</v>
      </c>
      <c r="C9" s="825" t="s">
        <v>1067</v>
      </c>
    </row>
    <row r="10" spans="1:11" ht="28.8" x14ac:dyDescent="0.3">
      <c r="A10" s="823" t="s">
        <v>1068</v>
      </c>
      <c r="B10" s="824">
        <v>273200</v>
      </c>
      <c r="C10" s="825" t="s">
        <v>1069</v>
      </c>
      <c r="K10" s="826"/>
    </row>
    <row r="11" spans="1:11" ht="18.600000000000001" x14ac:dyDescent="0.3">
      <c r="A11" s="823" t="s">
        <v>1070</v>
      </c>
      <c r="B11" s="824">
        <v>1290745</v>
      </c>
      <c r="C11" s="827" t="s">
        <v>1071</v>
      </c>
      <c r="K11" s="826"/>
    </row>
    <row r="12" spans="1:11" ht="43.2" customHeight="1" x14ac:dyDescent="0.3">
      <c r="A12" s="828" t="s">
        <v>1072</v>
      </c>
      <c r="B12" s="824">
        <v>122000</v>
      </c>
      <c r="C12" s="829" t="s">
        <v>1073</v>
      </c>
      <c r="K12" s="826"/>
    </row>
    <row r="13" spans="1:11" x14ac:dyDescent="0.3">
      <c r="A13" s="833" t="s">
        <v>1074</v>
      </c>
      <c r="B13" s="834">
        <f>SUM(B9:B12)</f>
        <v>1961856</v>
      </c>
      <c r="C13" s="835"/>
    </row>
    <row r="15" spans="1:11" x14ac:dyDescent="0.3">
      <c r="A15" s="1531"/>
      <c r="B15" s="1531"/>
    </row>
    <row r="16" spans="1:11" x14ac:dyDescent="0.3">
      <c r="C16" s="836"/>
    </row>
    <row r="17" spans="3:3" x14ac:dyDescent="0.3">
      <c r="C17" s="837"/>
    </row>
    <row r="18" spans="3:3" x14ac:dyDescent="0.3">
      <c r="C18" s="838"/>
    </row>
    <row r="19" spans="3:3" x14ac:dyDescent="0.3">
      <c r="C19" s="836"/>
    </row>
  </sheetData>
  <mergeCells count="5">
    <mergeCell ref="A1:C1"/>
    <mergeCell ref="A4:C4"/>
    <mergeCell ref="A6:C6"/>
    <mergeCell ref="A15:B15"/>
    <mergeCell ref="A2:C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"/>
  <sheetViews>
    <sheetView workbookViewId="0">
      <selection activeCell="B11" sqref="B11"/>
    </sheetView>
  </sheetViews>
  <sheetFormatPr defaultRowHeight="13.2" x14ac:dyDescent="0.25"/>
  <cols>
    <col min="1" max="1" width="8.88671875" style="1163"/>
    <col min="2" max="2" width="32.44140625" style="1336" customWidth="1"/>
    <col min="3" max="3" width="14.5546875" customWidth="1"/>
    <col min="4" max="5" width="12.6640625" customWidth="1"/>
    <col min="6" max="6" width="24.6640625" customWidth="1"/>
    <col min="7" max="8" width="10.6640625" customWidth="1"/>
    <col min="9" max="11" width="12.6640625" customWidth="1"/>
    <col min="12" max="12" width="18.6640625" customWidth="1"/>
    <col min="13" max="22" width="12.6640625" customWidth="1"/>
  </cols>
  <sheetData>
    <row r="1" spans="1:44" ht="17.399999999999999" x14ac:dyDescent="0.25">
      <c r="A1" s="1529" t="s">
        <v>467</v>
      </c>
      <c r="B1" s="1529"/>
      <c r="C1" s="1529"/>
      <c r="D1" s="1529"/>
      <c r="E1" s="1529"/>
      <c r="F1" s="1529"/>
      <c r="G1" s="1529"/>
      <c r="H1" s="1529"/>
      <c r="I1" s="1529"/>
      <c r="J1" s="1529"/>
      <c r="K1" s="1529"/>
      <c r="L1" s="1529"/>
      <c r="M1" s="1529"/>
      <c r="N1" s="1529"/>
      <c r="O1" s="1529"/>
      <c r="P1" s="1529"/>
      <c r="Q1" s="1529"/>
      <c r="R1" s="1529"/>
      <c r="S1" s="1529"/>
    </row>
    <row r="2" spans="1:44" ht="17.399999999999999" x14ac:dyDescent="0.25">
      <c r="A2" s="1529" t="s">
        <v>1412</v>
      </c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</row>
    <row r="3" spans="1:44" ht="17.399999999999999" x14ac:dyDescent="0.25">
      <c r="A3" s="1155"/>
      <c r="B3" s="1335"/>
      <c r="C3" s="1094"/>
    </row>
    <row r="4" spans="1:44" ht="17.399999999999999" x14ac:dyDescent="0.25">
      <c r="A4" s="1529" t="s">
        <v>1413</v>
      </c>
      <c r="B4" s="1529"/>
      <c r="C4" s="1529"/>
      <c r="D4" s="1529"/>
      <c r="E4" s="1529"/>
      <c r="F4" s="1529"/>
      <c r="G4" s="1529"/>
      <c r="H4" s="1529"/>
      <c r="I4" s="1529"/>
      <c r="J4" s="1529"/>
      <c r="K4" s="1529"/>
      <c r="L4" s="1529"/>
      <c r="M4" s="1529"/>
      <c r="N4" s="1529"/>
      <c r="O4" s="1529"/>
      <c r="P4" s="1529"/>
      <c r="Q4" s="1529"/>
      <c r="R4" s="1529"/>
      <c r="S4" s="1529"/>
    </row>
    <row r="7" spans="1:44" ht="13.8" thickBot="1" x14ac:dyDescent="0.3">
      <c r="S7" s="892" t="s">
        <v>1113</v>
      </c>
    </row>
    <row r="8" spans="1:44" ht="14.4" x14ac:dyDescent="0.3">
      <c r="A8" s="1532" t="s">
        <v>1477</v>
      </c>
      <c r="B8" s="1534" t="s">
        <v>1478</v>
      </c>
      <c r="C8" s="1535"/>
      <c r="D8" s="1535"/>
      <c r="E8" s="1536"/>
      <c r="F8" s="1540" t="s">
        <v>1479</v>
      </c>
      <c r="G8" s="1541"/>
      <c r="H8" s="1541"/>
      <c r="I8" s="1541"/>
      <c r="J8" s="1541"/>
      <c r="K8" s="1541"/>
      <c r="L8" s="1541"/>
      <c r="M8" s="1541"/>
      <c r="N8" s="1541"/>
      <c r="O8" s="1542"/>
      <c r="P8" s="1534" t="s">
        <v>1480</v>
      </c>
      <c r="Q8" s="1535"/>
      <c r="R8" s="1536"/>
      <c r="S8" s="1543"/>
    </row>
    <row r="9" spans="1:44" ht="15" customHeight="1" thickBot="1" x14ac:dyDescent="0.3">
      <c r="A9" s="1533"/>
      <c r="B9" s="1537"/>
      <c r="C9" s="1538"/>
      <c r="D9" s="1538"/>
      <c r="E9" s="1539"/>
      <c r="F9" s="1537" t="s">
        <v>1481</v>
      </c>
      <c r="G9" s="1538"/>
      <c r="H9" s="1539"/>
      <c r="I9" s="1537" t="s">
        <v>1482</v>
      </c>
      <c r="J9" s="1538"/>
      <c r="K9" s="1538"/>
      <c r="L9" s="1538"/>
      <c r="M9" s="1538"/>
      <c r="N9" s="1538"/>
      <c r="O9" s="1539"/>
      <c r="P9" s="1537"/>
      <c r="Q9" s="1538"/>
      <c r="R9" s="1539"/>
      <c r="S9" s="1544"/>
      <c r="T9" s="1308"/>
      <c r="U9" s="1308"/>
      <c r="V9" s="1308"/>
      <c r="W9" s="1308"/>
      <c r="X9" s="1308"/>
      <c r="Y9" s="1308"/>
      <c r="Z9" s="1308"/>
      <c r="AA9" s="1308"/>
      <c r="AB9" s="1308"/>
      <c r="AC9" s="1308"/>
      <c r="AD9" s="1308"/>
      <c r="AE9" s="1308"/>
      <c r="AF9" s="1308"/>
      <c r="AG9" s="1308"/>
      <c r="AH9" s="1308"/>
      <c r="AI9" s="1308"/>
      <c r="AJ9" s="1308"/>
      <c r="AK9" s="1"/>
      <c r="AL9" s="1"/>
      <c r="AM9" s="1"/>
      <c r="AN9" s="1"/>
      <c r="AO9" s="1"/>
      <c r="AP9" s="1"/>
      <c r="AQ9" s="1"/>
      <c r="AR9" s="1"/>
    </row>
    <row r="10" spans="1:44" ht="27" thickBot="1" x14ac:dyDescent="0.3">
      <c r="A10" s="1533"/>
      <c r="B10" s="1337" t="s">
        <v>1483</v>
      </c>
      <c r="C10" s="1309" t="s">
        <v>1482</v>
      </c>
      <c r="D10" s="1310" t="s">
        <v>1484</v>
      </c>
      <c r="E10" s="1311" t="s">
        <v>1485</v>
      </c>
      <c r="F10" s="1312" t="s">
        <v>1486</v>
      </c>
      <c r="G10" s="1310" t="s">
        <v>1487</v>
      </c>
      <c r="H10" s="1311" t="s">
        <v>1488</v>
      </c>
      <c r="I10" s="1313" t="s">
        <v>1489</v>
      </c>
      <c r="J10" s="1314" t="s">
        <v>1490</v>
      </c>
      <c r="K10" s="1314" t="s">
        <v>1491</v>
      </c>
      <c r="L10" s="1315" t="s">
        <v>1492</v>
      </c>
      <c r="M10" s="1316" t="s">
        <v>1493</v>
      </c>
      <c r="N10" s="1316" t="s">
        <v>1494</v>
      </c>
      <c r="O10" s="1319" t="s">
        <v>1495</v>
      </c>
      <c r="P10" s="1317" t="s">
        <v>1496</v>
      </c>
      <c r="Q10" s="1318" t="s">
        <v>1497</v>
      </c>
      <c r="R10" s="1319" t="s">
        <v>1498</v>
      </c>
      <c r="S10" s="1320" t="s">
        <v>1499</v>
      </c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1308"/>
      <c r="AK10" s="1"/>
      <c r="AL10" s="1"/>
      <c r="AM10" s="1"/>
      <c r="AN10" s="1"/>
      <c r="AO10" s="1"/>
      <c r="AP10" s="1"/>
      <c r="AQ10" s="1"/>
      <c r="AR10" s="1"/>
    </row>
    <row r="11" spans="1:44" ht="63.6" customHeight="1" x14ac:dyDescent="0.3">
      <c r="A11" s="1351" t="s">
        <v>1156</v>
      </c>
      <c r="B11" s="1324" t="s">
        <v>1510</v>
      </c>
      <c r="C11" s="1321">
        <f t="shared" ref="C11:C17" si="0">L11+Q11</f>
        <v>10477500</v>
      </c>
      <c r="D11" s="1322">
        <v>43789</v>
      </c>
      <c r="E11" s="1323">
        <v>44377</v>
      </c>
      <c r="F11" s="1324" t="s">
        <v>1511</v>
      </c>
      <c r="G11" s="1325">
        <v>2018</v>
      </c>
      <c r="H11" s="1326">
        <v>2019</v>
      </c>
      <c r="I11" s="1327">
        <f>L11+P11</f>
        <v>10477500</v>
      </c>
      <c r="J11" s="1321" t="s">
        <v>1502</v>
      </c>
      <c r="K11" s="1321" t="s">
        <v>1502</v>
      </c>
      <c r="L11" s="1328">
        <v>10477500</v>
      </c>
      <c r="M11" s="1329">
        <v>0</v>
      </c>
      <c r="N11" s="1329">
        <v>4415709</v>
      </c>
      <c r="O11" s="1331">
        <v>6061791</v>
      </c>
      <c r="P11" s="1330">
        <v>0</v>
      </c>
      <c r="Q11" s="1321">
        <v>0</v>
      </c>
      <c r="R11" s="1331">
        <v>0</v>
      </c>
      <c r="S11" s="1332" t="s">
        <v>1503</v>
      </c>
    </row>
    <row r="12" spans="1:44" ht="28.8" x14ac:dyDescent="0.3">
      <c r="A12" s="1351" t="s">
        <v>1158</v>
      </c>
      <c r="B12" s="1324" t="s">
        <v>1512</v>
      </c>
      <c r="C12" s="1321">
        <f t="shared" si="0"/>
        <v>450790714</v>
      </c>
      <c r="D12" s="1322">
        <v>43250</v>
      </c>
      <c r="E12" s="1323">
        <v>44196</v>
      </c>
      <c r="F12" s="1324" t="s">
        <v>1513</v>
      </c>
      <c r="G12" s="1325">
        <v>2016</v>
      </c>
      <c r="H12" s="1326">
        <v>2017</v>
      </c>
      <c r="I12" s="1327">
        <f>L12+P12</f>
        <v>307239452</v>
      </c>
      <c r="J12" s="1321" t="s">
        <v>1502</v>
      </c>
      <c r="K12" s="1321" t="s">
        <v>1502</v>
      </c>
      <c r="L12" s="1328">
        <v>307239452</v>
      </c>
      <c r="M12" s="1329">
        <v>304167057</v>
      </c>
      <c r="N12" s="1329">
        <v>0</v>
      </c>
      <c r="O12" s="1331">
        <v>3072395</v>
      </c>
      <c r="P12" s="1330">
        <v>0</v>
      </c>
      <c r="Q12" s="1321">
        <v>143551262</v>
      </c>
      <c r="R12" s="1331">
        <v>142471536</v>
      </c>
      <c r="S12" s="1332" t="s">
        <v>1503</v>
      </c>
    </row>
    <row r="13" spans="1:44" ht="63.6" customHeight="1" x14ac:dyDescent="0.3">
      <c r="A13" s="1351" t="s">
        <v>1160</v>
      </c>
      <c r="B13" s="1324" t="s">
        <v>1514</v>
      </c>
      <c r="C13" s="1321">
        <f t="shared" si="0"/>
        <v>19015456</v>
      </c>
      <c r="D13" s="1322">
        <v>43602</v>
      </c>
      <c r="E13" s="1323">
        <v>44152</v>
      </c>
      <c r="F13" s="1324" t="s">
        <v>1515</v>
      </c>
      <c r="G13" s="1325">
        <v>2018</v>
      </c>
      <c r="H13" s="1326">
        <v>2019</v>
      </c>
      <c r="I13" s="1327">
        <v>15000000</v>
      </c>
      <c r="J13" s="1321" t="s">
        <v>1502</v>
      </c>
      <c r="K13" s="1321" t="s">
        <v>1502</v>
      </c>
      <c r="L13" s="1328">
        <v>14997924</v>
      </c>
      <c r="M13" s="1329">
        <v>0</v>
      </c>
      <c r="N13" s="1329">
        <v>0</v>
      </c>
      <c r="O13" s="1331">
        <v>14997924</v>
      </c>
      <c r="P13" s="1330">
        <v>2644618</v>
      </c>
      <c r="Q13" s="1321">
        <v>4017532</v>
      </c>
      <c r="R13" s="1331">
        <v>0</v>
      </c>
      <c r="S13" s="1333" t="s">
        <v>1509</v>
      </c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1334"/>
      <c r="AM13" s="1334"/>
      <c r="AN13" s="1334"/>
      <c r="AO13" s="1334"/>
      <c r="AP13" s="1334"/>
      <c r="AQ13" s="1334"/>
      <c r="AR13" s="1334"/>
    </row>
    <row r="14" spans="1:44" ht="79.2" customHeight="1" x14ac:dyDescent="0.3">
      <c r="A14" s="1351" t="s">
        <v>1162</v>
      </c>
      <c r="B14" s="1338" t="s">
        <v>1500</v>
      </c>
      <c r="C14" s="1321">
        <f t="shared" si="0"/>
        <v>99193629</v>
      </c>
      <c r="D14" s="1322">
        <v>43432</v>
      </c>
      <c r="E14" s="1323">
        <v>44165</v>
      </c>
      <c r="F14" s="1324" t="s">
        <v>1501</v>
      </c>
      <c r="G14" s="1325">
        <v>2017</v>
      </c>
      <c r="H14" s="1326">
        <v>2019</v>
      </c>
      <c r="I14" s="1327">
        <v>98630000</v>
      </c>
      <c r="J14" s="1321" t="s">
        <v>1502</v>
      </c>
      <c r="K14" s="1321" t="s">
        <v>1502</v>
      </c>
      <c r="L14" s="1328">
        <v>99193629</v>
      </c>
      <c r="M14" s="1329">
        <v>0</v>
      </c>
      <c r="N14" s="1329">
        <v>0</v>
      </c>
      <c r="O14" s="1331">
        <v>99193629</v>
      </c>
      <c r="P14" s="1330">
        <v>11021515</v>
      </c>
      <c r="Q14" s="1321">
        <v>0</v>
      </c>
      <c r="R14" s="1331">
        <v>0</v>
      </c>
      <c r="S14" s="1332" t="s">
        <v>1503</v>
      </c>
    </row>
    <row r="15" spans="1:44" ht="63" customHeight="1" x14ac:dyDescent="0.3">
      <c r="A15" s="1351" t="s">
        <v>1164</v>
      </c>
      <c r="B15" s="1339" t="s">
        <v>1505</v>
      </c>
      <c r="C15" s="1321">
        <f t="shared" si="0"/>
        <v>49999995</v>
      </c>
      <c r="D15" s="1322">
        <v>42928</v>
      </c>
      <c r="E15" s="1323">
        <v>44165</v>
      </c>
      <c r="F15" s="1324" t="s">
        <v>1506</v>
      </c>
      <c r="G15" s="1325">
        <v>2017</v>
      </c>
      <c r="H15" s="1326">
        <v>2018</v>
      </c>
      <c r="I15" s="1327">
        <v>50000000</v>
      </c>
      <c r="J15" s="1321" t="s">
        <v>1502</v>
      </c>
      <c r="K15" s="1321" t="s">
        <v>1502</v>
      </c>
      <c r="L15" s="1328">
        <v>49999995</v>
      </c>
      <c r="M15" s="1329">
        <v>0</v>
      </c>
      <c r="N15" s="1329">
        <v>0</v>
      </c>
      <c r="O15" s="1331">
        <v>49999995</v>
      </c>
      <c r="P15" s="1330">
        <v>5555558</v>
      </c>
      <c r="Q15" s="1321">
        <v>0</v>
      </c>
      <c r="R15" s="1331">
        <v>0</v>
      </c>
      <c r="S15" s="1332" t="s">
        <v>1503</v>
      </c>
    </row>
    <row r="16" spans="1:44" ht="63" customHeight="1" x14ac:dyDescent="0.3">
      <c r="A16" s="1351" t="s">
        <v>1166</v>
      </c>
      <c r="B16" s="1338" t="s">
        <v>1507</v>
      </c>
      <c r="C16" s="1321">
        <f t="shared" si="0"/>
        <v>8629111</v>
      </c>
      <c r="D16" s="1322">
        <v>43313</v>
      </c>
      <c r="E16" s="1323">
        <v>43749</v>
      </c>
      <c r="F16" s="1324" t="s">
        <v>1508</v>
      </c>
      <c r="G16" s="1325">
        <v>2018</v>
      </c>
      <c r="H16" s="1326">
        <v>2019</v>
      </c>
      <c r="I16" s="1327">
        <v>7250000</v>
      </c>
      <c r="J16" s="1321" t="s">
        <v>1502</v>
      </c>
      <c r="K16" s="1321" t="s">
        <v>1502</v>
      </c>
      <c r="L16" s="1328">
        <v>7283211</v>
      </c>
      <c r="M16" s="1329">
        <v>0</v>
      </c>
      <c r="N16" s="1329">
        <v>0</v>
      </c>
      <c r="O16" s="1331">
        <v>7283211</v>
      </c>
      <c r="P16" s="1330">
        <v>1318761</v>
      </c>
      <c r="Q16" s="1321">
        <v>1345900</v>
      </c>
      <c r="R16" s="1331">
        <v>0</v>
      </c>
      <c r="S16" s="1332" t="s">
        <v>1509</v>
      </c>
    </row>
    <row r="17" spans="1:44" s="1334" customFormat="1" ht="78.599999999999994" customHeight="1" thickBot="1" x14ac:dyDescent="0.35">
      <c r="A17" s="1352" t="s">
        <v>1504</v>
      </c>
      <c r="B17" s="1340" t="s">
        <v>1516</v>
      </c>
      <c r="C17" s="1341">
        <f t="shared" si="0"/>
        <v>9803781</v>
      </c>
      <c r="D17" s="1342" t="s">
        <v>1517</v>
      </c>
      <c r="E17" s="1343" t="s">
        <v>1518</v>
      </c>
      <c r="F17" s="1344" t="s">
        <v>1519</v>
      </c>
      <c r="G17" s="1345">
        <v>2019</v>
      </c>
      <c r="H17" s="1346">
        <v>2019</v>
      </c>
      <c r="I17" s="1347">
        <v>9804760</v>
      </c>
      <c r="J17" s="1341" t="s">
        <v>1502</v>
      </c>
      <c r="K17" s="1341" t="s">
        <v>1502</v>
      </c>
      <c r="L17" s="1348">
        <v>9803781</v>
      </c>
      <c r="M17" s="1349">
        <v>0</v>
      </c>
      <c r="N17" s="1349">
        <v>0</v>
      </c>
      <c r="O17" s="1350">
        <v>9803781</v>
      </c>
      <c r="P17" s="1353">
        <v>1730081</v>
      </c>
      <c r="Q17" s="1341">
        <v>0</v>
      </c>
      <c r="R17" s="1350">
        <v>0</v>
      </c>
      <c r="S17" s="1354" t="s">
        <v>1520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</sheetData>
  <mergeCells count="10">
    <mergeCell ref="A8:A10"/>
    <mergeCell ref="B8:E9"/>
    <mergeCell ref="A1:S1"/>
    <mergeCell ref="A2:S2"/>
    <mergeCell ref="A4:S4"/>
    <mergeCell ref="F8:O8"/>
    <mergeCell ref="P8:R9"/>
    <mergeCell ref="S8:S9"/>
    <mergeCell ref="F9:H9"/>
    <mergeCell ref="I9:O9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00"/>
  <sheetViews>
    <sheetView view="pageBreakPreview" zoomScale="75" zoomScaleNormal="75" zoomScaleSheetLayoutView="75" workbookViewId="0">
      <selection activeCell="H41" sqref="H41"/>
    </sheetView>
  </sheetViews>
  <sheetFormatPr defaultRowHeight="13.2" x14ac:dyDescent="0.25"/>
  <cols>
    <col min="1" max="1" width="8.44140625" style="22" customWidth="1"/>
    <col min="2" max="2" width="40" style="22" customWidth="1"/>
    <col min="3" max="3" width="14.6640625" style="22" customWidth="1"/>
    <col min="4" max="4" width="14.6640625" style="23" customWidth="1"/>
    <col min="5" max="5" width="13.109375" style="23" bestFit="1" customWidth="1"/>
    <col min="6" max="6" width="14.5546875" style="23" customWidth="1"/>
    <col min="7" max="7" width="0.6640625" style="23" customWidth="1"/>
    <col min="8" max="8" width="14.6640625" style="22" customWidth="1"/>
    <col min="9" max="9" width="14.6640625" style="23" customWidth="1"/>
    <col min="10" max="10" width="15.21875" style="23" customWidth="1"/>
    <col min="11" max="11" width="0.6640625" style="23" customWidth="1"/>
    <col min="12" max="13" width="14.109375" style="22" customWidth="1"/>
    <col min="14" max="14" width="14.77734375" style="22" customWidth="1"/>
    <col min="15" max="15" width="0.6640625" style="23" customWidth="1"/>
    <col min="16" max="17" width="13.6640625" style="22" customWidth="1"/>
    <col min="18" max="18" width="15.6640625" style="22" customWidth="1"/>
    <col min="19" max="19" width="13.6640625" style="22" customWidth="1"/>
    <col min="20" max="20" width="13.44140625" style="22" customWidth="1"/>
  </cols>
  <sheetData>
    <row r="1" spans="1:25" ht="24.6" x14ac:dyDescent="0.4">
      <c r="A1" s="226" t="s">
        <v>477</v>
      </c>
      <c r="B1" s="225"/>
      <c r="C1" s="225"/>
      <c r="D1" s="225"/>
      <c r="E1" s="225"/>
      <c r="F1" s="338"/>
      <c r="G1" s="224"/>
      <c r="H1" s="223"/>
      <c r="I1" s="223"/>
      <c r="J1" s="221" t="str">
        <f>+'1. Sülysáp összesen'!J1</f>
        <v>2019. ÉVI ZÁRSZÁMADÁS</v>
      </c>
      <c r="K1" s="227"/>
      <c r="L1" s="227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46"/>
      <c r="X1" s="46"/>
      <c r="Y1" s="46"/>
    </row>
    <row r="2" spans="1:25" hidden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5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5" ht="13.8" thickBot="1" x14ac:dyDescent="0.3"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>
        <v>1</v>
      </c>
      <c r="Q4" s="63">
        <v>1</v>
      </c>
      <c r="R4" s="63">
        <v>0</v>
      </c>
      <c r="S4" s="63"/>
      <c r="T4" s="46"/>
    </row>
    <row r="5" spans="1:25" ht="14.1" hidden="1" customHeight="1" x14ac:dyDescent="0.25">
      <c r="A5" s="46"/>
      <c r="B5" s="46"/>
      <c r="C5" s="339"/>
      <c r="D5" s="339"/>
      <c r="E5" s="339"/>
      <c r="F5" s="339"/>
      <c r="G5" s="339"/>
      <c r="H5" s="340"/>
      <c r="I5" s="340"/>
      <c r="J5" s="340"/>
      <c r="K5" s="339"/>
      <c r="L5" s="341"/>
      <c r="M5" s="36"/>
      <c r="N5" s="36"/>
      <c r="O5" s="339"/>
      <c r="P5" s="340"/>
      <c r="Q5" s="340"/>
      <c r="R5" s="340"/>
      <c r="S5" s="340"/>
      <c r="T5" s="36"/>
    </row>
    <row r="6" spans="1:25" ht="14.1" hidden="1" customHeight="1" x14ac:dyDescent="0.25">
      <c r="A6" s="46"/>
      <c r="B6" s="46"/>
      <c r="C6" s="339"/>
      <c r="D6" s="339"/>
      <c r="E6" s="339"/>
      <c r="F6" s="339"/>
      <c r="G6" s="339"/>
      <c r="H6" s="340"/>
      <c r="I6" s="340"/>
      <c r="J6" s="340"/>
      <c r="K6" s="339"/>
      <c r="L6" s="341"/>
      <c r="M6" s="36"/>
      <c r="N6" s="36"/>
      <c r="O6" s="339"/>
      <c r="P6" s="340"/>
      <c r="Q6" s="340"/>
      <c r="R6" s="340"/>
      <c r="S6" s="340"/>
      <c r="T6" s="36"/>
    </row>
    <row r="7" spans="1:25" ht="15.6" x14ac:dyDescent="0.3">
      <c r="A7" s="46"/>
      <c r="B7" s="46"/>
      <c r="C7" s="1395" t="s">
        <v>403</v>
      </c>
      <c r="D7" s="1396"/>
      <c r="E7" s="1396"/>
      <c r="F7" s="1397"/>
      <c r="G7" s="342"/>
      <c r="H7" s="1395" t="s">
        <v>402</v>
      </c>
      <c r="I7" s="1398"/>
      <c r="J7" s="1398"/>
      <c r="K7" s="1398"/>
      <c r="L7" s="1398"/>
      <c r="M7" s="1398"/>
      <c r="N7" s="1399"/>
      <c r="O7" s="342"/>
      <c r="P7" s="1395" t="s">
        <v>399</v>
      </c>
      <c r="Q7" s="1396"/>
      <c r="R7" s="1396"/>
      <c r="S7" s="1396"/>
      <c r="T7" s="1397"/>
    </row>
    <row r="8" spans="1:25" ht="13.8" x14ac:dyDescent="0.25">
      <c r="A8" s="46"/>
      <c r="B8" s="46"/>
      <c r="C8" s="434"/>
      <c r="D8" s="375"/>
      <c r="E8" s="375"/>
      <c r="F8" s="418"/>
      <c r="G8" s="339"/>
      <c r="H8" s="1400" t="s">
        <v>412</v>
      </c>
      <c r="I8" s="1401"/>
      <c r="J8" s="1402"/>
      <c r="K8" s="374"/>
      <c r="L8" s="1393" t="s">
        <v>411</v>
      </c>
      <c r="M8" s="1392"/>
      <c r="N8" s="1403"/>
      <c r="O8" s="339"/>
      <c r="P8" s="417"/>
      <c r="Q8" s="375"/>
      <c r="R8" s="375"/>
      <c r="S8" s="375"/>
      <c r="T8" s="418"/>
    </row>
    <row r="9" spans="1:25" s="1" customFormat="1" ht="64.5" customHeight="1" x14ac:dyDescent="0.25">
      <c r="A9" s="354" t="s">
        <v>368</v>
      </c>
      <c r="B9" s="354" t="s">
        <v>366</v>
      </c>
      <c r="C9" s="517" t="s">
        <v>484</v>
      </c>
      <c r="D9" s="355" t="s">
        <v>485</v>
      </c>
      <c r="E9" s="355" t="s">
        <v>486</v>
      </c>
      <c r="F9" s="518" t="s">
        <v>512</v>
      </c>
      <c r="G9" s="355"/>
      <c r="H9" s="491" t="s">
        <v>487</v>
      </c>
      <c r="I9" s="356" t="s">
        <v>488</v>
      </c>
      <c r="J9" s="356" t="s">
        <v>501</v>
      </c>
      <c r="K9" s="355"/>
      <c r="L9" s="357" t="s">
        <v>489</v>
      </c>
      <c r="M9" s="357" t="s">
        <v>490</v>
      </c>
      <c r="N9" s="492" t="s">
        <v>511</v>
      </c>
      <c r="O9" s="355"/>
      <c r="P9" s="491" t="s">
        <v>491</v>
      </c>
      <c r="Q9" s="356" t="s">
        <v>492</v>
      </c>
      <c r="R9" s="356" t="s">
        <v>510</v>
      </c>
      <c r="S9" s="356" t="s">
        <v>400</v>
      </c>
      <c r="T9" s="492" t="s">
        <v>401</v>
      </c>
    </row>
    <row r="10" spans="1:25" ht="13.8" thickBot="1" x14ac:dyDescent="0.3">
      <c r="A10" s="358"/>
      <c r="B10" s="47"/>
      <c r="C10" s="435"/>
      <c r="D10" s="359"/>
      <c r="E10" s="359"/>
      <c r="F10" s="436"/>
      <c r="G10" s="359"/>
      <c r="H10" s="419"/>
      <c r="I10" s="338"/>
      <c r="J10" s="453"/>
      <c r="K10" s="359"/>
      <c r="L10" s="352"/>
      <c r="M10" s="360"/>
      <c r="N10" s="429"/>
      <c r="O10" s="359"/>
      <c r="P10" s="419"/>
      <c r="Q10" s="338"/>
      <c r="R10" s="338"/>
      <c r="S10" s="338"/>
      <c r="T10" s="420"/>
    </row>
    <row r="11" spans="1:25" ht="18" thickBot="1" x14ac:dyDescent="0.35">
      <c r="A11" s="408" t="str">
        <f>+'bevételi segédtábla'!B28</f>
        <v>Sülysáp Város Önkormányzata</v>
      </c>
      <c r="B11" s="409"/>
      <c r="C11" s="74"/>
      <c r="D11" s="74"/>
      <c r="E11" s="74"/>
      <c r="F11" s="438"/>
      <c r="G11" s="74"/>
      <c r="H11" s="430"/>
      <c r="I11" s="214"/>
      <c r="J11" s="454"/>
      <c r="K11" s="74"/>
      <c r="L11" s="87"/>
      <c r="M11" s="87"/>
      <c r="N11" s="402"/>
      <c r="O11" s="74"/>
      <c r="P11" s="421"/>
      <c r="Q11" s="73"/>
      <c r="R11" s="73"/>
      <c r="S11" s="73"/>
      <c r="T11" s="402"/>
    </row>
    <row r="12" spans="1:25" x14ac:dyDescent="0.25">
      <c r="A12" s="393"/>
      <c r="B12" s="394"/>
      <c r="C12" s="422"/>
      <c r="D12" s="414"/>
      <c r="E12" s="414"/>
      <c r="F12" s="439"/>
      <c r="G12" s="414"/>
      <c r="H12" s="431"/>
      <c r="I12" s="415"/>
      <c r="J12" s="455"/>
      <c r="K12" s="414"/>
      <c r="L12" s="416"/>
      <c r="M12" s="416"/>
      <c r="N12" s="396"/>
      <c r="O12" s="414"/>
      <c r="P12" s="422"/>
      <c r="Q12" s="413"/>
      <c r="R12" s="413"/>
      <c r="S12" s="413"/>
      <c r="T12" s="396"/>
    </row>
    <row r="13" spans="1:25" x14ac:dyDescent="0.25">
      <c r="A13" s="397" t="s">
        <v>0</v>
      </c>
      <c r="B13" s="22" t="s">
        <v>3</v>
      </c>
      <c r="C13" s="421">
        <f>+'3. Önk. Kiadások'!C13</f>
        <v>66622000</v>
      </c>
      <c r="D13" s="73">
        <f>+'3. Önk. Kiadások'!D13</f>
        <v>68241000</v>
      </c>
      <c r="E13" s="73">
        <f>+'3. Önk. Kiadások'!E13</f>
        <v>68524797</v>
      </c>
      <c r="F13" s="432">
        <f>+'3. Önk. Kiadások'!F13</f>
        <v>73579729</v>
      </c>
      <c r="G13" s="73">
        <f>+'3. Önk. Kiadások'!G13</f>
        <v>0</v>
      </c>
      <c r="H13" s="421">
        <f>+'3. Önk. Kiadások'!H13</f>
        <v>33091181</v>
      </c>
      <c r="I13" s="73">
        <f>+'3. Önk. Kiadások'!I13</f>
        <v>52878824</v>
      </c>
      <c r="J13" s="456">
        <f>+'3. Önk. Kiadások'!J13</f>
        <v>73579729</v>
      </c>
      <c r="K13" s="73"/>
      <c r="L13" s="528">
        <f>IF(D13=0,0,H13/D13)</f>
        <v>0.4849164138860802</v>
      </c>
      <c r="M13" s="528">
        <f>IF(E13=0,0,I13/E13)</f>
        <v>0.77167428894389867</v>
      </c>
      <c r="N13" s="529">
        <f>IF(F13=0,0,J13/F13)</f>
        <v>1</v>
      </c>
      <c r="O13" s="73"/>
      <c r="P13" s="421">
        <f>+D13-C13</f>
        <v>1619000</v>
      </c>
      <c r="Q13" s="73">
        <f>+E13-D13</f>
        <v>283797</v>
      </c>
      <c r="R13" s="73">
        <f>+F13-E13</f>
        <v>5054932</v>
      </c>
      <c r="S13" s="73">
        <f>+P$4*P13+Q$4*Q13*R$4*R13</f>
        <v>1619000</v>
      </c>
      <c r="T13" s="544">
        <f>IF(S13=0,0,S13/C13)</f>
        <v>2.4301281858845426E-2</v>
      </c>
    </row>
    <row r="14" spans="1:25" x14ac:dyDescent="0.25">
      <c r="A14" s="397" t="s">
        <v>22</v>
      </c>
      <c r="B14" s="56" t="s">
        <v>23</v>
      </c>
      <c r="C14" s="421">
        <f>+'3. Önk. Kiadások'!C29</f>
        <v>11000000</v>
      </c>
      <c r="D14" s="73">
        <f>+'3. Önk. Kiadások'!D29</f>
        <v>11000000</v>
      </c>
      <c r="E14" s="73">
        <f>+'3. Önk. Kiadások'!E29</f>
        <v>11000000</v>
      </c>
      <c r="F14" s="432">
        <f>+'3. Önk. Kiadások'!F29</f>
        <v>11762014</v>
      </c>
      <c r="G14" s="74"/>
      <c r="H14" s="421">
        <f>+'3. Önk. Kiadások'!H29</f>
        <v>5790855</v>
      </c>
      <c r="I14" s="73">
        <f>+'3. Önk. Kiadások'!I29</f>
        <v>8980382</v>
      </c>
      <c r="J14" s="456">
        <f>+'3. Önk. Kiadások'!J29</f>
        <v>11762014</v>
      </c>
      <c r="K14" s="74"/>
      <c r="L14" s="528">
        <f t="shared" ref="L14:L21" si="0">IF(D14=0,0,H14/D14)</f>
        <v>0.52644136363636362</v>
      </c>
      <c r="M14" s="528">
        <f t="shared" ref="M14:M21" si="1">IF(E14=0,0,I14/E14)</f>
        <v>0.81639836363636364</v>
      </c>
      <c r="N14" s="529">
        <f t="shared" ref="N14:N21" si="2">IF(F14=0,0,J14/F14)</f>
        <v>1</v>
      </c>
      <c r="O14" s="74"/>
      <c r="P14" s="421">
        <f t="shared" ref="P14:P21" si="3">+D14-C14</f>
        <v>0</v>
      </c>
      <c r="Q14" s="73">
        <f t="shared" ref="Q14:Q21" si="4">+E14-D14</f>
        <v>0</v>
      </c>
      <c r="R14" s="73">
        <f>+'3. Önk. Kiadások'!R29</f>
        <v>762014</v>
      </c>
      <c r="S14" s="73">
        <f t="shared" ref="S14:S21" si="5">+P$4*P14+Q$4*Q14*R$4*R14</f>
        <v>0</v>
      </c>
      <c r="T14" s="544">
        <f t="shared" ref="T14:T33" si="6">IF(S14=0,0,S14/C14)</f>
        <v>0</v>
      </c>
    </row>
    <row r="15" spans="1:25" x14ac:dyDescent="0.25">
      <c r="A15" s="397" t="s">
        <v>25</v>
      </c>
      <c r="B15" s="56" t="s">
        <v>26</v>
      </c>
      <c r="C15" s="421">
        <f>+'3. Önk. Kiadások'!C32</f>
        <v>162428000</v>
      </c>
      <c r="D15" s="73">
        <f>+'3. Önk. Kiadások'!D32</f>
        <v>150452970</v>
      </c>
      <c r="E15" s="73">
        <f>+'3. Önk. Kiadások'!E32</f>
        <v>201226541</v>
      </c>
      <c r="F15" s="432">
        <f>+'3. Önk. Kiadások'!F32</f>
        <v>199302595</v>
      </c>
      <c r="G15" s="74"/>
      <c r="H15" s="421">
        <f>+'3. Önk. Kiadások'!H32</f>
        <v>67263471</v>
      </c>
      <c r="I15" s="73">
        <f>+'3. Önk. Kiadások'!I32</f>
        <v>127937757</v>
      </c>
      <c r="J15" s="456">
        <f>+'3. Önk. Kiadások'!J32</f>
        <v>180172052</v>
      </c>
      <c r="K15" s="74"/>
      <c r="L15" s="528">
        <f t="shared" si="0"/>
        <v>0.44707306874699781</v>
      </c>
      <c r="M15" s="528">
        <f t="shared" si="1"/>
        <v>0.63578967448434154</v>
      </c>
      <c r="N15" s="529">
        <f t="shared" si="2"/>
        <v>0.90401257444741245</v>
      </c>
      <c r="O15" s="74"/>
      <c r="P15" s="421">
        <f t="shared" si="3"/>
        <v>-11975030</v>
      </c>
      <c r="Q15" s="73">
        <f t="shared" si="4"/>
        <v>50773571</v>
      </c>
      <c r="R15" s="73">
        <f>+'3. Önk. Kiadások'!R32</f>
        <v>-1923946</v>
      </c>
      <c r="S15" s="73">
        <f t="shared" si="5"/>
        <v>-11975030</v>
      </c>
      <c r="T15" s="544">
        <f t="shared" si="6"/>
        <v>-7.3725158223951537E-2</v>
      </c>
    </row>
    <row r="16" spans="1:25" x14ac:dyDescent="0.25">
      <c r="A16" s="397" t="s">
        <v>107</v>
      </c>
      <c r="B16" s="56" t="s">
        <v>475</v>
      </c>
      <c r="C16" s="421">
        <f>+'3. Önk. Kiadások'!C81</f>
        <v>22100000</v>
      </c>
      <c r="D16" s="73">
        <f>+'3. Önk. Kiadások'!D81</f>
        <v>24267500</v>
      </c>
      <c r="E16" s="73">
        <f>+'3. Önk. Kiadások'!E81</f>
        <v>20200000</v>
      </c>
      <c r="F16" s="432">
        <f>+'3. Önk. Kiadások'!F81</f>
        <v>20200000</v>
      </c>
      <c r="G16" s="74"/>
      <c r="H16" s="421">
        <f>+'3. Önk. Kiadások'!H81</f>
        <v>7396231</v>
      </c>
      <c r="I16" s="73">
        <f>+'3. Önk. Kiadások'!I81</f>
        <v>10496866</v>
      </c>
      <c r="J16" s="456">
        <f>+'3. Önk. Kiadások'!J81</f>
        <v>13764056</v>
      </c>
      <c r="K16" s="74"/>
      <c r="L16" s="528">
        <f t="shared" si="0"/>
        <v>0.30477927268981148</v>
      </c>
      <c r="M16" s="528">
        <f t="shared" si="1"/>
        <v>0.51964683168316828</v>
      </c>
      <c r="N16" s="529">
        <f t="shared" si="2"/>
        <v>0.68138891089108911</v>
      </c>
      <c r="O16" s="74"/>
      <c r="P16" s="421">
        <f t="shared" si="3"/>
        <v>2167500</v>
      </c>
      <c r="Q16" s="73">
        <f t="shared" si="4"/>
        <v>-4067500</v>
      </c>
      <c r="R16" s="73">
        <f>+'3. Önk. Kiadások'!R81</f>
        <v>0</v>
      </c>
      <c r="S16" s="73">
        <f t="shared" si="5"/>
        <v>2167500</v>
      </c>
      <c r="T16" s="544">
        <f t="shared" si="6"/>
        <v>9.8076923076923075E-2</v>
      </c>
    </row>
    <row r="17" spans="1:20" x14ac:dyDescent="0.25">
      <c r="A17" s="398" t="s">
        <v>371</v>
      </c>
      <c r="B17" s="56" t="s">
        <v>137</v>
      </c>
      <c r="C17" s="421">
        <f>+'3. Önk. Kiadások'!C106</f>
        <v>106777000</v>
      </c>
      <c r="D17" s="73">
        <f>+'3. Önk. Kiadások'!D106</f>
        <v>114831425</v>
      </c>
      <c r="E17" s="73">
        <f>+'3. Önk. Kiadások'!E106</f>
        <v>126926504</v>
      </c>
      <c r="F17" s="432">
        <f>+'3. Önk. Kiadások'!F106</f>
        <v>141693781</v>
      </c>
      <c r="G17" s="74"/>
      <c r="H17" s="421">
        <f>+'3. Önk. Kiadások'!H106</f>
        <v>68417711</v>
      </c>
      <c r="I17" s="73">
        <f>+'3. Önk. Kiadások'!I106</f>
        <v>111271404</v>
      </c>
      <c r="J17" s="456">
        <f>+'3. Önk. Kiadások'!J106</f>
        <v>136017681</v>
      </c>
      <c r="K17" s="74"/>
      <c r="L17" s="528">
        <f t="shared" si="0"/>
        <v>0.59580999713275351</v>
      </c>
      <c r="M17" s="528">
        <f t="shared" si="1"/>
        <v>0.87666011820509926</v>
      </c>
      <c r="N17" s="529">
        <f t="shared" si="2"/>
        <v>0.95994107885370072</v>
      </c>
      <c r="O17" s="74"/>
      <c r="P17" s="421">
        <f t="shared" si="3"/>
        <v>8054425</v>
      </c>
      <c r="Q17" s="73">
        <f t="shared" si="4"/>
        <v>12095079</v>
      </c>
      <c r="R17" s="73">
        <f>+'3. Önk. Kiadások'!R106</f>
        <v>14767277</v>
      </c>
      <c r="S17" s="73">
        <f t="shared" si="5"/>
        <v>8054425</v>
      </c>
      <c r="T17" s="544">
        <f t="shared" si="6"/>
        <v>7.5432209183625684E-2</v>
      </c>
    </row>
    <row r="18" spans="1:20" x14ac:dyDescent="0.25">
      <c r="A18" s="397" t="s">
        <v>154</v>
      </c>
      <c r="B18" s="56" t="s">
        <v>155</v>
      </c>
      <c r="C18" s="421">
        <f>+'3. Önk. Kiadások'!C120</f>
        <v>792250000</v>
      </c>
      <c r="D18" s="73">
        <f>+'3. Önk. Kiadások'!D120</f>
        <v>793165620</v>
      </c>
      <c r="E18" s="73">
        <f>+'3. Önk. Kiadások'!E120</f>
        <v>742381620</v>
      </c>
      <c r="F18" s="432">
        <f>+'3. Önk. Kiadások'!F120</f>
        <v>661513746</v>
      </c>
      <c r="G18" s="74"/>
      <c r="H18" s="421">
        <f>+'3. Önk. Kiadások'!H120</f>
        <v>97143389</v>
      </c>
      <c r="I18" s="73">
        <f>+'3. Önk. Kiadások'!I120</f>
        <v>175947301</v>
      </c>
      <c r="J18" s="456">
        <f>+'3. Önk. Kiadások'!J120</f>
        <v>233667739</v>
      </c>
      <c r="K18" s="74"/>
      <c r="L18" s="528">
        <f t="shared" si="0"/>
        <v>0.12247554174120659</v>
      </c>
      <c r="M18" s="528">
        <f t="shared" si="1"/>
        <v>0.23700384850583989</v>
      </c>
      <c r="N18" s="529">
        <f t="shared" si="2"/>
        <v>0.35323187222174518</v>
      </c>
      <c r="O18" s="74"/>
      <c r="P18" s="421">
        <f t="shared" si="3"/>
        <v>915620</v>
      </c>
      <c r="Q18" s="73">
        <f t="shared" si="4"/>
        <v>-50784000</v>
      </c>
      <c r="R18" s="73">
        <f>+'3. Önk. Kiadások'!R120</f>
        <v>-80867874</v>
      </c>
      <c r="S18" s="73">
        <f t="shared" si="5"/>
        <v>915620</v>
      </c>
      <c r="T18" s="544">
        <f t="shared" si="6"/>
        <v>1.1557210476491006E-3</v>
      </c>
    </row>
    <row r="19" spans="1:20" x14ac:dyDescent="0.25">
      <c r="A19" s="397" t="s">
        <v>169</v>
      </c>
      <c r="B19" s="56" t="s">
        <v>170</v>
      </c>
      <c r="C19" s="421">
        <f>+'3. Önk. Kiadások'!C129</f>
        <v>198800000</v>
      </c>
      <c r="D19" s="73">
        <f>+'3. Önk. Kiadások'!D129</f>
        <v>198800000</v>
      </c>
      <c r="E19" s="73">
        <f>+'3. Önk. Kiadások'!E129</f>
        <v>197263000</v>
      </c>
      <c r="F19" s="432">
        <f>+'3. Önk. Kiadások'!F129</f>
        <v>262758288</v>
      </c>
      <c r="G19" s="74"/>
      <c r="H19" s="421">
        <f>+'3. Önk. Kiadások'!H129</f>
        <v>15737344</v>
      </c>
      <c r="I19" s="73">
        <f>+'3. Önk. Kiadások'!I129</f>
        <v>68275190</v>
      </c>
      <c r="J19" s="456">
        <f>+'3. Önk. Kiadások'!J129</f>
        <v>223547903</v>
      </c>
      <c r="K19" s="74"/>
      <c r="L19" s="528">
        <f t="shared" si="0"/>
        <v>7.9161690140845065E-2</v>
      </c>
      <c r="M19" s="528">
        <f t="shared" si="1"/>
        <v>0.34611249955642975</v>
      </c>
      <c r="N19" s="529">
        <f t="shared" si="2"/>
        <v>0.85077393638673726</v>
      </c>
      <c r="O19" s="74"/>
      <c r="P19" s="421">
        <f t="shared" si="3"/>
        <v>0</v>
      </c>
      <c r="Q19" s="73">
        <f t="shared" si="4"/>
        <v>-1537000</v>
      </c>
      <c r="R19" s="73">
        <f>+'3. Önk. Kiadások'!R129</f>
        <v>65495288</v>
      </c>
      <c r="S19" s="73">
        <f t="shared" si="5"/>
        <v>0</v>
      </c>
      <c r="T19" s="544">
        <f t="shared" si="6"/>
        <v>0</v>
      </c>
    </row>
    <row r="20" spans="1:20" x14ac:dyDescent="0.25">
      <c r="A20" s="397" t="s">
        <v>179</v>
      </c>
      <c r="B20" s="56" t="s">
        <v>44</v>
      </c>
      <c r="C20" s="421">
        <f>+'3. Önk. Kiadások'!C135</f>
        <v>0</v>
      </c>
      <c r="D20" s="73">
        <f>+'3. Önk. Kiadások'!D135</f>
        <v>0</v>
      </c>
      <c r="E20" s="73">
        <f>+'3. Önk. Kiadások'!E135</f>
        <v>0</v>
      </c>
      <c r="F20" s="432">
        <f>+'3. Önk. Kiadások'!F135</f>
        <v>0</v>
      </c>
      <c r="G20" s="74"/>
      <c r="H20" s="421">
        <f>+'3. Önk. Kiadások'!H135</f>
        <v>0</v>
      </c>
      <c r="I20" s="73">
        <f>+'3. Önk. Kiadások'!I135</f>
        <v>0</v>
      </c>
      <c r="J20" s="456">
        <f>+'3. Önk. Kiadások'!J135</f>
        <v>0</v>
      </c>
      <c r="K20" s="74"/>
      <c r="L20" s="528">
        <f t="shared" si="0"/>
        <v>0</v>
      </c>
      <c r="M20" s="528">
        <f t="shared" si="1"/>
        <v>0</v>
      </c>
      <c r="N20" s="529">
        <f t="shared" si="2"/>
        <v>0</v>
      </c>
      <c r="O20" s="74"/>
      <c r="P20" s="421">
        <f t="shared" si="3"/>
        <v>0</v>
      </c>
      <c r="Q20" s="73">
        <f t="shared" si="4"/>
        <v>0</v>
      </c>
      <c r="R20" s="73">
        <f>+'3. Önk. Kiadások'!R135</f>
        <v>0</v>
      </c>
      <c r="S20" s="73">
        <f t="shared" si="5"/>
        <v>0</v>
      </c>
      <c r="T20" s="544">
        <f t="shared" si="6"/>
        <v>0</v>
      </c>
    </row>
    <row r="21" spans="1:20" x14ac:dyDescent="0.25">
      <c r="A21" s="397" t="s">
        <v>197</v>
      </c>
      <c r="B21" s="56" t="s">
        <v>198</v>
      </c>
      <c r="C21" s="421">
        <f>+'3. Önk. Kiadások'!C145</f>
        <v>535243607.02999997</v>
      </c>
      <c r="D21" s="73">
        <f>+'3. Önk. Kiadások'!D145</f>
        <v>544090785</v>
      </c>
      <c r="E21" s="73">
        <f>+'3. Önk. Kiadások'!E145</f>
        <v>547364785</v>
      </c>
      <c r="F21" s="432">
        <f>+'3. Önk. Kiadások'!F145</f>
        <v>531647428</v>
      </c>
      <c r="G21" s="74"/>
      <c r="H21" s="421">
        <f>+'3. Önk. Kiadások'!H145</f>
        <v>277698930</v>
      </c>
      <c r="I21" s="73">
        <f>+'3. Önk. Kiadások'!I145</f>
        <v>402220672</v>
      </c>
      <c r="J21" s="456">
        <f>+'3. Önk. Kiadások'!J145</f>
        <v>531647428</v>
      </c>
      <c r="K21" s="74"/>
      <c r="L21" s="528">
        <f t="shared" si="0"/>
        <v>0.51039079810917953</v>
      </c>
      <c r="M21" s="528">
        <f t="shared" si="1"/>
        <v>0.73483110901991988</v>
      </c>
      <c r="N21" s="529">
        <f t="shared" si="2"/>
        <v>1</v>
      </c>
      <c r="O21" s="74"/>
      <c r="P21" s="421">
        <f t="shared" si="3"/>
        <v>8847177.9700000286</v>
      </c>
      <c r="Q21" s="73">
        <f t="shared" si="4"/>
        <v>3274000</v>
      </c>
      <c r="R21" s="73">
        <f>+'3. Önk. Kiadások'!R145</f>
        <v>-15717357</v>
      </c>
      <c r="S21" s="73">
        <f t="shared" si="5"/>
        <v>8847177.9700000286</v>
      </c>
      <c r="T21" s="544">
        <f t="shared" si="6"/>
        <v>1.652925481743148E-2</v>
      </c>
    </row>
    <row r="22" spans="1:20" x14ac:dyDescent="0.25">
      <c r="A22" s="399"/>
      <c r="B22" s="383" t="s">
        <v>373</v>
      </c>
      <c r="C22" s="423">
        <f>SUM(C13:C21)</f>
        <v>1895220607.03</v>
      </c>
      <c r="D22" s="384">
        <f t="shared" ref="D22:J22" si="7">SUM(D13:D21)</f>
        <v>1904849300</v>
      </c>
      <c r="E22" s="384">
        <f t="shared" si="7"/>
        <v>1914887247</v>
      </c>
      <c r="F22" s="440">
        <f t="shared" si="7"/>
        <v>1902457581</v>
      </c>
      <c r="G22" s="384"/>
      <c r="H22" s="423">
        <f t="shared" si="7"/>
        <v>572539112</v>
      </c>
      <c r="I22" s="384">
        <f t="shared" si="7"/>
        <v>958008396</v>
      </c>
      <c r="J22" s="385">
        <f t="shared" si="7"/>
        <v>1404158602</v>
      </c>
      <c r="K22" s="201"/>
      <c r="L22" s="530">
        <f>IF(D22=0,0,H22/D22)</f>
        <v>0.30056924293171117</v>
      </c>
      <c r="M22" s="530">
        <f>IF(E22=0,0,I22/E22)</f>
        <v>0.50029493773112999</v>
      </c>
      <c r="N22" s="531">
        <f>IF(F22=0,0,J22/F22)</f>
        <v>0.73807616843783919</v>
      </c>
      <c r="O22" s="201"/>
      <c r="P22" s="423">
        <f>SUM(P13:P21)</f>
        <v>9628692.9700000286</v>
      </c>
      <c r="Q22" s="384">
        <f>SUM(Q13:Q21)</f>
        <v>10037947</v>
      </c>
      <c r="R22" s="384">
        <f>SUM(R13:R21)</f>
        <v>-12429666</v>
      </c>
      <c r="S22" s="385">
        <f>SUM(S13:S21)</f>
        <v>9628692.9700000286</v>
      </c>
      <c r="T22" s="545">
        <f t="shared" si="6"/>
        <v>5.0805130201117604E-3</v>
      </c>
    </row>
    <row r="23" spans="1:20" x14ac:dyDescent="0.25">
      <c r="A23" s="397"/>
      <c r="C23" s="421"/>
      <c r="D23" s="74"/>
      <c r="E23" s="74"/>
      <c r="F23" s="438"/>
      <c r="G23" s="74"/>
      <c r="H23" s="430"/>
      <c r="I23" s="215"/>
      <c r="J23" s="454"/>
      <c r="K23" s="74"/>
      <c r="L23" s="528"/>
      <c r="M23" s="528"/>
      <c r="N23" s="529"/>
      <c r="O23" s="74"/>
      <c r="P23" s="421"/>
      <c r="Q23" s="73"/>
      <c r="R23" s="73"/>
      <c r="S23" s="73"/>
      <c r="T23" s="544"/>
    </row>
    <row r="24" spans="1:20" x14ac:dyDescent="0.25">
      <c r="A24" s="397" t="s">
        <v>237</v>
      </c>
      <c r="B24" s="22" t="s">
        <v>442</v>
      </c>
      <c r="C24" s="421">
        <f>+'2. Önk. Bevételek'!C13</f>
        <v>572340889</v>
      </c>
      <c r="D24" s="73">
        <f>+'2. Önk. Bevételek'!D13</f>
        <v>581856889</v>
      </c>
      <c r="E24" s="73">
        <f>+'2. Önk. Bevételek'!E13</f>
        <v>581856889</v>
      </c>
      <c r="F24" s="432">
        <f>+'2. Önk. Bevételek'!F13</f>
        <v>604993966</v>
      </c>
      <c r="G24" s="73">
        <f>+'3. Önk. Kiadások'!G13</f>
        <v>0</v>
      </c>
      <c r="H24" s="421">
        <f>+'2. Önk. Bevételek'!H13</f>
        <v>303198626</v>
      </c>
      <c r="I24" s="73">
        <f>+'2. Önk. Bevételek'!I13</f>
        <v>462396099</v>
      </c>
      <c r="J24" s="456">
        <f>+'2. Önk. Bevételek'!J13</f>
        <v>604867525</v>
      </c>
      <c r="K24" s="73"/>
      <c r="L24" s="528">
        <f t="shared" ref="L24:L33" si="8">IF(D24=0,0,H24/D24)</f>
        <v>0.52108797151321518</v>
      </c>
      <c r="M24" s="528">
        <f t="shared" ref="M24:M33" si="9">IF(E24=0,0,I24/E24)</f>
        <v>0.79469042601642204</v>
      </c>
      <c r="N24" s="529">
        <f t="shared" ref="N24:N33" si="10">IF(F24=0,0,J24/F24)</f>
        <v>0.99979100452714265</v>
      </c>
      <c r="O24" s="73"/>
      <c r="P24" s="421">
        <f t="shared" ref="P24:P32" si="11">+D24-C24</f>
        <v>9516000</v>
      </c>
      <c r="Q24" s="73">
        <f t="shared" ref="Q24:Q32" si="12">+E24-D24</f>
        <v>0</v>
      </c>
      <c r="R24" s="73">
        <f t="shared" ref="R24:R32" si="13">+F24-E24</f>
        <v>23137077</v>
      </c>
      <c r="S24" s="73">
        <f t="shared" ref="S24:S32" si="14">+P$4*P24+Q$4*Q24*R$4*R24</f>
        <v>9516000</v>
      </c>
      <c r="T24" s="544">
        <f t="shared" si="6"/>
        <v>1.6626454937766991E-2</v>
      </c>
    </row>
    <row r="25" spans="1:20" x14ac:dyDescent="0.25">
      <c r="A25" s="398" t="s">
        <v>258</v>
      </c>
      <c r="B25" s="22" t="s">
        <v>441</v>
      </c>
      <c r="C25" s="421">
        <f>+'2. Önk. Bevételek'!C30</f>
        <v>285600000</v>
      </c>
      <c r="D25" s="73">
        <f>+'2. Önk. Bevételek'!D30</f>
        <v>285600000</v>
      </c>
      <c r="E25" s="73">
        <f>+'2. Önk. Bevételek'!E30</f>
        <v>285600000</v>
      </c>
      <c r="F25" s="432">
        <f>+'2. Önk. Bevételek'!F30</f>
        <v>241108000</v>
      </c>
      <c r="G25" s="74"/>
      <c r="H25" s="421">
        <f>+'2. Önk. Bevételek'!H30</f>
        <v>52664113</v>
      </c>
      <c r="I25" s="73">
        <f>+'2. Önk. Bevételek'!I30</f>
        <v>50464113</v>
      </c>
      <c r="J25" s="456">
        <f>+'2. Önk. Bevételek'!J30</f>
        <v>147169193</v>
      </c>
      <c r="K25" s="74"/>
      <c r="L25" s="528">
        <f t="shared" si="8"/>
        <v>0.18439815476190477</v>
      </c>
      <c r="M25" s="528">
        <f t="shared" si="9"/>
        <v>0.17669507352941177</v>
      </c>
      <c r="N25" s="529">
        <f t="shared" si="10"/>
        <v>0.61038701743616963</v>
      </c>
      <c r="O25" s="74"/>
      <c r="P25" s="421">
        <f t="shared" si="11"/>
        <v>0</v>
      </c>
      <c r="Q25" s="73">
        <f t="shared" si="12"/>
        <v>0</v>
      </c>
      <c r="R25" s="73">
        <f t="shared" si="13"/>
        <v>-44492000</v>
      </c>
      <c r="S25" s="73">
        <f t="shared" si="14"/>
        <v>0</v>
      </c>
      <c r="T25" s="544">
        <f t="shared" si="6"/>
        <v>0</v>
      </c>
    </row>
    <row r="26" spans="1:20" x14ac:dyDescent="0.25">
      <c r="A26" s="398" t="s">
        <v>266</v>
      </c>
      <c r="B26" s="22" t="s">
        <v>267</v>
      </c>
      <c r="C26" s="421">
        <f>+'2. Önk. Bevételek'!C39</f>
        <v>238500000</v>
      </c>
      <c r="D26" s="73">
        <f>+'2. Önk. Bevételek'!D39</f>
        <v>238500000</v>
      </c>
      <c r="E26" s="73">
        <f>+'2. Önk. Bevételek'!E39</f>
        <v>238500000</v>
      </c>
      <c r="F26" s="432">
        <f>+'2. Önk. Bevételek'!F39</f>
        <v>274449000</v>
      </c>
      <c r="G26" s="74"/>
      <c r="H26" s="421">
        <f>+'2. Önk. Bevételek'!H39</f>
        <v>126487519</v>
      </c>
      <c r="I26" s="73">
        <f>+'2. Önk. Bevételek'!I39</f>
        <v>188691308</v>
      </c>
      <c r="J26" s="456">
        <f>+'2. Önk. Bevételek'!J39</f>
        <v>274433456</v>
      </c>
      <c r="K26" s="74"/>
      <c r="L26" s="528">
        <f t="shared" si="8"/>
        <v>0.53034599161425577</v>
      </c>
      <c r="M26" s="528">
        <f t="shared" si="9"/>
        <v>0.79115852410901466</v>
      </c>
      <c r="N26" s="529">
        <f t="shared" si="10"/>
        <v>0.99994336288345009</v>
      </c>
      <c r="O26" s="74"/>
      <c r="P26" s="421">
        <f t="shared" si="11"/>
        <v>0</v>
      </c>
      <c r="Q26" s="73">
        <f t="shared" si="12"/>
        <v>0</v>
      </c>
      <c r="R26" s="73">
        <f t="shared" si="13"/>
        <v>35949000</v>
      </c>
      <c r="S26" s="73">
        <f t="shared" si="14"/>
        <v>0</v>
      </c>
      <c r="T26" s="544">
        <f t="shared" si="6"/>
        <v>0</v>
      </c>
    </row>
    <row r="27" spans="1:20" x14ac:dyDescent="0.25">
      <c r="A27" s="398" t="s">
        <v>280</v>
      </c>
      <c r="B27" s="22" t="s">
        <v>281</v>
      </c>
      <c r="C27" s="421">
        <f>+'2. Önk. Bevételek'!C50</f>
        <v>228427649</v>
      </c>
      <c r="D27" s="73">
        <f>+'2. Önk. Bevételek'!D50</f>
        <v>288427649</v>
      </c>
      <c r="E27" s="73">
        <f>+'2. Önk. Bevételek'!E50</f>
        <v>327733560</v>
      </c>
      <c r="F27" s="432">
        <f>+'2. Önk. Bevételek'!F50</f>
        <v>320559203</v>
      </c>
      <c r="G27" s="74"/>
      <c r="H27" s="421">
        <f>+'2. Önk. Bevételek'!H50</f>
        <v>237582694</v>
      </c>
      <c r="I27" s="73">
        <f>+'2. Önk. Bevételek'!I50</f>
        <v>304508752</v>
      </c>
      <c r="J27" s="456">
        <f>+'2. Önk. Bevételek'!J50</f>
        <v>323809514</v>
      </c>
      <c r="K27" s="74"/>
      <c r="L27" s="528">
        <f t="shared" si="8"/>
        <v>0.82371677896941153</v>
      </c>
      <c r="M27" s="528">
        <f t="shared" si="9"/>
        <v>0.92913509376336068</v>
      </c>
      <c r="N27" s="529">
        <f t="shared" si="10"/>
        <v>1.0101395029984523</v>
      </c>
      <c r="O27" s="74"/>
      <c r="P27" s="421">
        <f t="shared" si="11"/>
        <v>60000000</v>
      </c>
      <c r="Q27" s="73">
        <f t="shared" si="12"/>
        <v>39305911</v>
      </c>
      <c r="R27" s="73">
        <f t="shared" si="13"/>
        <v>-7174357</v>
      </c>
      <c r="S27" s="73">
        <f t="shared" si="14"/>
        <v>60000000</v>
      </c>
      <c r="T27" s="544">
        <f t="shared" si="6"/>
        <v>0.2626652257844671</v>
      </c>
    </row>
    <row r="28" spans="1:20" x14ac:dyDescent="0.25">
      <c r="A28" s="398" t="s">
        <v>306</v>
      </c>
      <c r="B28" s="22" t="s">
        <v>307</v>
      </c>
      <c r="C28" s="421">
        <f>+'2. Önk. Bevételek'!C67</f>
        <v>99395520</v>
      </c>
      <c r="D28" s="73">
        <f>+'2. Önk. Bevételek'!D67</f>
        <v>99395520</v>
      </c>
      <c r="E28" s="73">
        <f>+'2. Önk. Bevételek'!E67</f>
        <v>60089609</v>
      </c>
      <c r="F28" s="432">
        <f>+'2. Önk. Bevételek'!F67</f>
        <v>40240223</v>
      </c>
      <c r="G28" s="74"/>
      <c r="H28" s="421">
        <f>+'2. Önk. Bevételek'!H67</f>
        <v>24370866</v>
      </c>
      <c r="I28" s="73">
        <f>+'2. Önk. Bevételek'!I67</f>
        <v>27956388</v>
      </c>
      <c r="J28" s="456">
        <f>+'2. Önk. Bevételek'!J67</f>
        <v>36042225</v>
      </c>
      <c r="K28" s="74"/>
      <c r="L28" s="528">
        <f t="shared" si="8"/>
        <v>0.24519078928305824</v>
      </c>
      <c r="M28" s="528">
        <f t="shared" si="9"/>
        <v>0.46524496439975171</v>
      </c>
      <c r="N28" s="529">
        <f t="shared" si="10"/>
        <v>0.89567657217008967</v>
      </c>
      <c r="O28" s="74"/>
      <c r="P28" s="421">
        <f t="shared" si="11"/>
        <v>0</v>
      </c>
      <c r="Q28" s="73">
        <f t="shared" si="12"/>
        <v>-39305911</v>
      </c>
      <c r="R28" s="73">
        <f t="shared" si="13"/>
        <v>-19849386</v>
      </c>
      <c r="S28" s="73">
        <f t="shared" si="14"/>
        <v>0</v>
      </c>
      <c r="T28" s="544">
        <f t="shared" si="6"/>
        <v>0</v>
      </c>
    </row>
    <row r="29" spans="1:20" x14ac:dyDescent="0.25">
      <c r="A29" s="398" t="s">
        <v>316</v>
      </c>
      <c r="B29" s="22" t="s">
        <v>317</v>
      </c>
      <c r="C29" s="421">
        <f>+'2. Önk. Bevételek'!C72</f>
        <v>0</v>
      </c>
      <c r="D29" s="73">
        <f>+'2. Önk. Bevételek'!D72</f>
        <v>0</v>
      </c>
      <c r="E29" s="73">
        <f>+'2. Önk. Bevételek'!E72</f>
        <v>10037947</v>
      </c>
      <c r="F29" s="432">
        <f>+'2. Önk. Bevételek'!F72</f>
        <v>10037947</v>
      </c>
      <c r="G29" s="74"/>
      <c r="H29" s="421">
        <f>+'2. Önk. Bevételek'!H72</f>
        <v>0</v>
      </c>
      <c r="I29" s="73">
        <f>+'2. Önk. Bevételek'!I72</f>
        <v>0</v>
      </c>
      <c r="J29" s="456">
        <f>+'2. Önk. Bevételek'!J72</f>
        <v>0</v>
      </c>
      <c r="K29" s="74"/>
      <c r="L29" s="528">
        <f t="shared" si="8"/>
        <v>0</v>
      </c>
      <c r="M29" s="528">
        <f t="shared" si="9"/>
        <v>0</v>
      </c>
      <c r="N29" s="529">
        <f t="shared" si="10"/>
        <v>0</v>
      </c>
      <c r="O29" s="74"/>
      <c r="P29" s="421">
        <f t="shared" si="11"/>
        <v>0</v>
      </c>
      <c r="Q29" s="73">
        <f t="shared" si="12"/>
        <v>10037947</v>
      </c>
      <c r="R29" s="73">
        <f t="shared" si="13"/>
        <v>0</v>
      </c>
      <c r="S29" s="73">
        <f t="shared" si="14"/>
        <v>0</v>
      </c>
      <c r="T29" s="544">
        <f t="shared" si="6"/>
        <v>0</v>
      </c>
    </row>
    <row r="30" spans="1:20" x14ac:dyDescent="0.25">
      <c r="A30" s="398" t="s">
        <v>322</v>
      </c>
      <c r="B30" s="22" t="s">
        <v>323</v>
      </c>
      <c r="C30" s="421">
        <f>+'2. Önk. Bevételek'!C76</f>
        <v>60000000</v>
      </c>
      <c r="D30" s="73">
        <f>+'2. Önk. Bevételek'!D76</f>
        <v>112693</v>
      </c>
      <c r="E30" s="73">
        <f>+'2. Önk. Bevételek'!E76</f>
        <v>112693</v>
      </c>
      <c r="F30" s="432">
        <f>+'2. Önk. Bevételek'!F76</f>
        <v>112693</v>
      </c>
      <c r="G30" s="74"/>
      <c r="H30" s="421">
        <f>+'2. Önk. Bevételek'!H76</f>
        <v>352000</v>
      </c>
      <c r="I30" s="73">
        <f>+'2. Önk. Bevételek'!I76</f>
        <v>718078</v>
      </c>
      <c r="J30" s="456">
        <f>+'2. Önk. Bevételek'!J76</f>
        <v>939676</v>
      </c>
      <c r="K30" s="74"/>
      <c r="L30" s="528">
        <f t="shared" si="8"/>
        <v>3.1235302991312683</v>
      </c>
      <c r="M30" s="528">
        <f t="shared" si="9"/>
        <v>6.3719840628965416</v>
      </c>
      <c r="N30" s="529">
        <f t="shared" si="10"/>
        <v>8.3383706175183914</v>
      </c>
      <c r="O30" s="74"/>
      <c r="P30" s="421">
        <f t="shared" si="11"/>
        <v>-59887307</v>
      </c>
      <c r="Q30" s="73">
        <f t="shared" si="12"/>
        <v>0</v>
      </c>
      <c r="R30" s="73">
        <f t="shared" si="13"/>
        <v>0</v>
      </c>
      <c r="S30" s="73">
        <f t="shared" si="14"/>
        <v>-59887307</v>
      </c>
      <c r="T30" s="544">
        <f t="shared" si="6"/>
        <v>-0.99812178333333335</v>
      </c>
    </row>
    <row r="31" spans="1:20" x14ac:dyDescent="0.25">
      <c r="A31" s="398" t="s">
        <v>450</v>
      </c>
      <c r="B31" s="56"/>
      <c r="C31" s="424">
        <f>+'2. Önk. Bevételek'!C80-C32</f>
        <v>0</v>
      </c>
      <c r="D31" s="314">
        <f>+'2. Önk. Bevételek'!D80-D32</f>
        <v>0</v>
      </c>
      <c r="E31" s="314">
        <f>+'2. Önk. Bevételek'!E80-E32</f>
        <v>0</v>
      </c>
      <c r="F31" s="441">
        <f>+'2. Önk. Bevételek'!F80-F32</f>
        <v>0</v>
      </c>
      <c r="G31" s="392"/>
      <c r="H31" s="424">
        <f>+'2. Önk. Bevételek'!H80-H32</f>
        <v>0</v>
      </c>
      <c r="I31" s="314">
        <f>+'2. Önk. Bevételek'!I80-I32</f>
        <v>0</v>
      </c>
      <c r="J31" s="457">
        <f>+'2. Önk. Bevételek'!J80-J32</f>
        <v>0</v>
      </c>
      <c r="K31" s="74"/>
      <c r="L31" s="528">
        <f t="shared" si="8"/>
        <v>0</v>
      </c>
      <c r="M31" s="528">
        <f t="shared" si="9"/>
        <v>0</v>
      </c>
      <c r="N31" s="529">
        <f t="shared" si="10"/>
        <v>0</v>
      </c>
      <c r="O31" s="392"/>
      <c r="P31" s="421">
        <f t="shared" si="11"/>
        <v>0</v>
      </c>
      <c r="Q31" s="73">
        <f t="shared" si="12"/>
        <v>0</v>
      </c>
      <c r="R31" s="73">
        <f t="shared" si="13"/>
        <v>0</v>
      </c>
      <c r="S31" s="73">
        <f t="shared" si="14"/>
        <v>0</v>
      </c>
      <c r="T31" s="544">
        <f t="shared" si="6"/>
        <v>0</v>
      </c>
    </row>
    <row r="32" spans="1:20" x14ac:dyDescent="0.25">
      <c r="A32" s="397" t="s">
        <v>444</v>
      </c>
      <c r="B32" s="56"/>
      <c r="C32" s="424">
        <f>+'2. Önk. Bevételek'!C87</f>
        <v>410956549</v>
      </c>
      <c r="D32" s="314">
        <f>+'2. Önk. Bevételek'!D87</f>
        <v>410956549</v>
      </c>
      <c r="E32" s="314">
        <f>+'2. Önk. Bevételek'!E87</f>
        <v>410956549</v>
      </c>
      <c r="F32" s="441">
        <f>+'2. Önk. Bevételek'!F87</f>
        <v>410956549</v>
      </c>
      <c r="G32" s="392"/>
      <c r="H32" s="424">
        <f>+'2. Önk. Bevételek'!H87</f>
        <v>410956549</v>
      </c>
      <c r="I32" s="314">
        <f>+'2. Önk. Bevételek'!I87</f>
        <v>410956549</v>
      </c>
      <c r="J32" s="457">
        <f>+'2. Önk. Bevételek'!J87</f>
        <v>432249173</v>
      </c>
      <c r="K32" s="74"/>
      <c r="L32" s="528">
        <f t="shared" si="8"/>
        <v>1</v>
      </c>
      <c r="M32" s="528">
        <f t="shared" si="9"/>
        <v>1</v>
      </c>
      <c r="N32" s="529">
        <f t="shared" si="10"/>
        <v>1.0518123486578139</v>
      </c>
      <c r="O32" s="392"/>
      <c r="P32" s="421">
        <f t="shared" si="11"/>
        <v>0</v>
      </c>
      <c r="Q32" s="73">
        <f t="shared" si="12"/>
        <v>0</v>
      </c>
      <c r="R32" s="73">
        <f t="shared" si="13"/>
        <v>0</v>
      </c>
      <c r="S32" s="73">
        <f t="shared" si="14"/>
        <v>0</v>
      </c>
      <c r="T32" s="544">
        <f t="shared" si="6"/>
        <v>0</v>
      </c>
    </row>
    <row r="33" spans="1:20" x14ac:dyDescent="0.25">
      <c r="A33" s="401"/>
      <c r="B33" s="383" t="s">
        <v>372</v>
      </c>
      <c r="C33" s="423">
        <f>SUM(C24:C32)</f>
        <v>1895220607</v>
      </c>
      <c r="D33" s="384">
        <f t="shared" ref="D33:J33" si="15">SUM(D24:D32)</f>
        <v>1904849300</v>
      </c>
      <c r="E33" s="384">
        <f t="shared" si="15"/>
        <v>1914887247</v>
      </c>
      <c r="F33" s="440">
        <f t="shared" si="15"/>
        <v>1902457581</v>
      </c>
      <c r="G33" s="384"/>
      <c r="H33" s="423">
        <f t="shared" si="15"/>
        <v>1155612367</v>
      </c>
      <c r="I33" s="384">
        <f t="shared" si="15"/>
        <v>1445691287</v>
      </c>
      <c r="J33" s="385">
        <f t="shared" si="15"/>
        <v>1819510762</v>
      </c>
      <c r="K33" s="386"/>
      <c r="L33" s="532">
        <f t="shared" si="8"/>
        <v>0.60666865720033603</v>
      </c>
      <c r="M33" s="532">
        <f t="shared" si="9"/>
        <v>0.75497462801787618</v>
      </c>
      <c r="N33" s="533">
        <f t="shared" si="10"/>
        <v>0.95640017426491042</v>
      </c>
      <c r="O33" s="386"/>
      <c r="P33" s="423">
        <f>SUM(P24:P32)</f>
        <v>9628693</v>
      </c>
      <c r="Q33" s="384">
        <f>SUM(Q24:Q32)</f>
        <v>10037947</v>
      </c>
      <c r="R33" s="384">
        <f>SUM(R24:R32)</f>
        <v>-12429666</v>
      </c>
      <c r="S33" s="385">
        <f>SUM(S24:S32)</f>
        <v>9628693</v>
      </c>
      <c r="T33" s="545">
        <f t="shared" si="6"/>
        <v>5.0805130360214576E-3</v>
      </c>
    </row>
    <row r="34" spans="1:20" x14ac:dyDescent="0.25">
      <c r="A34" s="400"/>
      <c r="B34" s="73"/>
      <c r="C34" s="421"/>
      <c r="D34" s="73"/>
      <c r="E34" s="73"/>
      <c r="F34" s="432"/>
      <c r="G34" s="73"/>
      <c r="H34" s="421"/>
      <c r="I34" s="73"/>
      <c r="J34" s="456"/>
      <c r="K34" s="73"/>
      <c r="L34" s="528"/>
      <c r="M34" s="528"/>
      <c r="N34" s="529"/>
      <c r="O34" s="73"/>
      <c r="P34" s="421"/>
      <c r="Q34" s="73"/>
      <c r="R34" s="73"/>
      <c r="S34" s="73"/>
      <c r="T34" s="546"/>
    </row>
    <row r="35" spans="1:20" ht="13.8" thickBot="1" x14ac:dyDescent="0.3">
      <c r="A35" s="403"/>
      <c r="B35" s="404" t="s">
        <v>451</v>
      </c>
      <c r="C35" s="425">
        <f>+C33-C22</f>
        <v>-2.9999971389770508E-2</v>
      </c>
      <c r="D35" s="405">
        <f>+D33-D22</f>
        <v>0</v>
      </c>
      <c r="E35" s="405">
        <f>+E33-E22</f>
        <v>0</v>
      </c>
      <c r="F35" s="442">
        <f>+F33-F22</f>
        <v>0</v>
      </c>
      <c r="G35" s="405"/>
      <c r="H35" s="425">
        <f>+H33-H22</f>
        <v>583073255</v>
      </c>
      <c r="I35" s="405">
        <f>+I33-I22</f>
        <v>487682891</v>
      </c>
      <c r="J35" s="407">
        <f>+J33-J22</f>
        <v>415352160</v>
      </c>
      <c r="K35" s="406"/>
      <c r="L35" s="534">
        <f>IF(D35=0,0,H35/D35)</f>
        <v>0</v>
      </c>
      <c r="M35" s="534">
        <f>IF(E35=0,0,I35/E35)</f>
        <v>0</v>
      </c>
      <c r="N35" s="535">
        <f>IF(F35=0,0,J35/F35)</f>
        <v>0</v>
      </c>
      <c r="O35" s="406"/>
      <c r="P35" s="425">
        <f>+P33-P22</f>
        <v>2.9999971389770508E-2</v>
      </c>
      <c r="Q35" s="405">
        <f>+Q33-Q22</f>
        <v>0</v>
      </c>
      <c r="R35" s="405">
        <f>+R33-R22</f>
        <v>0</v>
      </c>
      <c r="S35" s="407">
        <f>+S33-S22</f>
        <v>2.9999971389770508E-2</v>
      </c>
      <c r="T35" s="547"/>
    </row>
    <row r="36" spans="1:20" x14ac:dyDescent="0.25">
      <c r="C36" s="421"/>
      <c r="D36" s="74"/>
      <c r="E36" s="74"/>
      <c r="F36" s="438"/>
      <c r="G36" s="74"/>
      <c r="H36" s="430"/>
      <c r="I36" s="215"/>
      <c r="J36" s="454"/>
      <c r="K36" s="74"/>
      <c r="L36" s="528"/>
      <c r="M36" s="528"/>
      <c r="N36" s="529"/>
      <c r="O36" s="74"/>
      <c r="P36" s="421"/>
      <c r="Q36" s="73"/>
      <c r="R36" s="73"/>
      <c r="S36" s="73"/>
      <c r="T36" s="546"/>
    </row>
    <row r="37" spans="1:20" ht="13.8" thickBot="1" x14ac:dyDescent="0.3">
      <c r="C37" s="421"/>
      <c r="D37" s="74"/>
      <c r="E37" s="74"/>
      <c r="F37" s="438"/>
      <c r="G37" s="74"/>
      <c r="H37" s="430"/>
      <c r="I37" s="215"/>
      <c r="J37" s="454"/>
      <c r="K37" s="74"/>
      <c r="L37" s="528"/>
      <c r="M37" s="528"/>
      <c r="N37" s="529"/>
      <c r="O37" s="74"/>
      <c r="P37" s="421"/>
      <c r="Q37" s="73">
        <f>+P42*P4+Q42*Q4</f>
        <v>0</v>
      </c>
      <c r="R37" s="73"/>
      <c r="S37" s="73"/>
      <c r="T37" s="546"/>
    </row>
    <row r="38" spans="1:20" ht="18" thickBot="1" x14ac:dyDescent="0.35">
      <c r="A38" s="410" t="s">
        <v>465</v>
      </c>
      <c r="B38" s="437"/>
      <c r="D38" s="74"/>
      <c r="E38" s="74"/>
      <c r="F38" s="438"/>
      <c r="G38" s="74"/>
      <c r="H38" s="430"/>
      <c r="I38" s="215"/>
      <c r="J38" s="454"/>
      <c r="K38" s="74"/>
      <c r="L38" s="528"/>
      <c r="M38" s="528"/>
      <c r="N38" s="529"/>
      <c r="O38" s="74"/>
      <c r="P38" s="421"/>
      <c r="Q38" s="73"/>
      <c r="R38" s="73"/>
      <c r="S38" s="73"/>
      <c r="T38" s="546"/>
    </row>
    <row r="39" spans="1:20" x14ac:dyDescent="0.25">
      <c r="A39" s="393"/>
      <c r="B39" s="394"/>
      <c r="C39" s="422"/>
      <c r="D39" s="414"/>
      <c r="E39" s="414"/>
      <c r="F39" s="439"/>
      <c r="G39" s="414"/>
      <c r="H39" s="431"/>
      <c r="I39" s="415"/>
      <c r="J39" s="455"/>
      <c r="K39" s="414"/>
      <c r="L39" s="536"/>
      <c r="M39" s="536"/>
      <c r="N39" s="537"/>
      <c r="O39" s="414"/>
      <c r="P39" s="422"/>
      <c r="Q39" s="413"/>
      <c r="R39" s="413"/>
      <c r="S39" s="413"/>
      <c r="T39" s="548"/>
    </row>
    <row r="40" spans="1:20" x14ac:dyDescent="0.25">
      <c r="A40" s="397" t="s">
        <v>0</v>
      </c>
      <c r="B40" s="56" t="str">
        <f t="shared" ref="B40:B48" si="16">+B13</f>
        <v>Személyi juttatások</v>
      </c>
      <c r="C40" s="421">
        <f>+'4. Dr Gáspár HSZK'!C13</f>
        <v>26281954</v>
      </c>
      <c r="D40" s="73">
        <f>+'4. Dr Gáspár HSZK'!D13</f>
        <v>26281954</v>
      </c>
      <c r="E40" s="73">
        <f>+'4. Dr Gáspár HSZK'!E13</f>
        <v>26281954</v>
      </c>
      <c r="F40" s="432">
        <f>+'4. Dr Gáspár HSZK'!F13</f>
        <v>25037660</v>
      </c>
      <c r="G40" s="73"/>
      <c r="H40" s="421">
        <f>+'4. Dr Gáspár HSZK'!H13</f>
        <v>11842617</v>
      </c>
      <c r="I40" s="73">
        <f>+'4. Dr Gáspár HSZK'!I13</f>
        <v>18141800</v>
      </c>
      <c r="J40" s="456">
        <f>+'4. Dr Gáspár HSZK'!J13</f>
        <v>24992323</v>
      </c>
      <c r="K40" s="73"/>
      <c r="L40" s="528">
        <f t="shared" ref="L40:L49" si="17">IF(D40=0,0,H40/D40)</f>
        <v>0.45059880250912848</v>
      </c>
      <c r="M40" s="528">
        <f t="shared" ref="M40:M49" si="18">IF(E40=0,0,I40/E40)</f>
        <v>0.69027592088472567</v>
      </c>
      <c r="N40" s="529">
        <f t="shared" ref="N40:N49" si="19">IF(F40=0,0,J40/F40)</f>
        <v>0.99818924771723871</v>
      </c>
      <c r="O40" s="73"/>
      <c r="P40" s="421">
        <f t="shared" ref="P40:P48" si="20">+D40-C40</f>
        <v>0</v>
      </c>
      <c r="Q40" s="73">
        <f t="shared" ref="Q40:Q48" si="21">+E40-D40</f>
        <v>0</v>
      </c>
      <c r="R40" s="73">
        <f t="shared" ref="R40:R48" si="22">+F40-E40</f>
        <v>-1244294</v>
      </c>
      <c r="S40" s="73">
        <f t="shared" ref="S40:S48" si="23">+P$4*P40+Q$4*Q40*R$4*R40</f>
        <v>0</v>
      </c>
      <c r="T40" s="544">
        <f>IF(S40=0,0,S40/C40)</f>
        <v>0</v>
      </c>
    </row>
    <row r="41" spans="1:20" x14ac:dyDescent="0.25">
      <c r="A41" s="397" t="s">
        <v>22</v>
      </c>
      <c r="B41" s="56" t="str">
        <f t="shared" si="16"/>
        <v>Munkaadót terhelő járulékok és szociális hozzájárulás</v>
      </c>
      <c r="C41" s="421">
        <f>+'4. Dr Gáspár HSZK'!C29</f>
        <v>4876356.03</v>
      </c>
      <c r="D41" s="73">
        <f>+'4. Dr Gáspár HSZK'!D29</f>
        <v>4876356</v>
      </c>
      <c r="E41" s="73">
        <f>+'4. Dr Gáspár HSZK'!E29</f>
        <v>4876356</v>
      </c>
      <c r="F41" s="432">
        <f>+'4. Dr Gáspár HSZK'!F29</f>
        <v>4876356</v>
      </c>
      <c r="G41" s="73"/>
      <c r="H41" s="421">
        <f>+'4. Dr Gáspár HSZK'!H29</f>
        <v>2545934</v>
      </c>
      <c r="I41" s="73">
        <f>+'4. Dr Gáspár HSZK'!I29</f>
        <v>3690717</v>
      </c>
      <c r="J41" s="456">
        <f>+'4. Dr Gáspár HSZK'!J29</f>
        <v>4832317</v>
      </c>
      <c r="K41" s="73"/>
      <c r="L41" s="528">
        <f t="shared" si="17"/>
        <v>0.52209764832592209</v>
      </c>
      <c r="M41" s="528">
        <f t="shared" si="18"/>
        <v>0.75685963042895144</v>
      </c>
      <c r="N41" s="529">
        <f t="shared" si="19"/>
        <v>0.99096887101762055</v>
      </c>
      <c r="O41" s="73"/>
      <c r="P41" s="421">
        <f t="shared" si="20"/>
        <v>-3.0000000260770321E-2</v>
      </c>
      <c r="Q41" s="73">
        <f t="shared" si="21"/>
        <v>0</v>
      </c>
      <c r="R41" s="73">
        <f t="shared" si="22"/>
        <v>0</v>
      </c>
      <c r="S41" s="73">
        <f t="shared" si="23"/>
        <v>-3.0000000260770321E-2</v>
      </c>
      <c r="T41" s="544">
        <f t="shared" ref="T41:T60" si="24">IF(S41=0,0,S41/C41)</f>
        <v>-6.1521349294855158E-9</v>
      </c>
    </row>
    <row r="42" spans="1:20" x14ac:dyDescent="0.25">
      <c r="A42" s="397" t="s">
        <v>25</v>
      </c>
      <c r="B42" s="56" t="str">
        <f t="shared" si="16"/>
        <v>Dologi kiadások</v>
      </c>
      <c r="C42" s="421">
        <f>+'4. Dr Gáspár HSZK'!C32</f>
        <v>10130000</v>
      </c>
      <c r="D42" s="73">
        <f>+'4. Dr Gáspár HSZK'!D32</f>
        <v>10130000</v>
      </c>
      <c r="E42" s="73">
        <f>+'4. Dr Gáspár HSZK'!E32</f>
        <v>10130000</v>
      </c>
      <c r="F42" s="432">
        <f>+'4. Dr Gáspár HSZK'!F32</f>
        <v>9678988</v>
      </c>
      <c r="G42" s="73"/>
      <c r="H42" s="424">
        <f>+'4. Dr Gáspár HSZK'!H32</f>
        <v>3117797</v>
      </c>
      <c r="I42" s="314">
        <f>+'4. Dr Gáspár HSZK'!I32</f>
        <v>5702808</v>
      </c>
      <c r="J42" s="456">
        <f>+'4. Dr Gáspár HSZK'!J32</f>
        <v>8871614</v>
      </c>
      <c r="K42" s="73"/>
      <c r="L42" s="528">
        <f t="shared" si="17"/>
        <v>0.30777857847976309</v>
      </c>
      <c r="M42" s="528">
        <f t="shared" si="18"/>
        <v>0.56296229022704836</v>
      </c>
      <c r="N42" s="529">
        <f t="shared" si="19"/>
        <v>0.9165848743690973</v>
      </c>
      <c r="O42" s="73"/>
      <c r="P42" s="421">
        <f t="shared" si="20"/>
        <v>0</v>
      </c>
      <c r="Q42" s="73">
        <f t="shared" si="21"/>
        <v>0</v>
      </c>
      <c r="R42" s="73">
        <f t="shared" si="22"/>
        <v>-451012</v>
      </c>
      <c r="S42" s="73">
        <f t="shared" si="23"/>
        <v>0</v>
      </c>
      <c r="T42" s="544">
        <f t="shared" si="24"/>
        <v>0</v>
      </c>
    </row>
    <row r="43" spans="1:20" x14ac:dyDescent="0.25">
      <c r="A43" s="397" t="s">
        <v>107</v>
      </c>
      <c r="B43" s="56" t="str">
        <f t="shared" si="16"/>
        <v>Elláttotak pénzbeli juttatásai</v>
      </c>
      <c r="C43" s="421"/>
      <c r="D43" s="73"/>
      <c r="E43" s="73"/>
      <c r="F43" s="432"/>
      <c r="G43" s="73"/>
      <c r="H43" s="421"/>
      <c r="I43" s="73"/>
      <c r="J43" s="456"/>
      <c r="K43" s="73"/>
      <c r="L43" s="528">
        <f t="shared" si="17"/>
        <v>0</v>
      </c>
      <c r="M43" s="528">
        <f t="shared" si="18"/>
        <v>0</v>
      </c>
      <c r="N43" s="529">
        <f t="shared" si="19"/>
        <v>0</v>
      </c>
      <c r="O43" s="73"/>
      <c r="P43" s="421">
        <f t="shared" si="20"/>
        <v>0</v>
      </c>
      <c r="Q43" s="73">
        <f t="shared" si="21"/>
        <v>0</v>
      </c>
      <c r="R43" s="73">
        <f t="shared" si="22"/>
        <v>0</v>
      </c>
      <c r="S43" s="73">
        <f t="shared" si="23"/>
        <v>0</v>
      </c>
      <c r="T43" s="544">
        <f t="shared" si="24"/>
        <v>0</v>
      </c>
    </row>
    <row r="44" spans="1:20" x14ac:dyDescent="0.25">
      <c r="A44" s="398" t="s">
        <v>371</v>
      </c>
      <c r="B44" s="56" t="str">
        <f t="shared" si="16"/>
        <v>Egyéb működési célú kiadások</v>
      </c>
      <c r="C44" s="421"/>
      <c r="D44" s="73"/>
      <c r="E44" s="73"/>
      <c r="F44" s="432"/>
      <c r="G44" s="73"/>
      <c r="H44" s="421"/>
      <c r="I44" s="73"/>
      <c r="J44" s="456"/>
      <c r="K44" s="73"/>
      <c r="L44" s="528">
        <f t="shared" si="17"/>
        <v>0</v>
      </c>
      <c r="M44" s="528">
        <f t="shared" si="18"/>
        <v>0</v>
      </c>
      <c r="N44" s="529">
        <f t="shared" si="19"/>
        <v>0</v>
      </c>
      <c r="O44" s="73"/>
      <c r="P44" s="421">
        <f t="shared" si="20"/>
        <v>0</v>
      </c>
      <c r="Q44" s="73">
        <f t="shared" si="21"/>
        <v>0</v>
      </c>
      <c r="R44" s="73">
        <f t="shared" si="22"/>
        <v>0</v>
      </c>
      <c r="S44" s="73">
        <f t="shared" si="23"/>
        <v>0</v>
      </c>
      <c r="T44" s="544">
        <f t="shared" si="24"/>
        <v>0</v>
      </c>
    </row>
    <row r="45" spans="1:20" x14ac:dyDescent="0.25">
      <c r="A45" s="397" t="s">
        <v>154</v>
      </c>
      <c r="B45" s="56" t="str">
        <f t="shared" si="16"/>
        <v>Beruházások</v>
      </c>
      <c r="C45" s="421">
        <f>+'4. Dr Gáspár HSZK'!C83</f>
        <v>120000</v>
      </c>
      <c r="D45" s="73">
        <f>+'4. Dr Gáspár HSZK'!D83</f>
        <v>120000</v>
      </c>
      <c r="E45" s="73">
        <f>+'4. Dr Gáspár HSZK'!E83</f>
        <v>120000</v>
      </c>
      <c r="F45" s="432">
        <f>+'4. Dr Gáspár HSZK'!F83</f>
        <v>120000</v>
      </c>
      <c r="G45" s="73"/>
      <c r="H45" s="421">
        <f>+'4. Dr Gáspár HSZK'!H83</f>
        <v>0</v>
      </c>
      <c r="I45" s="73">
        <f>+'4. Dr Gáspár HSZK'!I83</f>
        <v>0</v>
      </c>
      <c r="J45" s="456">
        <f>+'4. Dr Gáspár HSZK'!J83</f>
        <v>22200</v>
      </c>
      <c r="K45" s="73">
        <f>+'4. Dr Gáspár HSZK'!K83</f>
        <v>0</v>
      </c>
      <c r="L45" s="528">
        <f t="shared" si="17"/>
        <v>0</v>
      </c>
      <c r="M45" s="528">
        <f t="shared" si="18"/>
        <v>0</v>
      </c>
      <c r="N45" s="529">
        <f t="shared" si="19"/>
        <v>0.185</v>
      </c>
      <c r="O45" s="73"/>
      <c r="P45" s="421">
        <f t="shared" si="20"/>
        <v>0</v>
      </c>
      <c r="Q45" s="73">
        <f t="shared" si="21"/>
        <v>0</v>
      </c>
      <c r="R45" s="73">
        <f t="shared" si="22"/>
        <v>0</v>
      </c>
      <c r="S45" s="73">
        <f t="shared" si="23"/>
        <v>0</v>
      </c>
      <c r="T45" s="544">
        <f t="shared" si="24"/>
        <v>0</v>
      </c>
    </row>
    <row r="46" spans="1:20" x14ac:dyDescent="0.25">
      <c r="A46" s="397" t="s">
        <v>169</v>
      </c>
      <c r="B46" s="56" t="str">
        <f t="shared" si="16"/>
        <v>Felújítások</v>
      </c>
      <c r="C46" s="421">
        <f>+'4. Dr Gáspár HSZK'!C86</f>
        <v>0</v>
      </c>
      <c r="D46" s="73">
        <f>+'4. Dr Gáspár HSZK'!D86</f>
        <v>0</v>
      </c>
      <c r="E46" s="73">
        <f>+'4. Dr Gáspár HSZK'!E86</f>
        <v>0</v>
      </c>
      <c r="F46" s="432">
        <f>+'4. Dr Gáspár HSZK'!F86</f>
        <v>0</v>
      </c>
      <c r="G46" s="73"/>
      <c r="H46" s="421">
        <f>+'4. Dr Gáspár HSZK'!H86</f>
        <v>0</v>
      </c>
      <c r="I46" s="73">
        <f>+'4. Dr Gáspár HSZK'!I86</f>
        <v>0</v>
      </c>
      <c r="J46" s="456">
        <f>+'4. Dr Gáspár HSZK'!J86</f>
        <v>0</v>
      </c>
      <c r="K46" s="73">
        <f>+'4. Dr Gáspár HSZK'!K86</f>
        <v>0</v>
      </c>
      <c r="L46" s="528">
        <f t="shared" si="17"/>
        <v>0</v>
      </c>
      <c r="M46" s="528">
        <f t="shared" si="18"/>
        <v>0</v>
      </c>
      <c r="N46" s="529">
        <f t="shared" si="19"/>
        <v>0</v>
      </c>
      <c r="O46" s="73"/>
      <c r="P46" s="421">
        <f t="shared" si="20"/>
        <v>0</v>
      </c>
      <c r="Q46" s="73">
        <f t="shared" si="21"/>
        <v>0</v>
      </c>
      <c r="R46" s="73">
        <f t="shared" si="22"/>
        <v>0</v>
      </c>
      <c r="S46" s="73">
        <f t="shared" si="23"/>
        <v>0</v>
      </c>
      <c r="T46" s="544">
        <f t="shared" si="24"/>
        <v>0</v>
      </c>
    </row>
    <row r="47" spans="1:20" x14ac:dyDescent="0.25">
      <c r="A47" s="397" t="s">
        <v>179</v>
      </c>
      <c r="B47" s="56" t="str">
        <f t="shared" si="16"/>
        <v>Szolgáltatások kiadásai</v>
      </c>
      <c r="C47" s="421"/>
      <c r="D47" s="73"/>
      <c r="E47" s="73"/>
      <c r="F47" s="432"/>
      <c r="G47" s="73"/>
      <c r="H47" s="421"/>
      <c r="I47" s="73"/>
      <c r="J47" s="456"/>
      <c r="K47" s="73"/>
      <c r="L47" s="528">
        <f t="shared" si="17"/>
        <v>0</v>
      </c>
      <c r="M47" s="528">
        <f t="shared" si="18"/>
        <v>0</v>
      </c>
      <c r="N47" s="529">
        <f t="shared" si="19"/>
        <v>0</v>
      </c>
      <c r="O47" s="73"/>
      <c r="P47" s="421">
        <f t="shared" si="20"/>
        <v>0</v>
      </c>
      <c r="Q47" s="73">
        <f t="shared" si="21"/>
        <v>0</v>
      </c>
      <c r="R47" s="73">
        <f t="shared" si="22"/>
        <v>0</v>
      </c>
      <c r="S47" s="73">
        <f t="shared" si="23"/>
        <v>0</v>
      </c>
      <c r="T47" s="544">
        <f t="shared" si="24"/>
        <v>0</v>
      </c>
    </row>
    <row r="48" spans="1:20" x14ac:dyDescent="0.25">
      <c r="A48" s="397" t="s">
        <v>197</v>
      </c>
      <c r="B48" s="56" t="str">
        <f t="shared" si="16"/>
        <v>Finanszírozási kiadások</v>
      </c>
      <c r="C48" s="400"/>
      <c r="F48" s="443"/>
      <c r="H48" s="400"/>
      <c r="J48" s="454"/>
      <c r="L48" s="528">
        <f t="shared" si="17"/>
        <v>0</v>
      </c>
      <c r="M48" s="528">
        <f t="shared" si="18"/>
        <v>0</v>
      </c>
      <c r="N48" s="529">
        <f t="shared" si="19"/>
        <v>0</v>
      </c>
      <c r="P48" s="421">
        <f t="shared" si="20"/>
        <v>0</v>
      </c>
      <c r="Q48" s="73">
        <f t="shared" si="21"/>
        <v>0</v>
      </c>
      <c r="R48" s="73">
        <f t="shared" si="22"/>
        <v>0</v>
      </c>
      <c r="S48" s="73">
        <f t="shared" si="23"/>
        <v>0</v>
      </c>
      <c r="T48" s="544">
        <f t="shared" si="24"/>
        <v>0</v>
      </c>
    </row>
    <row r="49" spans="1:20" x14ac:dyDescent="0.25">
      <c r="A49" s="399"/>
      <c r="B49" s="383" t="s">
        <v>373</v>
      </c>
      <c r="C49" s="423">
        <f>SUM(C40:C48)</f>
        <v>41408310.030000001</v>
      </c>
      <c r="D49" s="384">
        <f>SUM(D40:D48)</f>
        <v>41408310</v>
      </c>
      <c r="E49" s="384">
        <f>SUM(E40:E48)</f>
        <v>41408310</v>
      </c>
      <c r="F49" s="440">
        <f>SUM(F40:F48)</f>
        <v>39713004</v>
      </c>
      <c r="G49" s="384"/>
      <c r="H49" s="423">
        <f>SUM(H40:H48)</f>
        <v>17506348</v>
      </c>
      <c r="I49" s="384">
        <f>SUM(I40:I48)</f>
        <v>27535325</v>
      </c>
      <c r="J49" s="385">
        <f>SUM(J40:J48)</f>
        <v>38718454</v>
      </c>
      <c r="K49" s="201"/>
      <c r="L49" s="530">
        <f t="shared" si="17"/>
        <v>0.42277378622793349</v>
      </c>
      <c r="M49" s="530">
        <f t="shared" si="18"/>
        <v>0.66497099253748826</v>
      </c>
      <c r="N49" s="531">
        <f t="shared" si="19"/>
        <v>0.97495656586442059</v>
      </c>
      <c r="O49" s="201"/>
      <c r="P49" s="423">
        <f>SUM(P40:P48)</f>
        <v>-3.0000000260770321E-2</v>
      </c>
      <c r="Q49" s="384">
        <f>SUM(Q40:Q48)</f>
        <v>0</v>
      </c>
      <c r="R49" s="384">
        <f>SUM(R40:R48)</f>
        <v>-1695306</v>
      </c>
      <c r="S49" s="385">
        <f>SUM(S40:S48)</f>
        <v>-3.0000000260770321E-2</v>
      </c>
      <c r="T49" s="545">
        <f t="shared" si="24"/>
        <v>-7.2449226348613489E-10</v>
      </c>
    </row>
    <row r="50" spans="1:20" x14ac:dyDescent="0.25">
      <c r="A50" s="400"/>
      <c r="C50" s="421"/>
      <c r="D50" s="74"/>
      <c r="E50" s="74"/>
      <c r="F50" s="438"/>
      <c r="G50" s="74"/>
      <c r="H50" s="430"/>
      <c r="I50" s="215"/>
      <c r="J50" s="454"/>
      <c r="K50" s="74"/>
      <c r="L50" s="528"/>
      <c r="M50" s="528"/>
      <c r="N50" s="529"/>
      <c r="O50" s="74"/>
      <c r="P50" s="421"/>
      <c r="Q50" s="73"/>
      <c r="R50" s="73"/>
      <c r="S50" s="73"/>
      <c r="T50" s="544"/>
    </row>
    <row r="51" spans="1:20" x14ac:dyDescent="0.25">
      <c r="A51" s="397" t="str">
        <f t="shared" ref="A51:A59" si="25">+A24</f>
        <v>B1</v>
      </c>
      <c r="B51" s="56" t="s">
        <v>442</v>
      </c>
      <c r="C51" s="421">
        <f>+'4. Dr Gáspár HSZK'!C93</f>
        <v>0</v>
      </c>
      <c r="D51" s="73">
        <f>+'4. Dr Gáspár HSZK'!D93</f>
        <v>0</v>
      </c>
      <c r="E51" s="73">
        <f>+'4. Dr Gáspár HSZK'!E93</f>
        <v>0</v>
      </c>
      <c r="F51" s="432">
        <f>+'4. Dr Gáspár HSZK'!F93</f>
        <v>0</v>
      </c>
      <c r="G51" s="73">
        <f>+'4. Dr Gáspár HSZK'!G93</f>
        <v>0</v>
      </c>
      <c r="H51" s="421">
        <f>+'4. Dr Gáspár HSZK'!H93</f>
        <v>0</v>
      </c>
      <c r="I51" s="73">
        <f>+'4. Dr Gáspár HSZK'!I93</f>
        <v>0</v>
      </c>
      <c r="J51" s="456">
        <f>+'4. Dr Gáspár HSZK'!J93</f>
        <v>0</v>
      </c>
      <c r="K51" s="73"/>
      <c r="L51" s="528">
        <f t="shared" ref="L51:L60" si="26">IF(D51=0,0,H51/D51)</f>
        <v>0</v>
      </c>
      <c r="M51" s="528">
        <f t="shared" ref="M51:M60" si="27">IF(E51=0,0,I51/E51)</f>
        <v>0</v>
      </c>
      <c r="N51" s="529">
        <f t="shared" ref="N51:N60" si="28">IF(F51=0,0,J51/F51)</f>
        <v>0</v>
      </c>
      <c r="O51" s="73"/>
      <c r="P51" s="421">
        <f t="shared" ref="P51:P59" si="29">+D51-C51</f>
        <v>0</v>
      </c>
      <c r="Q51" s="73">
        <f t="shared" ref="Q51:Q59" si="30">+E51-D51</f>
        <v>0</v>
      </c>
      <c r="R51" s="73">
        <f t="shared" ref="R51:R59" si="31">+F51-E51</f>
        <v>0</v>
      </c>
      <c r="S51" s="73">
        <f t="shared" ref="S51:S59" si="32">+P$4*P51+Q$4*Q51*R$4*R51</f>
        <v>0</v>
      </c>
      <c r="T51" s="544">
        <f t="shared" si="24"/>
        <v>0</v>
      </c>
    </row>
    <row r="52" spans="1:20" x14ac:dyDescent="0.25">
      <c r="A52" s="397" t="str">
        <f t="shared" si="25"/>
        <v>B2</v>
      </c>
      <c r="B52" s="56" t="s">
        <v>441</v>
      </c>
      <c r="C52" s="421"/>
      <c r="D52" s="73"/>
      <c r="E52" s="73"/>
      <c r="F52" s="432"/>
      <c r="G52" s="73"/>
      <c r="H52" s="421"/>
      <c r="I52" s="73"/>
      <c r="J52" s="456"/>
      <c r="K52" s="73"/>
      <c r="L52" s="528">
        <f t="shared" si="26"/>
        <v>0</v>
      </c>
      <c r="M52" s="528">
        <f t="shared" si="27"/>
        <v>0</v>
      </c>
      <c r="N52" s="529">
        <f t="shared" si="28"/>
        <v>0</v>
      </c>
      <c r="O52" s="73"/>
      <c r="P52" s="421">
        <f t="shared" si="29"/>
        <v>0</v>
      </c>
      <c r="Q52" s="73">
        <f t="shared" si="30"/>
        <v>0</v>
      </c>
      <c r="R52" s="73">
        <f t="shared" si="31"/>
        <v>0</v>
      </c>
      <c r="S52" s="73">
        <f t="shared" si="32"/>
        <v>0</v>
      </c>
      <c r="T52" s="544">
        <f t="shared" si="24"/>
        <v>0</v>
      </c>
    </row>
    <row r="53" spans="1:20" x14ac:dyDescent="0.25">
      <c r="A53" s="397" t="str">
        <f t="shared" si="25"/>
        <v>B3</v>
      </c>
      <c r="B53" s="56" t="s">
        <v>267</v>
      </c>
      <c r="C53" s="421"/>
      <c r="D53" s="73"/>
      <c r="E53" s="73"/>
      <c r="F53" s="432"/>
      <c r="G53" s="73"/>
      <c r="H53" s="421"/>
      <c r="I53" s="73"/>
      <c r="J53" s="456"/>
      <c r="K53" s="73"/>
      <c r="L53" s="528">
        <f t="shared" si="26"/>
        <v>0</v>
      </c>
      <c r="M53" s="528">
        <f t="shared" si="27"/>
        <v>0</v>
      </c>
      <c r="N53" s="529">
        <f t="shared" si="28"/>
        <v>0</v>
      </c>
      <c r="O53" s="73"/>
      <c r="P53" s="421">
        <f t="shared" si="29"/>
        <v>0</v>
      </c>
      <c r="Q53" s="73">
        <f t="shared" si="30"/>
        <v>0</v>
      </c>
      <c r="R53" s="73">
        <f t="shared" si="31"/>
        <v>0</v>
      </c>
      <c r="S53" s="73">
        <f t="shared" si="32"/>
        <v>0</v>
      </c>
      <c r="T53" s="544">
        <f t="shared" si="24"/>
        <v>0</v>
      </c>
    </row>
    <row r="54" spans="1:20" x14ac:dyDescent="0.25">
      <c r="A54" s="397" t="str">
        <f t="shared" si="25"/>
        <v>B4</v>
      </c>
      <c r="B54" s="56" t="s">
        <v>281</v>
      </c>
      <c r="C54" s="421">
        <f>+'4. Dr Gáspár HSZK'!C95</f>
        <v>7110000</v>
      </c>
      <c r="D54" s="73">
        <f>+'4. Dr Gáspár HSZK'!D95</f>
        <v>7110000</v>
      </c>
      <c r="E54" s="73">
        <f>+'4. Dr Gáspár HSZK'!E95</f>
        <v>7110000</v>
      </c>
      <c r="F54" s="432">
        <f>+'4. Dr Gáspár HSZK'!F95</f>
        <v>7110000</v>
      </c>
      <c r="G54" s="73"/>
      <c r="H54" s="421">
        <f>+'4. Dr Gáspár HSZK'!H95</f>
        <v>2602942</v>
      </c>
      <c r="I54" s="73">
        <f>+'4. Dr Gáspár HSZK'!I95</f>
        <v>4348032</v>
      </c>
      <c r="J54" s="456">
        <f>+'4. Dr Gáspár HSZK'!J95</f>
        <v>6351342</v>
      </c>
      <c r="K54" s="73"/>
      <c r="L54" s="528">
        <f t="shared" si="26"/>
        <v>0.36609592123769341</v>
      </c>
      <c r="M54" s="528">
        <f t="shared" si="27"/>
        <v>0.61153755274261601</v>
      </c>
      <c r="N54" s="529">
        <f t="shared" si="28"/>
        <v>0.89329704641350216</v>
      </c>
      <c r="O54" s="73"/>
      <c r="P54" s="421">
        <f t="shared" si="29"/>
        <v>0</v>
      </c>
      <c r="Q54" s="73">
        <f t="shared" si="30"/>
        <v>0</v>
      </c>
      <c r="R54" s="73">
        <f t="shared" si="31"/>
        <v>0</v>
      </c>
      <c r="S54" s="73">
        <f t="shared" si="32"/>
        <v>0</v>
      </c>
      <c r="T54" s="544">
        <f t="shared" si="24"/>
        <v>0</v>
      </c>
    </row>
    <row r="55" spans="1:20" x14ac:dyDescent="0.25">
      <c r="A55" s="397" t="str">
        <f t="shared" si="25"/>
        <v>B5</v>
      </c>
      <c r="B55" s="56" t="s">
        <v>307</v>
      </c>
      <c r="C55" s="421"/>
      <c r="D55" s="73"/>
      <c r="E55" s="73"/>
      <c r="F55" s="432"/>
      <c r="G55" s="73"/>
      <c r="H55" s="421"/>
      <c r="I55" s="73"/>
      <c r="J55" s="456"/>
      <c r="K55" s="73"/>
      <c r="L55" s="528">
        <f t="shared" si="26"/>
        <v>0</v>
      </c>
      <c r="M55" s="528">
        <f t="shared" si="27"/>
        <v>0</v>
      </c>
      <c r="N55" s="529">
        <f t="shared" si="28"/>
        <v>0</v>
      </c>
      <c r="O55" s="73"/>
      <c r="P55" s="421">
        <f t="shared" si="29"/>
        <v>0</v>
      </c>
      <c r="Q55" s="73">
        <f t="shared" si="30"/>
        <v>0</v>
      </c>
      <c r="R55" s="73">
        <f t="shared" si="31"/>
        <v>0</v>
      </c>
      <c r="S55" s="73">
        <f t="shared" si="32"/>
        <v>0</v>
      </c>
      <c r="T55" s="544">
        <f t="shared" si="24"/>
        <v>0</v>
      </c>
    </row>
    <row r="56" spans="1:20" x14ac:dyDescent="0.25">
      <c r="A56" s="397" t="str">
        <f t="shared" si="25"/>
        <v>B6</v>
      </c>
      <c r="B56" s="56" t="s">
        <v>317</v>
      </c>
      <c r="C56" s="421"/>
      <c r="D56" s="73"/>
      <c r="E56" s="73"/>
      <c r="F56" s="432"/>
      <c r="G56" s="73"/>
      <c r="H56" s="421"/>
      <c r="I56" s="73"/>
      <c r="J56" s="456"/>
      <c r="K56" s="73"/>
      <c r="L56" s="528">
        <f t="shared" si="26"/>
        <v>0</v>
      </c>
      <c r="M56" s="528">
        <f t="shared" si="27"/>
        <v>0</v>
      </c>
      <c r="N56" s="529">
        <f t="shared" si="28"/>
        <v>0</v>
      </c>
      <c r="O56" s="73"/>
      <c r="P56" s="421">
        <f t="shared" si="29"/>
        <v>0</v>
      </c>
      <c r="Q56" s="73">
        <f t="shared" si="30"/>
        <v>0</v>
      </c>
      <c r="R56" s="73">
        <f t="shared" si="31"/>
        <v>0</v>
      </c>
      <c r="S56" s="73">
        <f t="shared" si="32"/>
        <v>0</v>
      </c>
      <c r="T56" s="544">
        <f t="shared" si="24"/>
        <v>0</v>
      </c>
    </row>
    <row r="57" spans="1:20" x14ac:dyDescent="0.25">
      <c r="A57" s="397" t="str">
        <f t="shared" si="25"/>
        <v>B7</v>
      </c>
      <c r="B57" s="56" t="s">
        <v>323</v>
      </c>
      <c r="C57" s="421"/>
      <c r="D57" s="73"/>
      <c r="E57" s="73"/>
      <c r="F57" s="432"/>
      <c r="G57" s="73"/>
      <c r="H57" s="421"/>
      <c r="I57" s="73"/>
      <c r="J57" s="456"/>
      <c r="K57" s="73"/>
      <c r="L57" s="528">
        <f t="shared" si="26"/>
        <v>0</v>
      </c>
      <c r="M57" s="528">
        <f t="shared" si="27"/>
        <v>0</v>
      </c>
      <c r="N57" s="529">
        <f t="shared" si="28"/>
        <v>0</v>
      </c>
      <c r="O57" s="73"/>
      <c r="P57" s="421">
        <f t="shared" si="29"/>
        <v>0</v>
      </c>
      <c r="Q57" s="73">
        <f t="shared" si="30"/>
        <v>0</v>
      </c>
      <c r="R57" s="73">
        <f t="shared" si="31"/>
        <v>0</v>
      </c>
      <c r="S57" s="73">
        <f t="shared" si="32"/>
        <v>0</v>
      </c>
      <c r="T57" s="544">
        <f>IF(S57=0,0,S57/C57)</f>
        <v>0</v>
      </c>
    </row>
    <row r="58" spans="1:20" x14ac:dyDescent="0.25">
      <c r="A58" s="397" t="str">
        <f t="shared" si="25"/>
        <v>B8-ból maradványértéken túli finanszírozási bevételek</v>
      </c>
      <c r="B58" s="56"/>
      <c r="C58" s="421">
        <f>+'4. Dr Gáspár HSZK'!C99-C59</f>
        <v>33628310.030000001</v>
      </c>
      <c r="D58" s="73">
        <f>+'4. Dr Gáspár HSZK'!D99-D59</f>
        <v>32959488</v>
      </c>
      <c r="E58" s="73">
        <f>+'4. Dr Gáspár HSZK'!E99-E59</f>
        <v>32959488</v>
      </c>
      <c r="F58" s="432">
        <f>+'4. Dr Gáspár HSZK'!F99-F59</f>
        <v>31264182</v>
      </c>
      <c r="G58" s="73"/>
      <c r="H58" s="421">
        <f>+'4. Dr Gáspár HSZK'!H99-H59</f>
        <v>15328283</v>
      </c>
      <c r="I58" s="73">
        <f>+'4. Dr Gáspár HSZK'!I99-I59</f>
        <v>23495274</v>
      </c>
      <c r="J58" s="456">
        <f>+'4. Dr Gáspár HSZK'!J99-J59</f>
        <v>31264182</v>
      </c>
      <c r="K58" s="73"/>
      <c r="L58" s="528">
        <f t="shared" si="26"/>
        <v>0.46506435415501601</v>
      </c>
      <c r="M58" s="528">
        <f t="shared" si="27"/>
        <v>0.71285312441746673</v>
      </c>
      <c r="N58" s="529">
        <f t="shared" si="28"/>
        <v>1</v>
      </c>
      <c r="O58" s="73"/>
      <c r="P58" s="421">
        <f t="shared" si="29"/>
        <v>-668822.03000000119</v>
      </c>
      <c r="Q58" s="73">
        <f t="shared" si="30"/>
        <v>0</v>
      </c>
      <c r="R58" s="73">
        <f t="shared" si="31"/>
        <v>-1695306</v>
      </c>
      <c r="S58" s="73">
        <f t="shared" si="32"/>
        <v>-668822.03000000119</v>
      </c>
      <c r="T58" s="544">
        <f t="shared" si="24"/>
        <v>-1.9888660161731034E-2</v>
      </c>
    </row>
    <row r="59" spans="1:20" x14ac:dyDescent="0.25">
      <c r="A59" s="397" t="str">
        <f t="shared" si="25"/>
        <v>B8-ból előző évi mardvány igénybevétele</v>
      </c>
      <c r="B59" s="56"/>
      <c r="C59" s="421">
        <f>+'4. Dr Gáspár HSZK'!C101</f>
        <v>670000</v>
      </c>
      <c r="D59" s="73">
        <f>+'4. Dr Gáspár HSZK'!D101</f>
        <v>1338822</v>
      </c>
      <c r="E59" s="73">
        <f>+'4. Dr Gáspár HSZK'!E101</f>
        <v>1338822</v>
      </c>
      <c r="F59" s="432">
        <f>+'4. Dr Gáspár HSZK'!F101</f>
        <v>1338822</v>
      </c>
      <c r="G59" s="73"/>
      <c r="H59" s="421">
        <f>+'4. Dr Gáspár HSZK'!H101</f>
        <v>1338822</v>
      </c>
      <c r="I59" s="73">
        <f>+'4. Dr Gáspár HSZK'!I101</f>
        <v>1338822</v>
      </c>
      <c r="J59" s="456">
        <f>+'4. Dr Gáspár HSZK'!J101</f>
        <v>1338822</v>
      </c>
      <c r="K59" s="73"/>
      <c r="L59" s="528">
        <f t="shared" si="26"/>
        <v>1</v>
      </c>
      <c r="M59" s="528">
        <f t="shared" si="27"/>
        <v>1</v>
      </c>
      <c r="N59" s="529">
        <f t="shared" si="28"/>
        <v>1</v>
      </c>
      <c r="O59" s="73"/>
      <c r="P59" s="421">
        <f t="shared" si="29"/>
        <v>668822</v>
      </c>
      <c r="Q59" s="73">
        <f t="shared" si="30"/>
        <v>0</v>
      </c>
      <c r="R59" s="73">
        <f t="shared" si="31"/>
        <v>0</v>
      </c>
      <c r="S59" s="73">
        <f t="shared" si="32"/>
        <v>668822</v>
      </c>
      <c r="T59" s="544">
        <f t="shared" si="24"/>
        <v>0.99824179104477617</v>
      </c>
    </row>
    <row r="60" spans="1:20" x14ac:dyDescent="0.25">
      <c r="A60" s="401"/>
      <c r="B60" s="383" t="s">
        <v>372</v>
      </c>
      <c r="C60" s="423">
        <f>SUM(C51:C59)</f>
        <v>41408310.030000001</v>
      </c>
      <c r="D60" s="384">
        <f>SUM(D51:D59)</f>
        <v>41408310</v>
      </c>
      <c r="E60" s="384">
        <f>SUM(E51:E59)</f>
        <v>41408310</v>
      </c>
      <c r="F60" s="440">
        <f>SUM(F51:F59)</f>
        <v>39713004</v>
      </c>
      <c r="G60" s="384"/>
      <c r="H60" s="423">
        <f>SUM(H51:H59)</f>
        <v>19270047</v>
      </c>
      <c r="I60" s="384">
        <f>SUM(I51:I59)</f>
        <v>29182128</v>
      </c>
      <c r="J60" s="385">
        <f>SUM(J51:J59)</f>
        <v>38954346</v>
      </c>
      <c r="K60" s="386"/>
      <c r="L60" s="532">
        <f t="shared" si="26"/>
        <v>0.46536666190916753</v>
      </c>
      <c r="M60" s="532">
        <f t="shared" si="27"/>
        <v>0.70474085998679981</v>
      </c>
      <c r="N60" s="533">
        <f t="shared" si="28"/>
        <v>0.98089648418437447</v>
      </c>
      <c r="O60" s="386"/>
      <c r="P60" s="423">
        <f>SUM(P51:P59)</f>
        <v>-3.0000001192092896E-2</v>
      </c>
      <c r="Q60" s="384">
        <f>SUM(Q51:Q59)</f>
        <v>0</v>
      </c>
      <c r="R60" s="384">
        <f>SUM(R51:R59)</f>
        <v>-1695306</v>
      </c>
      <c r="S60" s="385">
        <f>SUM(S51:S59)</f>
        <v>-3.0000001192092896E-2</v>
      </c>
      <c r="T60" s="545">
        <f t="shared" si="24"/>
        <v>-7.2449228597733467E-10</v>
      </c>
    </row>
    <row r="61" spans="1:20" x14ac:dyDescent="0.25">
      <c r="A61" s="400"/>
      <c r="B61" s="73"/>
      <c r="C61" s="421"/>
      <c r="D61" s="73"/>
      <c r="E61" s="73"/>
      <c r="F61" s="432"/>
      <c r="G61" s="73"/>
      <c r="H61" s="421"/>
      <c r="I61" s="73"/>
      <c r="J61" s="456"/>
      <c r="K61" s="73"/>
      <c r="L61" s="528"/>
      <c r="M61" s="528"/>
      <c r="N61" s="529"/>
      <c r="O61" s="73"/>
      <c r="P61" s="421"/>
      <c r="Q61" s="73"/>
      <c r="R61" s="73"/>
      <c r="S61" s="73"/>
      <c r="T61" s="546"/>
    </row>
    <row r="62" spans="1:20" ht="13.8" thickBot="1" x14ac:dyDescent="0.3">
      <c r="A62" s="403"/>
      <c r="B62" s="404" t="s">
        <v>451</v>
      </c>
      <c r="C62" s="425">
        <f>+C60-C49</f>
        <v>0</v>
      </c>
      <c r="D62" s="405">
        <f>+D60-D49</f>
        <v>0</v>
      </c>
      <c r="E62" s="405">
        <f>+E60-E49</f>
        <v>0</v>
      </c>
      <c r="F62" s="442">
        <f>+F60-F49</f>
        <v>0</v>
      </c>
      <c r="G62" s="405"/>
      <c r="H62" s="425">
        <f>+H60-H49</f>
        <v>1763699</v>
      </c>
      <c r="I62" s="405">
        <f>+I60-I49</f>
        <v>1646803</v>
      </c>
      <c r="J62" s="407">
        <f>+J60-J49</f>
        <v>235892</v>
      </c>
      <c r="K62" s="406"/>
      <c r="L62" s="534">
        <f>IF(D62=0,0,H62/D62)</f>
        <v>0</v>
      </c>
      <c r="M62" s="534">
        <f>IF(E62=0,0,I62/E62)</f>
        <v>0</v>
      </c>
      <c r="N62" s="535">
        <f>IF(F62=0,0,J62/F62)</f>
        <v>0</v>
      </c>
      <c r="O62" s="406"/>
      <c r="P62" s="425">
        <f>+P60-P49</f>
        <v>-9.3132257461547852E-10</v>
      </c>
      <c r="Q62" s="405">
        <f>+Q60-Q49</f>
        <v>0</v>
      </c>
      <c r="R62" s="405">
        <f>+R60-R49</f>
        <v>0</v>
      </c>
      <c r="S62" s="407">
        <f>+S60-S49</f>
        <v>-9.3132257461547852E-10</v>
      </c>
      <c r="T62" s="547"/>
    </row>
    <row r="63" spans="1:20" ht="13.8" thickBot="1" x14ac:dyDescent="0.3">
      <c r="C63" s="421"/>
      <c r="D63" s="74"/>
      <c r="E63" s="74"/>
      <c r="F63" s="438"/>
      <c r="G63" s="74"/>
      <c r="H63" s="430"/>
      <c r="I63" s="215"/>
      <c r="J63" s="454"/>
      <c r="K63" s="74"/>
      <c r="L63" s="528"/>
      <c r="M63" s="528"/>
      <c r="N63" s="529"/>
      <c r="O63" s="74"/>
      <c r="P63" s="421"/>
      <c r="Q63" s="73"/>
      <c r="R63" s="73"/>
      <c r="S63" s="73"/>
      <c r="T63" s="546"/>
    </row>
    <row r="64" spans="1:20" ht="13.8" hidden="1" thickBot="1" x14ac:dyDescent="0.3">
      <c r="C64" s="421"/>
      <c r="D64" s="74"/>
      <c r="E64" s="74"/>
      <c r="F64" s="438"/>
      <c r="G64" s="74"/>
      <c r="H64" s="430"/>
      <c r="I64" s="215"/>
      <c r="J64" s="454"/>
      <c r="K64" s="74"/>
      <c r="L64" s="528"/>
      <c r="M64" s="528"/>
      <c r="N64" s="529"/>
      <c r="O64" s="74"/>
      <c r="P64" s="421"/>
      <c r="Q64" s="73"/>
      <c r="R64" s="73"/>
      <c r="S64" s="73"/>
      <c r="T64" s="546"/>
    </row>
    <row r="65" spans="1:20" ht="18" thickBot="1" x14ac:dyDescent="0.35">
      <c r="A65" s="410" t="s">
        <v>466</v>
      </c>
      <c r="B65" s="437"/>
      <c r="D65" s="74"/>
      <c r="E65" s="74"/>
      <c r="F65" s="438"/>
      <c r="G65" s="74"/>
      <c r="H65" s="430"/>
      <c r="I65" s="215"/>
      <c r="J65" s="454"/>
      <c r="K65" s="74"/>
      <c r="L65" s="528"/>
      <c r="M65" s="528"/>
      <c r="N65" s="529"/>
      <c r="O65" s="74"/>
      <c r="P65" s="421"/>
      <c r="Q65" s="73"/>
      <c r="R65" s="73"/>
      <c r="S65" s="73"/>
      <c r="T65" s="546"/>
    </row>
    <row r="66" spans="1:20" x14ac:dyDescent="0.25">
      <c r="A66" s="393"/>
      <c r="B66" s="394"/>
      <c r="C66" s="422"/>
      <c r="D66" s="414"/>
      <c r="E66" s="414"/>
      <c r="F66" s="439"/>
      <c r="G66" s="414"/>
      <c r="H66" s="431"/>
      <c r="I66" s="415"/>
      <c r="J66" s="455"/>
      <c r="K66" s="414"/>
      <c r="L66" s="536"/>
      <c r="M66" s="536"/>
      <c r="N66" s="537"/>
      <c r="O66" s="414"/>
      <c r="P66" s="422"/>
      <c r="Q66" s="413"/>
      <c r="R66" s="413"/>
      <c r="S66" s="413"/>
      <c r="T66" s="548"/>
    </row>
    <row r="67" spans="1:20" x14ac:dyDescent="0.25">
      <c r="A67" s="397" t="s">
        <v>0</v>
      </c>
      <c r="B67" s="56" t="str">
        <f t="shared" ref="B67:B75" si="33">+B40</f>
        <v>Személyi juttatások</v>
      </c>
      <c r="C67" s="421">
        <f>+'5. Csicsergő'!C13</f>
        <v>145684000</v>
      </c>
      <c r="D67" s="73">
        <f>+'5. Csicsergő'!D13</f>
        <v>145684000</v>
      </c>
      <c r="E67" s="73">
        <f>+'5. Csicsergő'!E13</f>
        <v>145684000</v>
      </c>
      <c r="F67" s="432">
        <f>+'5. Csicsergő'!F13</f>
        <v>147646000</v>
      </c>
      <c r="G67" s="73"/>
      <c r="H67" s="421">
        <f>+'5. Csicsergő'!H13</f>
        <v>69259443</v>
      </c>
      <c r="I67" s="73">
        <f>+'5. Csicsergő'!I13</f>
        <v>106851886</v>
      </c>
      <c r="J67" s="456">
        <f>+'5. Csicsergő'!J13</f>
        <v>147322762</v>
      </c>
      <c r="K67" s="73"/>
      <c r="L67" s="528">
        <f t="shared" ref="L67:L76" si="34">IF(D67=0,0,H67/D67)</f>
        <v>0.47540871337964363</v>
      </c>
      <c r="M67" s="528">
        <f t="shared" ref="M67:M76" si="35">IF(E67=0,0,I67/E67)</f>
        <v>0.73344969934927651</v>
      </c>
      <c r="N67" s="529">
        <f t="shared" ref="N67:N76" si="36">IF(F67=0,0,J67/F67)</f>
        <v>0.9978107229454235</v>
      </c>
      <c r="O67" s="73"/>
      <c r="P67" s="421">
        <f>+'5. Csicsergő'!P13</f>
        <v>0</v>
      </c>
      <c r="Q67" s="73">
        <f>+'5. Csicsergő'!Q13</f>
        <v>0</v>
      </c>
      <c r="R67" s="73">
        <f>+'5. Csicsergő'!R13</f>
        <v>1962000</v>
      </c>
      <c r="S67" s="73">
        <f>+'5. Csicsergő'!S13</f>
        <v>1962000</v>
      </c>
      <c r="T67" s="544">
        <f>IF(S67=0,0,S67/C67)</f>
        <v>1.3467505010845392E-2</v>
      </c>
    </row>
    <row r="68" spans="1:20" x14ac:dyDescent="0.25">
      <c r="A68" s="397" t="s">
        <v>22</v>
      </c>
      <c r="B68" s="56" t="str">
        <f t="shared" si="33"/>
        <v>Munkaadót terhelő járulékok és szociális hozzájárulás</v>
      </c>
      <c r="C68" s="421">
        <f>+'5. Csicsergő'!C30</f>
        <v>30000000</v>
      </c>
      <c r="D68" s="73">
        <f>+'5. Csicsergő'!D30</f>
        <v>30000000</v>
      </c>
      <c r="E68" s="73">
        <f>+'5. Csicsergő'!E30</f>
        <v>30000000</v>
      </c>
      <c r="F68" s="432">
        <f>+'5. Csicsergő'!F30</f>
        <v>28038000</v>
      </c>
      <c r="G68" s="73"/>
      <c r="H68" s="421">
        <f>+'5. Csicsergő'!H30</f>
        <v>14696128</v>
      </c>
      <c r="I68" s="73">
        <f>+'5. Csicsergő'!I30</f>
        <v>21528393</v>
      </c>
      <c r="J68" s="456">
        <f>+'5. Csicsergő'!J30</f>
        <v>28037568</v>
      </c>
      <c r="K68" s="73"/>
      <c r="L68" s="528">
        <f t="shared" si="34"/>
        <v>0.48987093333333331</v>
      </c>
      <c r="M68" s="528">
        <f t="shared" si="35"/>
        <v>0.7176131</v>
      </c>
      <c r="N68" s="529">
        <f t="shared" si="36"/>
        <v>0.99998459233896853</v>
      </c>
      <c r="O68" s="73"/>
      <c r="P68" s="421">
        <f>+'5. Csicsergő'!P30</f>
        <v>0</v>
      </c>
      <c r="Q68" s="73">
        <f>+'5. Csicsergő'!Q30</f>
        <v>0</v>
      </c>
      <c r="R68" s="73">
        <f>+'5. Csicsergő'!R30</f>
        <v>-1962000</v>
      </c>
      <c r="S68" s="73">
        <f>+'5. Csicsergő'!S30</f>
        <v>-1962000</v>
      </c>
      <c r="T68" s="544">
        <f t="shared" ref="T68:T87" si="37">IF(S68=0,0,S68/C68)</f>
        <v>-6.54E-2</v>
      </c>
    </row>
    <row r="69" spans="1:20" x14ac:dyDescent="0.25">
      <c r="A69" s="397" t="s">
        <v>25</v>
      </c>
      <c r="B69" s="56" t="str">
        <f t="shared" si="33"/>
        <v>Dologi kiadások</v>
      </c>
      <c r="C69" s="421">
        <f>+'5. Csicsergő'!C33</f>
        <v>15885000</v>
      </c>
      <c r="D69" s="73">
        <f>+'5. Csicsergő'!D33</f>
        <v>15885000</v>
      </c>
      <c r="E69" s="73">
        <f>+'5. Csicsergő'!E33</f>
        <v>15885000</v>
      </c>
      <c r="F69" s="432">
        <f>+'5. Csicsergő'!F33</f>
        <v>12683714</v>
      </c>
      <c r="G69" s="73"/>
      <c r="H69" s="421">
        <f>+'5. Csicsergő'!H33</f>
        <v>6272583</v>
      </c>
      <c r="I69" s="73">
        <f>+'5. Csicsergő'!I33</f>
        <v>8740932</v>
      </c>
      <c r="J69" s="456">
        <f>+'5. Csicsergő'!J33</f>
        <v>12553691</v>
      </c>
      <c r="K69" s="73"/>
      <c r="L69" s="528">
        <f t="shared" si="34"/>
        <v>0.39487459867799812</v>
      </c>
      <c r="M69" s="528">
        <f t="shared" si="35"/>
        <v>0.55026326723323893</v>
      </c>
      <c r="N69" s="529">
        <f t="shared" si="36"/>
        <v>0.98974882278171838</v>
      </c>
      <c r="O69" s="73"/>
      <c r="P69" s="421">
        <f>+'5. Csicsergő'!P33</f>
        <v>0</v>
      </c>
      <c r="Q69" s="73">
        <f>+'5. Csicsergő'!Q33</f>
        <v>0</v>
      </c>
      <c r="R69" s="73">
        <f>+'5. Csicsergő'!R33</f>
        <v>-3201286</v>
      </c>
      <c r="S69" s="73">
        <f>+'5. Csicsergő'!S33</f>
        <v>-3201286</v>
      </c>
      <c r="T69" s="544">
        <f t="shared" si="37"/>
        <v>-0.20152886370790055</v>
      </c>
    </row>
    <row r="70" spans="1:20" x14ac:dyDescent="0.25">
      <c r="A70" s="397" t="s">
        <v>107</v>
      </c>
      <c r="B70" s="56" t="str">
        <f t="shared" si="33"/>
        <v>Elláttotak pénzbeli juttatásai</v>
      </c>
      <c r="C70" s="421"/>
      <c r="D70" s="73"/>
      <c r="E70" s="73"/>
      <c r="F70" s="432"/>
      <c r="G70" s="73"/>
      <c r="H70" s="421"/>
      <c r="I70" s="73"/>
      <c r="J70" s="456"/>
      <c r="K70" s="73"/>
      <c r="L70" s="528">
        <f t="shared" si="34"/>
        <v>0</v>
      </c>
      <c r="M70" s="528">
        <f t="shared" si="35"/>
        <v>0</v>
      </c>
      <c r="N70" s="529">
        <f t="shared" si="36"/>
        <v>0</v>
      </c>
      <c r="O70" s="73"/>
      <c r="P70" s="421"/>
      <c r="Q70" s="73"/>
      <c r="R70" s="73"/>
      <c r="S70" s="73"/>
      <c r="T70" s="544">
        <f t="shared" si="37"/>
        <v>0</v>
      </c>
    </row>
    <row r="71" spans="1:20" x14ac:dyDescent="0.25">
      <c r="A71" s="398" t="s">
        <v>371</v>
      </c>
      <c r="B71" s="56" t="str">
        <f t="shared" si="33"/>
        <v>Egyéb működési célú kiadások</v>
      </c>
      <c r="C71" s="421"/>
      <c r="D71" s="73"/>
      <c r="E71" s="73"/>
      <c r="F71" s="432"/>
      <c r="G71" s="73"/>
      <c r="H71" s="421"/>
      <c r="I71" s="73"/>
      <c r="J71" s="456"/>
      <c r="K71" s="73"/>
      <c r="L71" s="528">
        <f t="shared" si="34"/>
        <v>0</v>
      </c>
      <c r="M71" s="528">
        <f t="shared" si="35"/>
        <v>0</v>
      </c>
      <c r="N71" s="529">
        <f t="shared" si="36"/>
        <v>0</v>
      </c>
      <c r="O71" s="73"/>
      <c r="P71" s="421"/>
      <c r="Q71" s="73"/>
      <c r="R71" s="73"/>
      <c r="S71" s="73"/>
      <c r="T71" s="544">
        <f t="shared" si="37"/>
        <v>0</v>
      </c>
    </row>
    <row r="72" spans="1:20" x14ac:dyDescent="0.25">
      <c r="A72" s="397" t="s">
        <v>154</v>
      </c>
      <c r="B72" s="56" t="str">
        <f t="shared" si="33"/>
        <v>Beruházások</v>
      </c>
      <c r="C72" s="421">
        <f>+'5. Csicsergő'!C84</f>
        <v>1650000</v>
      </c>
      <c r="D72" s="73">
        <f>+'5. Csicsergő'!D84</f>
        <v>1650000</v>
      </c>
      <c r="E72" s="73">
        <f>+'5. Csicsergő'!E84</f>
        <v>1650000</v>
      </c>
      <c r="F72" s="432">
        <f>+'5. Csicsergő'!F84</f>
        <v>1452453</v>
      </c>
      <c r="G72" s="73"/>
      <c r="H72" s="421">
        <f>+'5. Csicsergő'!H84</f>
        <v>1297203</v>
      </c>
      <c r="I72" s="73">
        <f>+'5. Csicsergő'!I84</f>
        <v>1398983</v>
      </c>
      <c r="J72" s="456">
        <f>+'5. Csicsergő'!J84</f>
        <v>1452453</v>
      </c>
      <c r="K72" s="73"/>
      <c r="L72" s="528">
        <f t="shared" si="34"/>
        <v>0.78618363636363642</v>
      </c>
      <c r="M72" s="528">
        <f t="shared" si="35"/>
        <v>0.84786848484848487</v>
      </c>
      <c r="N72" s="529">
        <f t="shared" si="36"/>
        <v>1</v>
      </c>
      <c r="O72" s="73"/>
      <c r="P72" s="421">
        <f>+'5. Csicsergő'!P84</f>
        <v>0</v>
      </c>
      <c r="Q72" s="73">
        <f>+'5. Csicsergő'!Q84</f>
        <v>0</v>
      </c>
      <c r="R72" s="73">
        <f>+'5. Csicsergő'!R84</f>
        <v>-197547</v>
      </c>
      <c r="S72" s="73">
        <f>+'5. Csicsergő'!S84</f>
        <v>-197547</v>
      </c>
      <c r="T72" s="544">
        <f t="shared" si="37"/>
        <v>-0.11972545454545455</v>
      </c>
    </row>
    <row r="73" spans="1:20" x14ac:dyDescent="0.25">
      <c r="A73" s="397" t="s">
        <v>169</v>
      </c>
      <c r="B73" s="56" t="str">
        <f t="shared" si="33"/>
        <v>Felújítások</v>
      </c>
      <c r="C73" s="421">
        <f>+'5. Csicsergő'!C87</f>
        <v>0</v>
      </c>
      <c r="D73" s="73">
        <f>+'5. Csicsergő'!D87</f>
        <v>0</v>
      </c>
      <c r="E73" s="73">
        <f>+'5. Csicsergő'!E87</f>
        <v>0</v>
      </c>
      <c r="F73" s="432">
        <f>+'5. Csicsergő'!F87</f>
        <v>0</v>
      </c>
      <c r="G73" s="73"/>
      <c r="H73" s="421">
        <f>+'5. Csicsergő'!H87</f>
        <v>0</v>
      </c>
      <c r="I73" s="73">
        <f>+'5. Csicsergő'!I87</f>
        <v>0</v>
      </c>
      <c r="J73" s="456">
        <f>+'5. Csicsergő'!J87</f>
        <v>0</v>
      </c>
      <c r="K73" s="73"/>
      <c r="L73" s="528">
        <f t="shared" si="34"/>
        <v>0</v>
      </c>
      <c r="M73" s="528">
        <f t="shared" si="35"/>
        <v>0</v>
      </c>
      <c r="N73" s="529">
        <f t="shared" si="36"/>
        <v>0</v>
      </c>
      <c r="O73" s="73"/>
      <c r="P73" s="421">
        <f>+'5. Csicsergő'!P87</f>
        <v>0</v>
      </c>
      <c r="Q73" s="73">
        <f>+'5. Csicsergő'!Q87</f>
        <v>0</v>
      </c>
      <c r="R73" s="73">
        <f>+'5. Csicsergő'!R87</f>
        <v>0</v>
      </c>
      <c r="S73" s="73">
        <f>+'5. Csicsergő'!S87</f>
        <v>0</v>
      </c>
      <c r="T73" s="544">
        <f t="shared" si="37"/>
        <v>0</v>
      </c>
    </row>
    <row r="74" spans="1:20" x14ac:dyDescent="0.25">
      <c r="A74" s="397" t="s">
        <v>179</v>
      </c>
      <c r="B74" s="56" t="str">
        <f t="shared" si="33"/>
        <v>Szolgáltatások kiadásai</v>
      </c>
      <c r="C74" s="421"/>
      <c r="D74" s="73"/>
      <c r="E74" s="73"/>
      <c r="F74" s="432"/>
      <c r="G74" s="73"/>
      <c r="H74" s="421"/>
      <c r="I74" s="73"/>
      <c r="J74" s="456"/>
      <c r="K74" s="73"/>
      <c r="L74" s="528">
        <f t="shared" si="34"/>
        <v>0</v>
      </c>
      <c r="M74" s="528">
        <f t="shared" si="35"/>
        <v>0</v>
      </c>
      <c r="N74" s="529">
        <f t="shared" si="36"/>
        <v>0</v>
      </c>
      <c r="O74" s="73"/>
      <c r="P74" s="421"/>
      <c r="Q74" s="73"/>
      <c r="R74" s="73"/>
      <c r="S74" s="73"/>
      <c r="T74" s="544">
        <f t="shared" si="37"/>
        <v>0</v>
      </c>
    </row>
    <row r="75" spans="1:20" x14ac:dyDescent="0.25">
      <c r="A75" s="397" t="s">
        <v>197</v>
      </c>
      <c r="B75" s="56" t="str">
        <f t="shared" si="33"/>
        <v>Finanszírozási kiadások</v>
      </c>
      <c r="C75" s="400"/>
      <c r="F75" s="443"/>
      <c r="H75" s="400"/>
      <c r="J75" s="454"/>
      <c r="L75" s="528">
        <f t="shared" si="34"/>
        <v>0</v>
      </c>
      <c r="M75" s="528">
        <f t="shared" si="35"/>
        <v>0</v>
      </c>
      <c r="N75" s="529">
        <f t="shared" si="36"/>
        <v>0</v>
      </c>
      <c r="P75" s="400"/>
      <c r="T75" s="544">
        <f t="shared" si="37"/>
        <v>0</v>
      </c>
    </row>
    <row r="76" spans="1:20" x14ac:dyDescent="0.25">
      <c r="A76" s="399"/>
      <c r="B76" s="383" t="s">
        <v>373</v>
      </c>
      <c r="C76" s="423">
        <f>SUM(C67:C75)</f>
        <v>193219000</v>
      </c>
      <c r="D76" s="384">
        <f>SUM(D67:D75)</f>
        <v>193219000</v>
      </c>
      <c r="E76" s="384">
        <f>SUM(E67:E75)</f>
        <v>193219000</v>
      </c>
      <c r="F76" s="440">
        <f>SUM(F67:F75)</f>
        <v>189820167</v>
      </c>
      <c r="G76" s="384"/>
      <c r="H76" s="423">
        <f>SUM(H67:H75)</f>
        <v>91525357</v>
      </c>
      <c r="I76" s="384">
        <f>SUM(I67:I75)</f>
        <v>138520194</v>
      </c>
      <c r="J76" s="385">
        <f>SUM(J67:J75)</f>
        <v>189366474</v>
      </c>
      <c r="K76" s="201"/>
      <c r="L76" s="530">
        <f t="shared" si="34"/>
        <v>0.47368714774426945</v>
      </c>
      <c r="M76" s="530">
        <f t="shared" si="35"/>
        <v>0.71690772646582379</v>
      </c>
      <c r="N76" s="531">
        <f t="shared" si="36"/>
        <v>0.99760987988173033</v>
      </c>
      <c r="O76" s="201"/>
      <c r="P76" s="423">
        <f>SUM(P67:P75)</f>
        <v>0</v>
      </c>
      <c r="Q76" s="384">
        <f>SUM(Q67:Q75)</f>
        <v>0</v>
      </c>
      <c r="R76" s="384">
        <f>SUM(R67:R75)</f>
        <v>-3398833</v>
      </c>
      <c r="S76" s="385">
        <f>SUM(S67:S75)</f>
        <v>-3398833</v>
      </c>
      <c r="T76" s="545">
        <f t="shared" si="37"/>
        <v>-1.7590573390815604E-2</v>
      </c>
    </row>
    <row r="77" spans="1:20" x14ac:dyDescent="0.25">
      <c r="A77" s="400"/>
      <c r="C77" s="400"/>
      <c r="F77" s="443"/>
      <c r="H77" s="400"/>
      <c r="J77" s="454"/>
      <c r="L77" s="528"/>
      <c r="M77" s="528"/>
      <c r="N77" s="529"/>
      <c r="P77" s="400"/>
      <c r="T77" s="544"/>
    </row>
    <row r="78" spans="1:20" x14ac:dyDescent="0.25">
      <c r="A78" s="397" t="str">
        <f t="shared" ref="A78:B84" si="38">+A51</f>
        <v>B1</v>
      </c>
      <c r="B78" s="56" t="str">
        <f t="shared" si="38"/>
        <v>Működési célú tám-ok államháztartáson belülről</v>
      </c>
      <c r="C78" s="421">
        <f>+'5. Csicsergő'!C93</f>
        <v>0</v>
      </c>
      <c r="D78" s="73">
        <f>+'5. Csicsergő'!D93</f>
        <v>0</v>
      </c>
      <c r="E78" s="73">
        <f>+'5. Csicsergő'!E93</f>
        <v>0</v>
      </c>
      <c r="F78" s="432">
        <f>+'5. Csicsergő'!F93</f>
        <v>0</v>
      </c>
      <c r="G78" s="73"/>
      <c r="H78" s="421">
        <f>+'5. Csicsergő'!H93</f>
        <v>0</v>
      </c>
      <c r="I78" s="73">
        <f>+'5. Csicsergő'!I93</f>
        <v>0</v>
      </c>
      <c r="J78" s="456">
        <f>+'5. Csicsergő'!J93</f>
        <v>0</v>
      </c>
      <c r="K78" s="73"/>
      <c r="L78" s="528">
        <f t="shared" ref="L78:L87" si="39">IF(D78=0,0,H78/D78)</f>
        <v>0</v>
      </c>
      <c r="M78" s="528">
        <f t="shared" ref="M78:M87" si="40">IF(E78=0,0,I78/E78)</f>
        <v>0</v>
      </c>
      <c r="N78" s="529">
        <f t="shared" ref="N78:N87" si="41">IF(F78=0,0,J78/F78)</f>
        <v>0</v>
      </c>
      <c r="O78" s="73"/>
      <c r="P78" s="421">
        <f>+'5. Csicsergő'!P93</f>
        <v>0</v>
      </c>
      <c r="Q78" s="73">
        <f>+'5. Csicsergő'!Q93</f>
        <v>0</v>
      </c>
      <c r="R78" s="73">
        <f>+'5. Csicsergő'!R93</f>
        <v>0</v>
      </c>
      <c r="S78" s="73">
        <f>+'5. Csicsergő'!S93</f>
        <v>0</v>
      </c>
      <c r="T78" s="544">
        <f t="shared" si="37"/>
        <v>0</v>
      </c>
    </row>
    <row r="79" spans="1:20" x14ac:dyDescent="0.25">
      <c r="A79" s="397" t="str">
        <f t="shared" si="38"/>
        <v>B2</v>
      </c>
      <c r="B79" s="56" t="str">
        <f t="shared" si="38"/>
        <v>Felhalmozási célú tám-ok államházt-on belülről</v>
      </c>
      <c r="C79" s="421"/>
      <c r="D79" s="73"/>
      <c r="E79" s="73"/>
      <c r="F79" s="432"/>
      <c r="G79" s="73"/>
      <c r="H79" s="421"/>
      <c r="I79" s="73"/>
      <c r="J79" s="456"/>
      <c r="K79" s="73"/>
      <c r="L79" s="528">
        <f t="shared" si="39"/>
        <v>0</v>
      </c>
      <c r="M79" s="528">
        <f t="shared" si="40"/>
        <v>0</v>
      </c>
      <c r="N79" s="529">
        <f t="shared" si="41"/>
        <v>0</v>
      </c>
      <c r="O79" s="73"/>
      <c r="P79" s="421"/>
      <c r="Q79" s="73"/>
      <c r="R79" s="73"/>
      <c r="S79" s="73"/>
      <c r="T79" s="544">
        <f t="shared" si="37"/>
        <v>0</v>
      </c>
    </row>
    <row r="80" spans="1:20" x14ac:dyDescent="0.25">
      <c r="A80" s="397" t="str">
        <f t="shared" si="38"/>
        <v>B3</v>
      </c>
      <c r="B80" s="56" t="str">
        <f t="shared" si="38"/>
        <v>Közhatalmi bevételek</v>
      </c>
      <c r="C80" s="421"/>
      <c r="D80" s="73"/>
      <c r="E80" s="73"/>
      <c r="F80" s="432"/>
      <c r="G80" s="73"/>
      <c r="H80" s="421"/>
      <c r="I80" s="73"/>
      <c r="J80" s="456"/>
      <c r="K80" s="73"/>
      <c r="L80" s="528">
        <f t="shared" si="39"/>
        <v>0</v>
      </c>
      <c r="M80" s="528">
        <f t="shared" si="40"/>
        <v>0</v>
      </c>
      <c r="N80" s="529">
        <f t="shared" si="41"/>
        <v>0</v>
      </c>
      <c r="O80" s="73"/>
      <c r="P80" s="421"/>
      <c r="Q80" s="73"/>
      <c r="R80" s="73"/>
      <c r="S80" s="73"/>
      <c r="T80" s="544">
        <f t="shared" si="37"/>
        <v>0</v>
      </c>
    </row>
    <row r="81" spans="1:20" x14ac:dyDescent="0.25">
      <c r="A81" s="397" t="str">
        <f t="shared" si="38"/>
        <v>B4</v>
      </c>
      <c r="B81" s="56" t="str">
        <f t="shared" si="38"/>
        <v>Működési bevételek</v>
      </c>
      <c r="C81" s="421">
        <f>+'5. Csicsergő'!C95</f>
        <v>0</v>
      </c>
      <c r="D81" s="73">
        <f>+'5. Csicsergő'!D95</f>
        <v>0</v>
      </c>
      <c r="E81" s="73">
        <f>+'5. Csicsergő'!E95</f>
        <v>0</v>
      </c>
      <c r="F81" s="432">
        <f>+'5. Csicsergő'!F95</f>
        <v>2833</v>
      </c>
      <c r="G81" s="73"/>
      <c r="H81" s="421">
        <f>+'5. Csicsergő'!H95</f>
        <v>1422</v>
      </c>
      <c r="I81" s="73">
        <f>+'5. Csicsergő'!I95</f>
        <v>2093</v>
      </c>
      <c r="J81" s="456">
        <f>+'5. Csicsergő'!J95</f>
        <v>2833</v>
      </c>
      <c r="K81" s="73"/>
      <c r="L81" s="528">
        <f t="shared" si="39"/>
        <v>0</v>
      </c>
      <c r="M81" s="528">
        <f t="shared" si="40"/>
        <v>0</v>
      </c>
      <c r="N81" s="529">
        <f t="shared" si="41"/>
        <v>1</v>
      </c>
      <c r="O81" s="73"/>
      <c r="P81" s="421">
        <f>+'5. Csicsergő'!P95</f>
        <v>0</v>
      </c>
      <c r="Q81" s="73">
        <f>+'5. Csicsergő'!Q95</f>
        <v>0</v>
      </c>
      <c r="R81" s="73">
        <f>+'5. Csicsergő'!R95</f>
        <v>2833</v>
      </c>
      <c r="S81" s="73">
        <f>+'5. Csicsergő'!S95</f>
        <v>2833</v>
      </c>
      <c r="T81" s="544" t="e">
        <f t="shared" si="37"/>
        <v>#DIV/0!</v>
      </c>
    </row>
    <row r="82" spans="1:20" x14ac:dyDescent="0.25">
      <c r="A82" s="397" t="str">
        <f t="shared" si="38"/>
        <v>B5</v>
      </c>
      <c r="B82" s="56" t="str">
        <f t="shared" si="38"/>
        <v>Felhalmozási bevételek</v>
      </c>
      <c r="C82" s="421"/>
      <c r="D82" s="73"/>
      <c r="E82" s="73"/>
      <c r="F82" s="432"/>
      <c r="G82" s="73"/>
      <c r="H82" s="421"/>
      <c r="I82" s="73"/>
      <c r="J82" s="456"/>
      <c r="K82" s="73"/>
      <c r="L82" s="528">
        <f t="shared" si="39"/>
        <v>0</v>
      </c>
      <c r="M82" s="528">
        <f t="shared" si="40"/>
        <v>0</v>
      </c>
      <c r="N82" s="529">
        <f t="shared" si="41"/>
        <v>0</v>
      </c>
      <c r="O82" s="73"/>
      <c r="P82" s="421"/>
      <c r="Q82" s="73"/>
      <c r="R82" s="73"/>
      <c r="S82" s="73"/>
      <c r="T82" s="544">
        <f t="shared" si="37"/>
        <v>0</v>
      </c>
    </row>
    <row r="83" spans="1:20" x14ac:dyDescent="0.25">
      <c r="A83" s="397" t="str">
        <f t="shared" si="38"/>
        <v>B6</v>
      </c>
      <c r="B83" s="56" t="str">
        <f t="shared" si="38"/>
        <v>Működési célú átvett pénzeszközök</v>
      </c>
      <c r="C83" s="421"/>
      <c r="D83" s="73"/>
      <c r="E83" s="73"/>
      <c r="F83" s="432"/>
      <c r="G83" s="73"/>
      <c r="H83" s="421"/>
      <c r="I83" s="73"/>
      <c r="J83" s="456"/>
      <c r="K83" s="73"/>
      <c r="L83" s="528">
        <f t="shared" si="39"/>
        <v>0</v>
      </c>
      <c r="M83" s="528">
        <f t="shared" si="40"/>
        <v>0</v>
      </c>
      <c r="N83" s="529">
        <f t="shared" si="41"/>
        <v>0</v>
      </c>
      <c r="O83" s="73"/>
      <c r="P83" s="421"/>
      <c r="Q83" s="73"/>
      <c r="R83" s="73"/>
      <c r="S83" s="73"/>
      <c r="T83" s="544">
        <f t="shared" si="37"/>
        <v>0</v>
      </c>
    </row>
    <row r="84" spans="1:20" x14ac:dyDescent="0.25">
      <c r="A84" s="397" t="str">
        <f t="shared" si="38"/>
        <v>B7</v>
      </c>
      <c r="B84" s="56" t="str">
        <f t="shared" si="38"/>
        <v>Felhalmozási célú átvett pénzeszközök</v>
      </c>
      <c r="C84" s="421"/>
      <c r="D84" s="73"/>
      <c r="E84" s="73"/>
      <c r="F84" s="432"/>
      <c r="G84" s="73"/>
      <c r="H84" s="421"/>
      <c r="I84" s="73"/>
      <c r="J84" s="456"/>
      <c r="K84" s="73"/>
      <c r="L84" s="528">
        <f t="shared" si="39"/>
        <v>0</v>
      </c>
      <c r="M84" s="528">
        <f t="shared" si="40"/>
        <v>0</v>
      </c>
      <c r="N84" s="529">
        <f t="shared" si="41"/>
        <v>0</v>
      </c>
      <c r="O84" s="73"/>
      <c r="P84" s="421"/>
      <c r="Q84" s="73"/>
      <c r="R84" s="73"/>
      <c r="S84" s="73"/>
      <c r="T84" s="544">
        <f t="shared" si="37"/>
        <v>0</v>
      </c>
    </row>
    <row r="85" spans="1:20" x14ac:dyDescent="0.25">
      <c r="A85" s="397" t="str">
        <f>+A58</f>
        <v>B8-ból maradványértéken túli finanszírozási bevételek</v>
      </c>
      <c r="B85" s="56"/>
      <c r="C85" s="421">
        <f>+'5. Csicsergő'!C99-C86</f>
        <v>191656859</v>
      </c>
      <c r="D85" s="73">
        <f>+'5. Csicsergő'!D99-D86</f>
        <v>191656859</v>
      </c>
      <c r="E85" s="73">
        <f>+'5. Csicsergő'!E99-E86</f>
        <v>191656859</v>
      </c>
      <c r="F85" s="432">
        <f>+'5. Csicsergő'!F99-F86</f>
        <v>188255193</v>
      </c>
      <c r="G85" s="73"/>
      <c r="H85" s="421">
        <f>+'5. Csicsergő'!H99-H86</f>
        <v>92579361</v>
      </c>
      <c r="I85" s="73">
        <f>+'5. Csicsergő'!I99-I86</f>
        <v>138740413</v>
      </c>
      <c r="J85" s="456">
        <f>+'5. Csicsergő'!J99-J86</f>
        <v>188255193</v>
      </c>
      <c r="K85" s="73"/>
      <c r="L85" s="528">
        <f t="shared" si="39"/>
        <v>0.48304747079257937</v>
      </c>
      <c r="M85" s="528">
        <f t="shared" si="40"/>
        <v>0.72390006662897466</v>
      </c>
      <c r="N85" s="529">
        <f t="shared" si="41"/>
        <v>1</v>
      </c>
      <c r="O85" s="73"/>
      <c r="P85" s="421">
        <f>+'5. Csicsergő'!P99-P86</f>
        <v>0</v>
      </c>
      <c r="Q85" s="73">
        <f>+'5. Csicsergő'!Q99-Q86</f>
        <v>0</v>
      </c>
      <c r="R85" s="73">
        <f>+'5. Csicsergő'!R99-R86</f>
        <v>-3401666</v>
      </c>
      <c r="S85" s="73">
        <f>+'5. Csicsergő'!S99-S86</f>
        <v>-3401666</v>
      </c>
      <c r="T85" s="544">
        <f t="shared" si="37"/>
        <v>-1.7748730818968498E-2</v>
      </c>
    </row>
    <row r="86" spans="1:20" x14ac:dyDescent="0.25">
      <c r="A86" s="397" t="str">
        <f>+A59</f>
        <v>B8-ból előző évi mardvány igénybevétele</v>
      </c>
      <c r="B86" s="56"/>
      <c r="C86" s="421">
        <f>+'5. Csicsergő'!C101</f>
        <v>1562141</v>
      </c>
      <c r="D86" s="73">
        <f>+'5. Csicsergő'!D101</f>
        <v>1562141</v>
      </c>
      <c r="E86" s="73">
        <f>+'5. Csicsergő'!E101</f>
        <v>1562141</v>
      </c>
      <c r="F86" s="432">
        <f>+'5. Csicsergő'!F101</f>
        <v>1562141</v>
      </c>
      <c r="G86" s="73"/>
      <c r="H86" s="421">
        <f>+'5. Csicsergő'!H101</f>
        <v>1562141</v>
      </c>
      <c r="I86" s="73">
        <f>+'5. Csicsergő'!I101</f>
        <v>1562141</v>
      </c>
      <c r="J86" s="456">
        <f>+'5. Csicsergő'!J101</f>
        <v>1562141</v>
      </c>
      <c r="K86" s="73"/>
      <c r="L86" s="528">
        <f t="shared" si="39"/>
        <v>1</v>
      </c>
      <c r="M86" s="528">
        <f t="shared" si="40"/>
        <v>1</v>
      </c>
      <c r="N86" s="529">
        <f t="shared" si="41"/>
        <v>1</v>
      </c>
      <c r="O86" s="73"/>
      <c r="P86" s="421">
        <f>+'5. Csicsergő'!P101</f>
        <v>0</v>
      </c>
      <c r="Q86" s="73">
        <f>+'5. Csicsergő'!Q101</f>
        <v>0</v>
      </c>
      <c r="R86" s="73">
        <f>+'5. Csicsergő'!R101</f>
        <v>0</v>
      </c>
      <c r="S86" s="73">
        <f>+'5. Csicsergő'!S101</f>
        <v>0</v>
      </c>
      <c r="T86" s="544">
        <f t="shared" si="37"/>
        <v>0</v>
      </c>
    </row>
    <row r="87" spans="1:20" x14ac:dyDescent="0.25">
      <c r="A87" s="401"/>
      <c r="B87" s="383" t="s">
        <v>372</v>
      </c>
      <c r="C87" s="423">
        <f>SUM(C78:C86)</f>
        <v>193219000</v>
      </c>
      <c r="D87" s="384">
        <f>SUM(D78:D86)</f>
        <v>193219000</v>
      </c>
      <c r="E87" s="384">
        <f>SUM(E78:E86)</f>
        <v>193219000</v>
      </c>
      <c r="F87" s="440">
        <f>SUM(F78:F86)</f>
        <v>189820167</v>
      </c>
      <c r="G87" s="384"/>
      <c r="H87" s="423">
        <f>SUM(H78:H86)</f>
        <v>94142924</v>
      </c>
      <c r="I87" s="384">
        <f>SUM(I78:I86)</f>
        <v>140304647</v>
      </c>
      <c r="J87" s="385">
        <f>SUM(J78:J86)</f>
        <v>189820167</v>
      </c>
      <c r="K87" s="386"/>
      <c r="L87" s="532">
        <f t="shared" si="39"/>
        <v>0.48723429890435205</v>
      </c>
      <c r="M87" s="532">
        <f t="shared" si="40"/>
        <v>0.72614311739528725</v>
      </c>
      <c r="N87" s="533">
        <f t="shared" si="41"/>
        <v>1</v>
      </c>
      <c r="O87" s="386"/>
      <c r="P87" s="423">
        <f>SUM(P78:P86)</f>
        <v>0</v>
      </c>
      <c r="Q87" s="384">
        <f>SUM(Q78:Q86)</f>
        <v>0</v>
      </c>
      <c r="R87" s="384">
        <f>SUM(R78:R86)</f>
        <v>-3398833</v>
      </c>
      <c r="S87" s="385">
        <f>SUM(S78:S86)</f>
        <v>-3398833</v>
      </c>
      <c r="T87" s="545">
        <f t="shared" si="37"/>
        <v>-1.7590573390815604E-2</v>
      </c>
    </row>
    <row r="88" spans="1:20" x14ac:dyDescent="0.25">
      <c r="A88" s="400"/>
      <c r="B88" s="73"/>
      <c r="C88" s="421"/>
      <c r="D88" s="73"/>
      <c r="E88" s="73"/>
      <c r="F88" s="432"/>
      <c r="G88" s="73"/>
      <c r="H88" s="421"/>
      <c r="I88" s="73"/>
      <c r="J88" s="456"/>
      <c r="K88" s="73"/>
      <c r="L88" s="528"/>
      <c r="M88" s="528"/>
      <c r="N88" s="529"/>
      <c r="O88" s="73"/>
      <c r="P88" s="421"/>
      <c r="Q88" s="73"/>
      <c r="R88" s="73"/>
      <c r="S88" s="73"/>
      <c r="T88" s="546"/>
    </row>
    <row r="89" spans="1:20" ht="13.8" thickBot="1" x14ac:dyDescent="0.3">
      <c r="A89" s="403"/>
      <c r="B89" s="404" t="s">
        <v>451</v>
      </c>
      <c r="C89" s="425">
        <f>+C87-C76</f>
        <v>0</v>
      </c>
      <c r="D89" s="405">
        <f>+D87-D76</f>
        <v>0</v>
      </c>
      <c r="E89" s="405">
        <f>+E87-E76</f>
        <v>0</v>
      </c>
      <c r="F89" s="442">
        <f>+F87-F76</f>
        <v>0</v>
      </c>
      <c r="G89" s="405"/>
      <c r="H89" s="425">
        <f>+H87-H76</f>
        <v>2617567</v>
      </c>
      <c r="I89" s="405">
        <f>+I87-I76</f>
        <v>1784453</v>
      </c>
      <c r="J89" s="407">
        <f>+J87-J76</f>
        <v>453693</v>
      </c>
      <c r="K89" s="406"/>
      <c r="L89" s="534">
        <f>IF(D89=0,0,H89/D89)</f>
        <v>0</v>
      </c>
      <c r="M89" s="534">
        <f>IF(E89=0,0,I89/E89)</f>
        <v>0</v>
      </c>
      <c r="N89" s="535">
        <f>IF(F89=0,0,J89/F89)</f>
        <v>0</v>
      </c>
      <c r="O89" s="406"/>
      <c r="P89" s="425">
        <f>+P87-P76</f>
        <v>0</v>
      </c>
      <c r="Q89" s="405">
        <f>+Q87-Q76</f>
        <v>0</v>
      </c>
      <c r="R89" s="405">
        <f>+R87-R76</f>
        <v>0</v>
      </c>
      <c r="S89" s="407">
        <f>+S87-S76</f>
        <v>0</v>
      </c>
      <c r="T89" s="547"/>
    </row>
    <row r="90" spans="1:20" x14ac:dyDescent="0.25">
      <c r="A90" s="56"/>
      <c r="B90" s="56"/>
      <c r="C90" s="421"/>
      <c r="D90" s="73"/>
      <c r="E90" s="73"/>
      <c r="F90" s="432"/>
      <c r="G90" s="73"/>
      <c r="H90" s="421"/>
      <c r="I90" s="73"/>
      <c r="J90" s="456"/>
      <c r="K90" s="73"/>
      <c r="L90" s="528"/>
      <c r="M90" s="528"/>
      <c r="N90" s="529"/>
      <c r="O90" s="73"/>
      <c r="P90" s="421"/>
      <c r="Q90" s="73"/>
      <c r="R90" s="73"/>
      <c r="S90" s="73"/>
      <c r="T90" s="546"/>
    </row>
    <row r="91" spans="1:20" ht="13.8" thickBot="1" x14ac:dyDescent="0.3">
      <c r="A91" s="56"/>
      <c r="B91" s="56"/>
      <c r="C91" s="421"/>
      <c r="D91" s="73"/>
      <c r="E91" s="73"/>
      <c r="F91" s="432"/>
      <c r="G91" s="73"/>
      <c r="H91" s="421"/>
      <c r="I91" s="73"/>
      <c r="J91" s="456"/>
      <c r="K91" s="73"/>
      <c r="L91" s="528"/>
      <c r="M91" s="528"/>
      <c r="N91" s="529"/>
      <c r="O91" s="73"/>
      <c r="P91" s="421"/>
      <c r="Q91" s="73"/>
      <c r="R91" s="73"/>
      <c r="S91" s="73"/>
      <c r="T91" s="546"/>
    </row>
    <row r="92" spans="1:20" ht="18" thickBot="1" x14ac:dyDescent="0.35">
      <c r="A92" s="410" t="s">
        <v>449</v>
      </c>
      <c r="B92" s="437"/>
      <c r="D92" s="73"/>
      <c r="E92" s="73"/>
      <c r="F92" s="432"/>
      <c r="G92" s="73"/>
      <c r="H92" s="421"/>
      <c r="I92" s="73"/>
      <c r="J92" s="456"/>
      <c r="K92" s="73"/>
      <c r="L92" s="528"/>
      <c r="M92" s="528"/>
      <c r="N92" s="529"/>
      <c r="O92" s="73"/>
      <c r="P92" s="421"/>
      <c r="Q92" s="73"/>
      <c r="R92" s="73"/>
      <c r="S92" s="73"/>
      <c r="T92" s="546"/>
    </row>
    <row r="93" spans="1:20" x14ac:dyDescent="0.25">
      <c r="A93" s="393"/>
      <c r="B93" s="411"/>
      <c r="C93" s="422"/>
      <c r="D93" s="413"/>
      <c r="E93" s="413"/>
      <c r="F93" s="412"/>
      <c r="G93" s="413"/>
      <c r="H93" s="422"/>
      <c r="I93" s="413"/>
      <c r="J93" s="458"/>
      <c r="K93" s="413"/>
      <c r="L93" s="536"/>
      <c r="M93" s="536"/>
      <c r="N93" s="537"/>
      <c r="O93" s="413"/>
      <c r="P93" s="422"/>
      <c r="Q93" s="413"/>
      <c r="R93" s="413"/>
      <c r="S93" s="413"/>
      <c r="T93" s="548"/>
    </row>
    <row r="94" spans="1:20" x14ac:dyDescent="0.25">
      <c r="A94" s="397" t="s">
        <v>0</v>
      </c>
      <c r="B94" s="56" t="str">
        <f t="shared" ref="B94:B102" si="42">+B67</f>
        <v>Személyi juttatások</v>
      </c>
      <c r="C94" s="421">
        <f>+'6. Gólyahír'!C13</f>
        <v>43340000</v>
      </c>
      <c r="D94" s="73">
        <f>+'6. Gólyahír'!D13</f>
        <v>43340000</v>
      </c>
      <c r="E94" s="73">
        <f>+'6. Gólyahír'!E13</f>
        <v>43340000</v>
      </c>
      <c r="F94" s="432">
        <f>+'6. Gólyahír'!F13</f>
        <v>43222000</v>
      </c>
      <c r="G94" s="73"/>
      <c r="H94" s="421">
        <f>+'6. Gólyahír'!H13</f>
        <v>20669168</v>
      </c>
      <c r="I94" s="73">
        <f>+'6. Gólyahír'!I13</f>
        <v>31333670</v>
      </c>
      <c r="J94" s="456">
        <f>+'6. Gólyahír'!J13</f>
        <v>43186814</v>
      </c>
      <c r="K94" s="73"/>
      <c r="L94" s="528">
        <f t="shared" ref="L94:L103" si="43">IF(D94=0,0,H94/D94)</f>
        <v>0.47690742962621135</v>
      </c>
      <c r="M94" s="528">
        <f t="shared" ref="M94:M103" si="44">IF(E94=0,0,I94/E94)</f>
        <v>0.72297346562067377</v>
      </c>
      <c r="N94" s="529">
        <f t="shared" ref="N94:N103" si="45">IF(F94=0,0,J94/F94)</f>
        <v>0.99918592383508398</v>
      </c>
      <c r="O94" s="73"/>
      <c r="P94" s="421">
        <f>+'6. Gólyahír'!P13</f>
        <v>0</v>
      </c>
      <c r="Q94" s="73">
        <f>+'6. Gólyahír'!Q13</f>
        <v>0</v>
      </c>
      <c r="R94" s="73">
        <f>+'6. Gólyahír'!R13</f>
        <v>-118000</v>
      </c>
      <c r="S94" s="73">
        <f>+'6. Gólyahír'!S13</f>
        <v>-118000</v>
      </c>
      <c r="T94" s="544">
        <f>IF(S94=0,0,S94/C94)</f>
        <v>-2.7226580526072911E-3</v>
      </c>
    </row>
    <row r="95" spans="1:20" x14ac:dyDescent="0.25">
      <c r="A95" s="397" t="s">
        <v>22</v>
      </c>
      <c r="B95" s="56" t="str">
        <f t="shared" si="42"/>
        <v>Munkaadót terhelő járulékok és szociális hozzájárulás</v>
      </c>
      <c r="C95" s="421">
        <f>+'6. Gólyahír'!C29</f>
        <v>8153000</v>
      </c>
      <c r="D95" s="73">
        <f>+'6. Gólyahír'!D29</f>
        <v>8153000</v>
      </c>
      <c r="E95" s="73">
        <f>+'6. Gólyahír'!E29</f>
        <v>8153000</v>
      </c>
      <c r="F95" s="432">
        <f>+'6. Gólyahír'!F29</f>
        <v>8558000</v>
      </c>
      <c r="G95" s="73"/>
      <c r="H95" s="421">
        <f>+'6. Gólyahír'!H29</f>
        <v>4692885</v>
      </c>
      <c r="I95" s="73">
        <f>+'6. Gólyahír'!I29</f>
        <v>6664922</v>
      </c>
      <c r="J95" s="456">
        <f>+'6. Gólyahír'!J29</f>
        <v>8555513</v>
      </c>
      <c r="K95" s="73"/>
      <c r="L95" s="528">
        <f t="shared" si="43"/>
        <v>0.57560223230712626</v>
      </c>
      <c r="M95" s="528">
        <f t="shared" si="44"/>
        <v>0.81748092726603705</v>
      </c>
      <c r="N95" s="529">
        <f t="shared" si="45"/>
        <v>0.99970939471839215</v>
      </c>
      <c r="O95" s="73"/>
      <c r="P95" s="421">
        <f>+'6. Gólyahír'!P29</f>
        <v>0</v>
      </c>
      <c r="Q95" s="73">
        <f>+'6. Gólyahír'!Q29</f>
        <v>0</v>
      </c>
      <c r="R95" s="73">
        <f>+'6. Gólyahír'!R29</f>
        <v>405000</v>
      </c>
      <c r="S95" s="73">
        <f>+'6. Gólyahír'!S29</f>
        <v>405000</v>
      </c>
      <c r="T95" s="544">
        <f t="shared" ref="T95:T114" si="46">IF(S95=0,0,S95/C95)</f>
        <v>4.9674966270084629E-2</v>
      </c>
    </row>
    <row r="96" spans="1:20" x14ac:dyDescent="0.25">
      <c r="A96" s="397" t="s">
        <v>25</v>
      </c>
      <c r="B96" s="56" t="str">
        <f t="shared" si="42"/>
        <v>Dologi kiadások</v>
      </c>
      <c r="C96" s="421">
        <f>+'6. Gólyahír'!C32</f>
        <v>13785000</v>
      </c>
      <c r="D96" s="73">
        <f>+'6. Gólyahír'!D32</f>
        <v>13305000</v>
      </c>
      <c r="E96" s="73">
        <f>+'6. Gólyahír'!E32</f>
        <v>13305000</v>
      </c>
      <c r="F96" s="432">
        <f>+'6. Gólyahír'!F32</f>
        <v>12184263</v>
      </c>
      <c r="G96" s="73"/>
      <c r="H96" s="421">
        <f>+'6. Gólyahír'!H32</f>
        <v>5536614</v>
      </c>
      <c r="I96" s="73">
        <f>+'6. Gólyahír'!I32</f>
        <v>8025288</v>
      </c>
      <c r="J96" s="456">
        <f>+'6. Gólyahír'!J32</f>
        <v>10368642</v>
      </c>
      <c r="K96" s="73"/>
      <c r="L96" s="528">
        <f t="shared" si="43"/>
        <v>0.4161303269447576</v>
      </c>
      <c r="M96" s="528">
        <f t="shared" si="44"/>
        <v>0.60317835400225484</v>
      </c>
      <c r="N96" s="529">
        <f t="shared" si="45"/>
        <v>0.85098639121627628</v>
      </c>
      <c r="O96" s="73"/>
      <c r="P96" s="421">
        <f>+'6. Gólyahír'!P32</f>
        <v>-480000</v>
      </c>
      <c r="Q96" s="73">
        <f>+'6. Gólyahír'!Q32</f>
        <v>0</v>
      </c>
      <c r="R96" s="73">
        <f>+'6. Gólyahír'!R32</f>
        <v>-1120737</v>
      </c>
      <c r="S96" s="73">
        <f>+'6. Gólyahír'!S32</f>
        <v>-1600737</v>
      </c>
      <c r="T96" s="544">
        <f t="shared" si="46"/>
        <v>-0.11612165397170837</v>
      </c>
    </row>
    <row r="97" spans="1:20" x14ac:dyDescent="0.25">
      <c r="A97" s="397" t="s">
        <v>107</v>
      </c>
      <c r="B97" s="56" t="str">
        <f t="shared" si="42"/>
        <v>Elláttotak pénzbeli juttatásai</v>
      </c>
      <c r="C97" s="421"/>
      <c r="D97" s="73"/>
      <c r="E97" s="73"/>
      <c r="F97" s="432"/>
      <c r="G97" s="73"/>
      <c r="H97" s="421"/>
      <c r="I97" s="73"/>
      <c r="J97" s="456"/>
      <c r="K97" s="73"/>
      <c r="L97" s="528">
        <f t="shared" si="43"/>
        <v>0</v>
      </c>
      <c r="M97" s="528">
        <f t="shared" si="44"/>
        <v>0</v>
      </c>
      <c r="N97" s="529">
        <f t="shared" si="45"/>
        <v>0</v>
      </c>
      <c r="O97" s="73"/>
      <c r="P97" s="421"/>
      <c r="Q97" s="73"/>
      <c r="R97" s="73"/>
      <c r="S97" s="73"/>
      <c r="T97" s="544">
        <f t="shared" si="46"/>
        <v>0</v>
      </c>
    </row>
    <row r="98" spans="1:20" x14ac:dyDescent="0.25">
      <c r="A98" s="398" t="s">
        <v>371</v>
      </c>
      <c r="B98" s="56" t="str">
        <f t="shared" si="42"/>
        <v>Egyéb működési célú kiadások</v>
      </c>
      <c r="C98" s="421"/>
      <c r="D98" s="73"/>
      <c r="E98" s="73"/>
      <c r="F98" s="432"/>
      <c r="G98" s="73"/>
      <c r="H98" s="421"/>
      <c r="I98" s="73"/>
      <c r="J98" s="456"/>
      <c r="K98" s="73"/>
      <c r="L98" s="528">
        <f t="shared" si="43"/>
        <v>0</v>
      </c>
      <c r="M98" s="528">
        <f t="shared" si="44"/>
        <v>0</v>
      </c>
      <c r="N98" s="529">
        <f t="shared" si="45"/>
        <v>0</v>
      </c>
      <c r="O98" s="73"/>
      <c r="P98" s="421"/>
      <c r="Q98" s="73"/>
      <c r="R98" s="73"/>
      <c r="S98" s="73"/>
      <c r="T98" s="544">
        <f t="shared" si="46"/>
        <v>0</v>
      </c>
    </row>
    <row r="99" spans="1:20" x14ac:dyDescent="0.25">
      <c r="A99" s="397" t="s">
        <v>154</v>
      </c>
      <c r="B99" s="56" t="str">
        <f t="shared" si="42"/>
        <v>Beruházások</v>
      </c>
      <c r="C99" s="421">
        <f>+'6. Gólyahír'!C83</f>
        <v>300000</v>
      </c>
      <c r="D99" s="73">
        <f>+'6. Gólyahír'!D83</f>
        <v>780000</v>
      </c>
      <c r="E99" s="73">
        <f>+'6. Gólyahír'!E83</f>
        <v>780000</v>
      </c>
      <c r="F99" s="432">
        <f>+'6. Gólyahír'!F83</f>
        <v>850150</v>
      </c>
      <c r="G99" s="73"/>
      <c r="H99" s="421">
        <f>+'6. Gólyahír'!H83</f>
        <v>757830</v>
      </c>
      <c r="I99" s="73">
        <f>+'6. Gólyahír'!I83</f>
        <v>757830</v>
      </c>
      <c r="J99" s="456">
        <f>+'6. Gólyahír'!J83</f>
        <v>802929</v>
      </c>
      <c r="K99" s="73"/>
      <c r="L99" s="528">
        <f t="shared" si="43"/>
        <v>0.97157692307692312</v>
      </c>
      <c r="M99" s="528">
        <f t="shared" si="44"/>
        <v>0.97157692307692312</v>
      </c>
      <c r="N99" s="529">
        <f t="shared" si="45"/>
        <v>0.94445568429100746</v>
      </c>
      <c r="O99" s="73"/>
      <c r="P99" s="421">
        <f>+'6. Gólyahír'!P83</f>
        <v>480000</v>
      </c>
      <c r="Q99" s="73">
        <f>+'6. Gólyahír'!Q83</f>
        <v>0</v>
      </c>
      <c r="R99" s="73">
        <f>+'6. Gólyahír'!R83</f>
        <v>70150</v>
      </c>
      <c r="S99" s="73">
        <f>+'6. Gólyahír'!S83</f>
        <v>550150</v>
      </c>
      <c r="T99" s="544">
        <f t="shared" si="46"/>
        <v>1.8338333333333334</v>
      </c>
    </row>
    <row r="100" spans="1:20" x14ac:dyDescent="0.25">
      <c r="A100" s="397" t="s">
        <v>169</v>
      </c>
      <c r="B100" s="56" t="str">
        <f t="shared" si="42"/>
        <v>Felújítások</v>
      </c>
      <c r="C100" s="421">
        <f>+'6. Gólyahír'!C86</f>
        <v>0</v>
      </c>
      <c r="D100" s="73">
        <f>+'6. Gólyahír'!D86</f>
        <v>0</v>
      </c>
      <c r="E100" s="73">
        <f>+'6. Gólyahír'!E86</f>
        <v>0</v>
      </c>
      <c r="F100" s="432">
        <f>+'6. Gólyahír'!F86</f>
        <v>0</v>
      </c>
      <c r="G100" s="73"/>
      <c r="H100" s="421">
        <f>+'6. Gólyahír'!H86</f>
        <v>0</v>
      </c>
      <c r="I100" s="73">
        <f>+'6. Gólyahír'!I86</f>
        <v>0</v>
      </c>
      <c r="J100" s="456">
        <f>+'6. Gólyahír'!J86</f>
        <v>0</v>
      </c>
      <c r="K100" s="73"/>
      <c r="L100" s="528">
        <f t="shared" si="43"/>
        <v>0</v>
      </c>
      <c r="M100" s="528">
        <f t="shared" si="44"/>
        <v>0</v>
      </c>
      <c r="N100" s="529">
        <f t="shared" si="45"/>
        <v>0</v>
      </c>
      <c r="O100" s="73"/>
      <c r="P100" s="421">
        <f>+'6. Gólyahír'!P86</f>
        <v>0</v>
      </c>
      <c r="Q100" s="73">
        <f>+'6. Gólyahír'!Q86</f>
        <v>0</v>
      </c>
      <c r="R100" s="73">
        <f>+'6. Gólyahír'!R86</f>
        <v>0</v>
      </c>
      <c r="S100" s="73">
        <f>+'6. Gólyahír'!S86</f>
        <v>0</v>
      </c>
      <c r="T100" s="544">
        <f t="shared" si="46"/>
        <v>0</v>
      </c>
    </row>
    <row r="101" spans="1:20" x14ac:dyDescent="0.25">
      <c r="A101" s="397" t="s">
        <v>179</v>
      </c>
      <c r="B101" s="56" t="str">
        <f t="shared" si="42"/>
        <v>Szolgáltatások kiadásai</v>
      </c>
      <c r="C101" s="421"/>
      <c r="D101" s="73"/>
      <c r="E101" s="73"/>
      <c r="F101" s="432"/>
      <c r="G101" s="73"/>
      <c r="H101" s="421"/>
      <c r="I101" s="73"/>
      <c r="J101" s="456"/>
      <c r="K101" s="73"/>
      <c r="L101" s="528">
        <f t="shared" si="43"/>
        <v>0</v>
      </c>
      <c r="M101" s="528">
        <f t="shared" si="44"/>
        <v>0</v>
      </c>
      <c r="N101" s="529">
        <f t="shared" si="45"/>
        <v>0</v>
      </c>
      <c r="O101" s="73"/>
      <c r="P101" s="421"/>
      <c r="Q101" s="73"/>
      <c r="R101" s="73"/>
      <c r="S101" s="73"/>
      <c r="T101" s="544">
        <f t="shared" si="46"/>
        <v>0</v>
      </c>
    </row>
    <row r="102" spans="1:20" x14ac:dyDescent="0.25">
      <c r="A102" s="397" t="s">
        <v>197</v>
      </c>
      <c r="B102" s="56" t="str">
        <f t="shared" si="42"/>
        <v>Finanszírozási kiadások</v>
      </c>
      <c r="C102" s="400"/>
      <c r="F102" s="443"/>
      <c r="H102" s="400"/>
      <c r="J102" s="454"/>
      <c r="L102" s="528">
        <f t="shared" si="43"/>
        <v>0</v>
      </c>
      <c r="M102" s="528">
        <f t="shared" si="44"/>
        <v>0</v>
      </c>
      <c r="N102" s="529">
        <f t="shared" si="45"/>
        <v>0</v>
      </c>
      <c r="P102" s="400"/>
      <c r="T102" s="544">
        <f t="shared" si="46"/>
        <v>0</v>
      </c>
    </row>
    <row r="103" spans="1:20" x14ac:dyDescent="0.25">
      <c r="A103" s="399"/>
      <c r="B103" s="383" t="s">
        <v>373</v>
      </c>
      <c r="C103" s="423">
        <f>SUM(C94:C102)</f>
        <v>65578000</v>
      </c>
      <c r="D103" s="384">
        <f>SUM(D94:D102)</f>
        <v>65578000</v>
      </c>
      <c r="E103" s="384">
        <f>SUM(E94:E102)</f>
        <v>65578000</v>
      </c>
      <c r="F103" s="440">
        <f>SUM(F94:F102)</f>
        <v>64814413</v>
      </c>
      <c r="G103" s="384"/>
      <c r="H103" s="423">
        <f>SUM(H94:H102)</f>
        <v>31656497</v>
      </c>
      <c r="I103" s="384">
        <f>SUM(I94:I102)</f>
        <v>46781710</v>
      </c>
      <c r="J103" s="385">
        <f>SUM(J94:J102)</f>
        <v>62913898</v>
      </c>
      <c r="K103" s="201"/>
      <c r="L103" s="530">
        <f t="shared" si="43"/>
        <v>0.48273044313641772</v>
      </c>
      <c r="M103" s="530">
        <f t="shared" si="44"/>
        <v>0.71337506480831991</v>
      </c>
      <c r="N103" s="531">
        <f t="shared" si="45"/>
        <v>0.97067758678922234</v>
      </c>
      <c r="O103" s="201"/>
      <c r="P103" s="423">
        <f>SUM(P94:P102)</f>
        <v>0</v>
      </c>
      <c r="Q103" s="384">
        <f>SUM(Q94:Q102)</f>
        <v>0</v>
      </c>
      <c r="R103" s="384">
        <f>SUM(R94:R102)</f>
        <v>-763587</v>
      </c>
      <c r="S103" s="385">
        <f>SUM(S94:S102)</f>
        <v>-763587</v>
      </c>
      <c r="T103" s="545">
        <f t="shared" si="46"/>
        <v>-1.1643950715178871E-2</v>
      </c>
    </row>
    <row r="104" spans="1:20" x14ac:dyDescent="0.25">
      <c r="A104" s="397"/>
      <c r="B104" s="56"/>
      <c r="C104" s="421"/>
      <c r="D104" s="73"/>
      <c r="E104" s="73"/>
      <c r="F104" s="432"/>
      <c r="G104" s="73"/>
      <c r="H104" s="421"/>
      <c r="I104" s="73"/>
      <c r="J104" s="456"/>
      <c r="K104" s="73"/>
      <c r="L104" s="528"/>
      <c r="M104" s="528"/>
      <c r="N104" s="529"/>
      <c r="O104" s="73"/>
      <c r="P104" s="421"/>
      <c r="Q104" s="73"/>
      <c r="R104" s="73"/>
      <c r="S104" s="73"/>
      <c r="T104" s="544"/>
    </row>
    <row r="105" spans="1:20" x14ac:dyDescent="0.25">
      <c r="A105" s="397" t="str">
        <f t="shared" ref="A105:B111" si="47">+A78</f>
        <v>B1</v>
      </c>
      <c r="B105" s="22" t="str">
        <f t="shared" si="47"/>
        <v>Működési célú tám-ok államháztartáson belülről</v>
      </c>
      <c r="C105" s="421">
        <f>+'6. Gólyahír'!C93</f>
        <v>0</v>
      </c>
      <c r="D105" s="73">
        <f>+'6. Gólyahír'!D93</f>
        <v>0</v>
      </c>
      <c r="E105" s="73">
        <f>+'6. Gólyahír'!E93</f>
        <v>0</v>
      </c>
      <c r="F105" s="432">
        <f>+'6. Gólyahír'!F93</f>
        <v>0</v>
      </c>
      <c r="G105" s="73"/>
      <c r="H105" s="421">
        <f>+'6. Gólyahír'!H93</f>
        <v>0</v>
      </c>
      <c r="I105" s="73">
        <f>+'6. Gólyahír'!I93</f>
        <v>0</v>
      </c>
      <c r="J105" s="456">
        <f>+'6. Gólyahír'!J93</f>
        <v>0</v>
      </c>
      <c r="K105" s="73"/>
      <c r="L105" s="528">
        <f t="shared" ref="L105:L114" si="48">IF(D105=0,0,H105/D105)</f>
        <v>0</v>
      </c>
      <c r="M105" s="528">
        <f t="shared" ref="M105:M114" si="49">IF(E105=0,0,I105/E105)</f>
        <v>0</v>
      </c>
      <c r="N105" s="529">
        <f t="shared" ref="N105:N114" si="50">IF(F105=0,0,J105/F105)</f>
        <v>0</v>
      </c>
      <c r="O105" s="73"/>
      <c r="P105" s="421">
        <f>+'6. Gólyahír'!P93</f>
        <v>0</v>
      </c>
      <c r="Q105" s="73">
        <f>+'6. Gólyahír'!Q93</f>
        <v>0</v>
      </c>
      <c r="R105" s="73">
        <f>+'6. Gólyahír'!R93</f>
        <v>0</v>
      </c>
      <c r="S105" s="73">
        <f>+'6. Gólyahír'!S93</f>
        <v>0</v>
      </c>
      <c r="T105" s="544">
        <f t="shared" si="46"/>
        <v>0</v>
      </c>
    </row>
    <row r="106" spans="1:20" x14ac:dyDescent="0.25">
      <c r="A106" s="397" t="str">
        <f t="shared" si="47"/>
        <v>B2</v>
      </c>
      <c r="B106" s="22" t="str">
        <f t="shared" si="47"/>
        <v>Felhalmozási célú tám-ok államházt-on belülről</v>
      </c>
      <c r="C106" s="421"/>
      <c r="D106" s="73"/>
      <c r="E106" s="73"/>
      <c r="F106" s="432"/>
      <c r="G106" s="73"/>
      <c r="H106" s="421"/>
      <c r="I106" s="73"/>
      <c r="J106" s="456"/>
      <c r="K106" s="73"/>
      <c r="L106" s="528">
        <f t="shared" si="48"/>
        <v>0</v>
      </c>
      <c r="M106" s="528">
        <f t="shared" si="49"/>
        <v>0</v>
      </c>
      <c r="N106" s="529">
        <f t="shared" si="50"/>
        <v>0</v>
      </c>
      <c r="O106" s="73"/>
      <c r="P106" s="421"/>
      <c r="Q106" s="73"/>
      <c r="R106" s="73"/>
      <c r="S106" s="73"/>
      <c r="T106" s="544">
        <f t="shared" si="46"/>
        <v>0</v>
      </c>
    </row>
    <row r="107" spans="1:20" x14ac:dyDescent="0.25">
      <c r="A107" s="397" t="str">
        <f t="shared" si="47"/>
        <v>B3</v>
      </c>
      <c r="B107" s="22" t="str">
        <f t="shared" si="47"/>
        <v>Közhatalmi bevételek</v>
      </c>
      <c r="C107" s="421"/>
      <c r="D107" s="73"/>
      <c r="E107" s="73"/>
      <c r="F107" s="432"/>
      <c r="G107" s="73"/>
      <c r="H107" s="421"/>
      <c r="I107" s="73"/>
      <c r="J107" s="456"/>
      <c r="K107" s="73"/>
      <c r="L107" s="528">
        <f t="shared" si="48"/>
        <v>0</v>
      </c>
      <c r="M107" s="528">
        <f t="shared" si="49"/>
        <v>0</v>
      </c>
      <c r="N107" s="529">
        <f t="shared" si="50"/>
        <v>0</v>
      </c>
      <c r="O107" s="73"/>
      <c r="P107" s="421"/>
      <c r="Q107" s="73"/>
      <c r="R107" s="73"/>
      <c r="S107" s="73"/>
      <c r="T107" s="544">
        <f t="shared" si="46"/>
        <v>0</v>
      </c>
    </row>
    <row r="108" spans="1:20" x14ac:dyDescent="0.25">
      <c r="A108" s="397" t="str">
        <f t="shared" si="47"/>
        <v>B4</v>
      </c>
      <c r="B108" s="22" t="str">
        <f t="shared" si="47"/>
        <v>Működési bevételek</v>
      </c>
      <c r="C108" s="421">
        <f>+'6. Gólyahír'!C95</f>
        <v>3610000</v>
      </c>
      <c r="D108" s="73">
        <f>+'6. Gólyahír'!D95</f>
        <v>3610000</v>
      </c>
      <c r="E108" s="73">
        <f>+'6. Gólyahír'!E95</f>
        <v>3610000</v>
      </c>
      <c r="F108" s="432">
        <f>+'6. Gólyahír'!F95</f>
        <v>3610000</v>
      </c>
      <c r="G108" s="73"/>
      <c r="H108" s="421">
        <f>+'6. Gólyahír'!H95</f>
        <v>1730005</v>
      </c>
      <c r="I108" s="73">
        <f>+'6. Gólyahír'!I95</f>
        <v>2811829</v>
      </c>
      <c r="J108" s="456">
        <f>+'6. Gólyahír'!J95</f>
        <v>4043485</v>
      </c>
      <c r="K108" s="73"/>
      <c r="L108" s="528">
        <f t="shared" si="48"/>
        <v>0.4792257617728532</v>
      </c>
      <c r="M108" s="528">
        <f t="shared" si="49"/>
        <v>0.77890000000000004</v>
      </c>
      <c r="N108" s="529">
        <f t="shared" si="50"/>
        <v>1.120078947368421</v>
      </c>
      <c r="O108" s="73"/>
      <c r="P108" s="421">
        <f>+'6. Gólyahír'!P95</f>
        <v>0</v>
      </c>
      <c r="Q108" s="73">
        <f>+'6. Gólyahír'!Q95</f>
        <v>0</v>
      </c>
      <c r="R108" s="73">
        <f>+'6. Gólyahír'!R95</f>
        <v>0</v>
      </c>
      <c r="S108" s="73">
        <f>+'6. Gólyahír'!S95</f>
        <v>0</v>
      </c>
      <c r="T108" s="544">
        <f t="shared" si="46"/>
        <v>0</v>
      </c>
    </row>
    <row r="109" spans="1:20" x14ac:dyDescent="0.25">
      <c r="A109" s="397" t="str">
        <f t="shared" si="47"/>
        <v>B5</v>
      </c>
      <c r="B109" s="22" t="str">
        <f t="shared" si="47"/>
        <v>Felhalmozási bevételek</v>
      </c>
      <c r="C109" s="421"/>
      <c r="D109" s="73"/>
      <c r="E109" s="73"/>
      <c r="F109" s="432"/>
      <c r="G109" s="73"/>
      <c r="H109" s="421"/>
      <c r="I109" s="73"/>
      <c r="J109" s="456"/>
      <c r="K109" s="73"/>
      <c r="L109" s="528">
        <f t="shared" si="48"/>
        <v>0</v>
      </c>
      <c r="M109" s="528">
        <f t="shared" si="49"/>
        <v>0</v>
      </c>
      <c r="N109" s="529">
        <f t="shared" si="50"/>
        <v>0</v>
      </c>
      <c r="O109" s="73"/>
      <c r="P109" s="421"/>
      <c r="Q109" s="73"/>
      <c r="R109" s="73"/>
      <c r="S109" s="73"/>
      <c r="T109" s="544">
        <f t="shared" si="46"/>
        <v>0</v>
      </c>
    </row>
    <row r="110" spans="1:20" x14ac:dyDescent="0.25">
      <c r="A110" s="397" t="str">
        <f t="shared" si="47"/>
        <v>B6</v>
      </c>
      <c r="B110" s="22" t="str">
        <f t="shared" si="47"/>
        <v>Működési célú átvett pénzeszközök</v>
      </c>
      <c r="C110" s="421"/>
      <c r="D110" s="73"/>
      <c r="E110" s="73"/>
      <c r="F110" s="432"/>
      <c r="G110" s="73"/>
      <c r="H110" s="421"/>
      <c r="I110" s="73"/>
      <c r="J110" s="456"/>
      <c r="K110" s="73"/>
      <c r="L110" s="528">
        <f t="shared" si="48"/>
        <v>0</v>
      </c>
      <c r="M110" s="528">
        <f t="shared" si="49"/>
        <v>0</v>
      </c>
      <c r="N110" s="529">
        <f t="shared" si="50"/>
        <v>0</v>
      </c>
      <c r="O110" s="73"/>
      <c r="P110" s="421"/>
      <c r="Q110" s="73"/>
      <c r="R110" s="73"/>
      <c r="S110" s="73"/>
      <c r="T110" s="544">
        <f t="shared" si="46"/>
        <v>0</v>
      </c>
    </row>
    <row r="111" spans="1:20" x14ac:dyDescent="0.25">
      <c r="A111" s="397" t="str">
        <f t="shared" si="47"/>
        <v>B7</v>
      </c>
      <c r="B111" s="22" t="str">
        <f t="shared" si="47"/>
        <v>Felhalmozási célú átvett pénzeszközök</v>
      </c>
      <c r="C111" s="421"/>
      <c r="D111" s="73"/>
      <c r="E111" s="73"/>
      <c r="F111" s="432"/>
      <c r="G111" s="73"/>
      <c r="H111" s="421"/>
      <c r="I111" s="73"/>
      <c r="J111" s="456"/>
      <c r="K111" s="73"/>
      <c r="L111" s="528">
        <f t="shared" si="48"/>
        <v>0</v>
      </c>
      <c r="M111" s="528">
        <f t="shared" si="49"/>
        <v>0</v>
      </c>
      <c r="N111" s="529">
        <f t="shared" si="50"/>
        <v>0</v>
      </c>
      <c r="O111" s="73"/>
      <c r="P111" s="421"/>
      <c r="Q111" s="73"/>
      <c r="R111" s="73"/>
      <c r="S111" s="73"/>
      <c r="T111" s="544">
        <f t="shared" si="46"/>
        <v>0</v>
      </c>
    </row>
    <row r="112" spans="1:20" x14ac:dyDescent="0.25">
      <c r="A112" s="397" t="str">
        <f>+A85</f>
        <v>B8-ból maradványértéken túli finanszírozási bevételek</v>
      </c>
      <c r="C112" s="421">
        <f>+'6. Gólyahír'!C99-C113</f>
        <v>59311639</v>
      </c>
      <c r="D112" s="73">
        <f>+'6. Gólyahír'!D99-D113</f>
        <v>59311639</v>
      </c>
      <c r="E112" s="73">
        <f>+'6. Gólyahír'!E99-E113</f>
        <v>59311639</v>
      </c>
      <c r="F112" s="432">
        <f>+'6. Gólyahír'!F99-F113</f>
        <v>58548052</v>
      </c>
      <c r="G112" s="73"/>
      <c r="H112" s="421">
        <f>+'6. Gólyahír'!H99-H113</f>
        <v>33204714</v>
      </c>
      <c r="I112" s="73">
        <f>+'6. Gólyahír'!I99-I113</f>
        <v>45691064</v>
      </c>
      <c r="J112" s="456">
        <f>+'6. Gólyahír'!J99-J113</f>
        <v>58548052</v>
      </c>
      <c r="K112" s="73"/>
      <c r="L112" s="528">
        <f t="shared" si="48"/>
        <v>0.55983470630444054</v>
      </c>
      <c r="M112" s="528">
        <f t="shared" si="49"/>
        <v>0.7703557812657984</v>
      </c>
      <c r="N112" s="529">
        <f t="shared" si="50"/>
        <v>1</v>
      </c>
      <c r="O112" s="73"/>
      <c r="P112" s="421">
        <f>+'6. Gólyahír'!P99-P113</f>
        <v>0</v>
      </c>
      <c r="Q112" s="73">
        <f>+'6. Gólyahír'!Q99-Q113</f>
        <v>0</v>
      </c>
      <c r="R112" s="73">
        <f>+'6. Gólyahír'!R99-R113</f>
        <v>-763587</v>
      </c>
      <c r="S112" s="73">
        <f>+'6. Gólyahír'!S99-S113</f>
        <v>-763587</v>
      </c>
      <c r="T112" s="544">
        <f t="shared" si="46"/>
        <v>-1.2874151058277111E-2</v>
      </c>
    </row>
    <row r="113" spans="1:20" x14ac:dyDescent="0.25">
      <c r="A113" s="397" t="str">
        <f>+A86</f>
        <v>B8-ból előző évi mardvány igénybevétele</v>
      </c>
      <c r="C113" s="421">
        <f>+'6. Gólyahír'!C101</f>
        <v>2656361</v>
      </c>
      <c r="D113" s="73">
        <f>+'6. Gólyahír'!D101</f>
        <v>2656361</v>
      </c>
      <c r="E113" s="73">
        <f>+'6. Gólyahír'!E101</f>
        <v>2656361</v>
      </c>
      <c r="F113" s="432">
        <f>+'6. Gólyahír'!F101</f>
        <v>2656361</v>
      </c>
      <c r="G113" s="73"/>
      <c r="H113" s="421">
        <f>+'6. Gólyahír'!H101</f>
        <v>2656361</v>
      </c>
      <c r="I113" s="73">
        <f>+'6. Gólyahír'!I101</f>
        <v>2656361</v>
      </c>
      <c r="J113" s="456">
        <f>+'6. Gólyahír'!J101</f>
        <v>2656361</v>
      </c>
      <c r="K113" s="73"/>
      <c r="L113" s="528">
        <f t="shared" si="48"/>
        <v>1</v>
      </c>
      <c r="M113" s="528">
        <f t="shared" si="49"/>
        <v>1</v>
      </c>
      <c r="N113" s="529">
        <f t="shared" si="50"/>
        <v>1</v>
      </c>
      <c r="O113" s="73"/>
      <c r="P113" s="421">
        <f>+'6. Gólyahír'!P101</f>
        <v>0</v>
      </c>
      <c r="Q113" s="73">
        <f>+'6. Gólyahír'!Q101</f>
        <v>0</v>
      </c>
      <c r="R113" s="73">
        <f>+'6. Gólyahír'!R101</f>
        <v>0</v>
      </c>
      <c r="S113" s="73">
        <f>+'6. Gólyahír'!S101</f>
        <v>0</v>
      </c>
      <c r="T113" s="544">
        <f t="shared" si="46"/>
        <v>0</v>
      </c>
    </row>
    <row r="114" spans="1:20" x14ac:dyDescent="0.25">
      <c r="A114" s="401"/>
      <c r="B114" s="383" t="s">
        <v>372</v>
      </c>
      <c r="C114" s="423">
        <f>SUM(C105:C113)</f>
        <v>65578000</v>
      </c>
      <c r="D114" s="384">
        <f>SUM(D105:D113)</f>
        <v>65578000</v>
      </c>
      <c r="E114" s="384">
        <f>SUM(E105:E113)</f>
        <v>65578000</v>
      </c>
      <c r="F114" s="440">
        <f>SUM(F105:F113)</f>
        <v>64814413</v>
      </c>
      <c r="G114" s="384"/>
      <c r="H114" s="423">
        <f>SUM(H105:H113)</f>
        <v>37591080</v>
      </c>
      <c r="I114" s="384">
        <f>SUM(I105:I113)</f>
        <v>51159254</v>
      </c>
      <c r="J114" s="385">
        <f>SUM(J105:J113)</f>
        <v>65247898</v>
      </c>
      <c r="K114" s="386"/>
      <c r="L114" s="532">
        <f t="shared" si="48"/>
        <v>0.5732269968587026</v>
      </c>
      <c r="M114" s="532">
        <f t="shared" si="49"/>
        <v>0.78012830522431298</v>
      </c>
      <c r="N114" s="533">
        <f t="shared" si="50"/>
        <v>1.0066880957480862</v>
      </c>
      <c r="O114" s="386"/>
      <c r="P114" s="423">
        <f>SUM(P105:P113)</f>
        <v>0</v>
      </c>
      <c r="Q114" s="384">
        <f>SUM(Q105:Q113)</f>
        <v>0</v>
      </c>
      <c r="R114" s="384">
        <f>SUM(R105:R113)</f>
        <v>-763587</v>
      </c>
      <c r="S114" s="385">
        <f>SUM(S105:S113)</f>
        <v>-763587</v>
      </c>
      <c r="T114" s="545">
        <f t="shared" si="46"/>
        <v>-1.1643950715178871E-2</v>
      </c>
    </row>
    <row r="115" spans="1:20" x14ac:dyDescent="0.25">
      <c r="A115" s="400"/>
      <c r="B115" s="73"/>
      <c r="C115" s="421"/>
      <c r="D115" s="73"/>
      <c r="E115" s="73"/>
      <c r="F115" s="432"/>
      <c r="G115" s="73"/>
      <c r="H115" s="421"/>
      <c r="I115" s="73"/>
      <c r="J115" s="456"/>
      <c r="K115" s="73"/>
      <c r="L115" s="528"/>
      <c r="M115" s="528"/>
      <c r="N115" s="529"/>
      <c r="O115" s="73"/>
      <c r="P115" s="421"/>
      <c r="Q115" s="73"/>
      <c r="R115" s="73"/>
      <c r="S115" s="73"/>
      <c r="T115" s="546"/>
    </row>
    <row r="116" spans="1:20" ht="13.8" thickBot="1" x14ac:dyDescent="0.3">
      <c r="A116" s="403"/>
      <c r="B116" s="404" t="s">
        <v>451</v>
      </c>
      <c r="C116" s="425">
        <f>+C114-C103</f>
        <v>0</v>
      </c>
      <c r="D116" s="405">
        <f>+D114-D103</f>
        <v>0</v>
      </c>
      <c r="E116" s="405">
        <f>+E114-E103</f>
        <v>0</v>
      </c>
      <c r="F116" s="442">
        <f>+F114-F103</f>
        <v>0</v>
      </c>
      <c r="G116" s="405"/>
      <c r="H116" s="425">
        <f>+H114-H103</f>
        <v>5934583</v>
      </c>
      <c r="I116" s="405">
        <f>+I114-I103</f>
        <v>4377544</v>
      </c>
      <c r="J116" s="407">
        <f>+J114-J103</f>
        <v>2334000</v>
      </c>
      <c r="K116" s="406"/>
      <c r="L116" s="534">
        <f>IF(D116=0,0,H116/D116)</f>
        <v>0</v>
      </c>
      <c r="M116" s="534">
        <f>IF(E116=0,0,I116/E116)</f>
        <v>0</v>
      </c>
      <c r="N116" s="535">
        <f>IF(F116=0,0,J116/F116)</f>
        <v>0</v>
      </c>
      <c r="O116" s="406"/>
      <c r="P116" s="425">
        <f>+P114-P103</f>
        <v>0</v>
      </c>
      <c r="Q116" s="405">
        <f>+Q114-Q103</f>
        <v>0</v>
      </c>
      <c r="R116" s="405">
        <f>+R114-R103</f>
        <v>0</v>
      </c>
      <c r="S116" s="407">
        <f>+S114-S103</f>
        <v>0</v>
      </c>
      <c r="T116" s="547"/>
    </row>
    <row r="117" spans="1:20" x14ac:dyDescent="0.25">
      <c r="C117" s="400"/>
      <c r="F117" s="443"/>
      <c r="H117" s="400"/>
      <c r="J117" s="454"/>
      <c r="L117" s="528"/>
      <c r="M117" s="528"/>
      <c r="N117" s="529"/>
      <c r="P117" s="400"/>
      <c r="T117" s="546"/>
    </row>
    <row r="118" spans="1:20" ht="13.8" thickBot="1" x14ac:dyDescent="0.3">
      <c r="C118" s="400"/>
      <c r="F118" s="443"/>
      <c r="H118" s="400"/>
      <c r="J118" s="454"/>
      <c r="L118" s="528"/>
      <c r="M118" s="528"/>
      <c r="N118" s="529"/>
      <c r="P118" s="400"/>
      <c r="T118" s="546"/>
    </row>
    <row r="119" spans="1:20" ht="18" thickBot="1" x14ac:dyDescent="0.35">
      <c r="A119" s="408" t="s">
        <v>448</v>
      </c>
      <c r="B119" s="525"/>
      <c r="C119" s="400"/>
      <c r="F119" s="443"/>
      <c r="H119" s="400"/>
      <c r="J119" s="454"/>
      <c r="L119" s="528"/>
      <c r="M119" s="528"/>
      <c r="N119" s="529"/>
      <c r="P119" s="400"/>
      <c r="T119" s="546"/>
    </row>
    <row r="120" spans="1:20" x14ac:dyDescent="0.25">
      <c r="A120" s="393"/>
      <c r="B120" s="394"/>
      <c r="C120" s="393"/>
      <c r="D120" s="395"/>
      <c r="E120" s="395"/>
      <c r="F120" s="444"/>
      <c r="G120" s="395"/>
      <c r="H120" s="393"/>
      <c r="I120" s="395"/>
      <c r="J120" s="455"/>
      <c r="K120" s="395"/>
      <c r="L120" s="536"/>
      <c r="M120" s="536"/>
      <c r="N120" s="537"/>
      <c r="O120" s="395"/>
      <c r="P120" s="393"/>
      <c r="Q120" s="394"/>
      <c r="R120" s="394"/>
      <c r="S120" s="394"/>
      <c r="T120" s="548"/>
    </row>
    <row r="121" spans="1:20" x14ac:dyDescent="0.25">
      <c r="A121" s="397" t="s">
        <v>0</v>
      </c>
      <c r="B121" s="56" t="str">
        <f t="shared" ref="B121:B129" si="51">+B94</f>
        <v>Személyi juttatások</v>
      </c>
      <c r="C121" s="421">
        <f>+'7. Polg.Hiv.'!C13</f>
        <v>102325600</v>
      </c>
      <c r="D121" s="73">
        <f>+'7. Polg.Hiv.'!D13</f>
        <v>113400700</v>
      </c>
      <c r="E121" s="73">
        <f>+'7. Polg.Hiv.'!E13</f>
        <v>113400700</v>
      </c>
      <c r="F121" s="432">
        <f>+'7. Polg.Hiv.'!F13</f>
        <v>107399109</v>
      </c>
      <c r="G121" s="73"/>
      <c r="H121" s="421">
        <f>+'7. Polg.Hiv.'!H13</f>
        <v>51012328</v>
      </c>
      <c r="I121" s="73">
        <f>+'7. Polg.Hiv.'!I13</f>
        <v>76482976</v>
      </c>
      <c r="J121" s="456">
        <f>+'7. Polg.Hiv.'!J13</f>
        <v>106599077</v>
      </c>
      <c r="K121" s="73"/>
      <c r="L121" s="528">
        <f t="shared" ref="L121:L130" si="52">IF(D121=0,0,H121/D121)</f>
        <v>0.44984138545881991</v>
      </c>
      <c r="M121" s="528">
        <f t="shared" ref="M121:M130" si="53">IF(E121=0,0,I121/E121)</f>
        <v>0.67444888788164448</v>
      </c>
      <c r="N121" s="529">
        <f t="shared" ref="N121:N130" si="54">IF(F121=0,0,J121/F121)</f>
        <v>0.99255085067791393</v>
      </c>
      <c r="O121" s="73"/>
      <c r="P121" s="421">
        <f>D121-C121</f>
        <v>11075100</v>
      </c>
      <c r="Q121" s="73">
        <f>+E121-D121</f>
        <v>0</v>
      </c>
      <c r="R121" s="73">
        <f>+'7. Polg.Hiv.'!R13</f>
        <v>-6001591</v>
      </c>
      <c r="S121" s="73">
        <f>+'7. Polg.Hiv.'!S13</f>
        <v>5073509</v>
      </c>
      <c r="T121" s="544">
        <f>IF(S121=0,0,S121/C121)</f>
        <v>4.9582010757816229E-2</v>
      </c>
    </row>
    <row r="122" spans="1:20" x14ac:dyDescent="0.25">
      <c r="A122" s="397" t="s">
        <v>22</v>
      </c>
      <c r="B122" s="56" t="str">
        <f t="shared" si="51"/>
        <v>Munkaadót terhelő járulékok és szociális hozzájárulás</v>
      </c>
      <c r="C122" s="421">
        <f>+'7. Polg.Hiv.'!C29</f>
        <v>20252000</v>
      </c>
      <c r="D122" s="73">
        <f>+'7. Polg.Hiv.'!D29</f>
        <v>20498675</v>
      </c>
      <c r="E122" s="73">
        <f>+'7. Polg.Hiv.'!E29</f>
        <v>20521473</v>
      </c>
      <c r="F122" s="432">
        <f>+'7. Polg.Hiv.'!F29</f>
        <v>21201473</v>
      </c>
      <c r="G122" s="73"/>
      <c r="H122" s="421">
        <f>+'7. Polg.Hiv.'!H29</f>
        <v>11664414</v>
      </c>
      <c r="I122" s="73">
        <f>+'7. Polg.Hiv.'!I29</f>
        <v>16279513</v>
      </c>
      <c r="J122" s="456">
        <f>+'7. Polg.Hiv.'!J29</f>
        <v>20924717</v>
      </c>
      <c r="K122" s="73"/>
      <c r="L122" s="528">
        <f t="shared" si="52"/>
        <v>0.56903258381334398</v>
      </c>
      <c r="M122" s="528">
        <f t="shared" si="53"/>
        <v>0.79329164139435804</v>
      </c>
      <c r="N122" s="529">
        <f t="shared" si="54"/>
        <v>0.98694637867850032</v>
      </c>
      <c r="O122" s="73"/>
      <c r="P122" s="421">
        <f>+'7. Polg.Hiv.'!P29</f>
        <v>246675</v>
      </c>
      <c r="Q122" s="73">
        <f>+'7. Polg.Hiv.'!Q29</f>
        <v>22798</v>
      </c>
      <c r="R122" s="73">
        <f>+'7. Polg.Hiv.'!R29</f>
        <v>680000</v>
      </c>
      <c r="S122" s="73">
        <f>+'7. Polg.Hiv.'!S29</f>
        <v>949473</v>
      </c>
      <c r="T122" s="544">
        <f t="shared" ref="T122:T141" si="55">IF(S122=0,0,S122/C122)</f>
        <v>4.6882925143195732E-2</v>
      </c>
    </row>
    <row r="123" spans="1:20" x14ac:dyDescent="0.25">
      <c r="A123" s="397" t="s">
        <v>25</v>
      </c>
      <c r="B123" s="56" t="str">
        <f t="shared" si="51"/>
        <v>Dologi kiadások</v>
      </c>
      <c r="C123" s="421">
        <f>+'7. Polg.Hiv.'!C32</f>
        <v>11128000</v>
      </c>
      <c r="D123" s="73">
        <f>+'7. Polg.Hiv.'!D32</f>
        <v>11011573</v>
      </c>
      <c r="E123" s="73">
        <f>+'7. Polg.Hiv.'!E32</f>
        <v>11235624</v>
      </c>
      <c r="F123" s="432">
        <f>+'7. Polg.Hiv.'!F32</f>
        <v>10587993</v>
      </c>
      <c r="G123" s="73"/>
      <c r="H123" s="421">
        <f>+'7. Polg.Hiv.'!H32</f>
        <v>4746493</v>
      </c>
      <c r="I123" s="73">
        <f>+'7. Polg.Hiv.'!I32</f>
        <v>7111916</v>
      </c>
      <c r="J123" s="456">
        <f>+'7. Polg.Hiv.'!J32</f>
        <v>9763591</v>
      </c>
      <c r="K123" s="73"/>
      <c r="L123" s="528">
        <f t="shared" si="52"/>
        <v>0.43104586420123631</v>
      </c>
      <c r="M123" s="528">
        <f t="shared" si="53"/>
        <v>0.63297917409838567</v>
      </c>
      <c r="N123" s="529">
        <f t="shared" si="54"/>
        <v>0.92213802936968314</v>
      </c>
      <c r="O123" s="73"/>
      <c r="P123" s="421">
        <f>+'7. Polg.Hiv.'!P32</f>
        <v>-116427</v>
      </c>
      <c r="Q123" s="73">
        <f>+'7. Polg.Hiv.'!Q32</f>
        <v>224051</v>
      </c>
      <c r="R123" s="73">
        <f>+'7. Polg.Hiv.'!R32</f>
        <v>-647631</v>
      </c>
      <c r="S123" s="73">
        <f>+'7. Polg.Hiv.'!S32</f>
        <v>-540007</v>
      </c>
      <c r="T123" s="544">
        <f t="shared" si="55"/>
        <v>-4.8526869158878508E-2</v>
      </c>
    </row>
    <row r="124" spans="1:20" x14ac:dyDescent="0.25">
      <c r="A124" s="397" t="s">
        <v>107</v>
      </c>
      <c r="B124" s="56" t="str">
        <f t="shared" si="51"/>
        <v>Elláttotak pénzbeli juttatásai</v>
      </c>
      <c r="C124" s="421"/>
      <c r="D124" s="73"/>
      <c r="E124" s="73"/>
      <c r="F124" s="432"/>
      <c r="G124" s="73"/>
      <c r="H124" s="421"/>
      <c r="I124" s="73"/>
      <c r="J124" s="456"/>
      <c r="K124" s="73"/>
      <c r="L124" s="528">
        <f t="shared" si="52"/>
        <v>0</v>
      </c>
      <c r="M124" s="528">
        <f t="shared" si="53"/>
        <v>0</v>
      </c>
      <c r="N124" s="529">
        <f t="shared" si="54"/>
        <v>0</v>
      </c>
      <c r="O124" s="73"/>
      <c r="P124" s="421"/>
      <c r="Q124" s="73"/>
      <c r="R124" s="73"/>
      <c r="S124" s="73"/>
      <c r="T124" s="544">
        <f t="shared" si="55"/>
        <v>0</v>
      </c>
    </row>
    <row r="125" spans="1:20" x14ac:dyDescent="0.25">
      <c r="A125" s="398" t="s">
        <v>371</v>
      </c>
      <c r="B125" s="56" t="str">
        <f t="shared" si="51"/>
        <v>Egyéb működési célú kiadások</v>
      </c>
      <c r="C125" s="421"/>
      <c r="D125" s="73"/>
      <c r="E125" s="73"/>
      <c r="F125" s="432"/>
      <c r="G125" s="73"/>
      <c r="H125" s="421"/>
      <c r="I125" s="73"/>
      <c r="J125" s="456"/>
      <c r="K125" s="73"/>
      <c r="L125" s="528">
        <f t="shared" si="52"/>
        <v>0</v>
      </c>
      <c r="M125" s="528">
        <f t="shared" si="53"/>
        <v>0</v>
      </c>
      <c r="N125" s="529">
        <f t="shared" si="54"/>
        <v>0</v>
      </c>
      <c r="O125" s="73"/>
      <c r="P125" s="421"/>
      <c r="Q125" s="73"/>
      <c r="R125" s="73"/>
      <c r="S125" s="73"/>
      <c r="T125" s="544">
        <f t="shared" si="55"/>
        <v>0</v>
      </c>
    </row>
    <row r="126" spans="1:20" x14ac:dyDescent="0.25">
      <c r="A126" s="397" t="s">
        <v>154</v>
      </c>
      <c r="B126" s="322" t="str">
        <f t="shared" si="51"/>
        <v>Beruházások</v>
      </c>
      <c r="C126" s="421">
        <f>+'7. Polg.Hiv.'!C83</f>
        <v>1730000</v>
      </c>
      <c r="D126" s="73">
        <f>+'7. Polg.Hiv.'!D83</f>
        <v>1730000</v>
      </c>
      <c r="E126" s="73">
        <f>+'7. Polg.Hiv.'!E83</f>
        <v>1730000</v>
      </c>
      <c r="F126" s="432">
        <f>+'7. Polg.Hiv.'!F83</f>
        <v>1730000</v>
      </c>
      <c r="G126" s="73"/>
      <c r="H126" s="421">
        <f>+'7. Polg.Hiv.'!H83</f>
        <v>1486434</v>
      </c>
      <c r="I126" s="73">
        <f>+'7. Polg.Hiv.'!I83</f>
        <v>1509335</v>
      </c>
      <c r="J126" s="456">
        <f>+'7. Polg.Hiv.'!J83</f>
        <v>1606251</v>
      </c>
      <c r="K126" s="73"/>
      <c r="L126" s="528">
        <f t="shared" si="52"/>
        <v>0.85921040462427745</v>
      </c>
      <c r="M126" s="528">
        <f t="shared" si="53"/>
        <v>0.87244797687861275</v>
      </c>
      <c r="N126" s="529">
        <f t="shared" si="54"/>
        <v>0.92846878612716766</v>
      </c>
      <c r="O126" s="73"/>
      <c r="P126" s="421">
        <f>+'7. Polg.Hiv.'!P83</f>
        <v>0</v>
      </c>
      <c r="Q126" s="73">
        <f>+'7. Polg.Hiv.'!Q83</f>
        <v>0</v>
      </c>
      <c r="R126" s="73">
        <f>+'7. Polg.Hiv.'!R83</f>
        <v>0</v>
      </c>
      <c r="S126" s="73">
        <f>+'7. Polg.Hiv.'!S83</f>
        <v>0</v>
      </c>
      <c r="T126" s="544">
        <f t="shared" si="55"/>
        <v>0</v>
      </c>
    </row>
    <row r="127" spans="1:20" x14ac:dyDescent="0.25">
      <c r="A127" s="397" t="s">
        <v>169</v>
      </c>
      <c r="B127" s="56" t="str">
        <f t="shared" si="51"/>
        <v>Felújítások</v>
      </c>
      <c r="C127" s="421">
        <f>+'7. Polg.Hiv.'!C86</f>
        <v>0</v>
      </c>
      <c r="D127" s="73">
        <f>+'7. Polg.Hiv.'!D86</f>
        <v>0</v>
      </c>
      <c r="E127" s="73">
        <f>+'7. Polg.Hiv.'!E86</f>
        <v>0</v>
      </c>
      <c r="F127" s="432">
        <f>+'7. Polg.Hiv.'!F86</f>
        <v>0</v>
      </c>
      <c r="G127" s="73"/>
      <c r="H127" s="421">
        <f>+'7. Polg.Hiv.'!H86</f>
        <v>0</v>
      </c>
      <c r="I127" s="73">
        <f>+'7. Polg.Hiv.'!I86</f>
        <v>0</v>
      </c>
      <c r="J127" s="456">
        <f>+'7. Polg.Hiv.'!J86</f>
        <v>0</v>
      </c>
      <c r="K127" s="73"/>
      <c r="L127" s="528">
        <f t="shared" si="52"/>
        <v>0</v>
      </c>
      <c r="M127" s="528">
        <f t="shared" si="53"/>
        <v>0</v>
      </c>
      <c r="N127" s="529">
        <f t="shared" si="54"/>
        <v>0</v>
      </c>
      <c r="O127" s="73"/>
      <c r="P127" s="421">
        <f>+'7. Polg.Hiv.'!P86</f>
        <v>0</v>
      </c>
      <c r="Q127" s="73">
        <f>+'7. Polg.Hiv.'!Q86</f>
        <v>0</v>
      </c>
      <c r="R127" s="73">
        <f>+'7. Polg.Hiv.'!R86</f>
        <v>0</v>
      </c>
      <c r="S127" s="73">
        <f>+'7. Polg.Hiv.'!S86</f>
        <v>0</v>
      </c>
      <c r="T127" s="544">
        <f t="shared" si="55"/>
        <v>0</v>
      </c>
    </row>
    <row r="128" spans="1:20" x14ac:dyDescent="0.25">
      <c r="A128" s="397" t="s">
        <v>179</v>
      </c>
      <c r="B128" s="56" t="str">
        <f t="shared" si="51"/>
        <v>Szolgáltatások kiadásai</v>
      </c>
      <c r="C128" s="421"/>
      <c r="D128" s="73"/>
      <c r="E128" s="73"/>
      <c r="F128" s="432"/>
      <c r="G128" s="73"/>
      <c r="H128" s="421"/>
      <c r="I128" s="73"/>
      <c r="J128" s="456"/>
      <c r="K128" s="73"/>
      <c r="L128" s="528">
        <f t="shared" si="52"/>
        <v>0</v>
      </c>
      <c r="M128" s="528">
        <f t="shared" si="53"/>
        <v>0</v>
      </c>
      <c r="N128" s="529">
        <f t="shared" si="54"/>
        <v>0</v>
      </c>
      <c r="O128" s="73"/>
      <c r="P128" s="421"/>
      <c r="Q128" s="73"/>
      <c r="R128" s="73"/>
      <c r="S128" s="73"/>
      <c r="T128" s="544">
        <f t="shared" si="55"/>
        <v>0</v>
      </c>
    </row>
    <row r="129" spans="1:20" x14ac:dyDescent="0.25">
      <c r="A129" s="397" t="s">
        <v>197</v>
      </c>
      <c r="B129" s="56" t="str">
        <f t="shared" si="51"/>
        <v>Finanszírozási kiadások</v>
      </c>
      <c r="C129" s="400"/>
      <c r="F129" s="443"/>
      <c r="H129" s="400"/>
      <c r="J129" s="454"/>
      <c r="L129" s="528">
        <f t="shared" si="52"/>
        <v>0</v>
      </c>
      <c r="M129" s="528">
        <f t="shared" si="53"/>
        <v>0</v>
      </c>
      <c r="N129" s="529">
        <f t="shared" si="54"/>
        <v>0</v>
      </c>
      <c r="P129" s="400"/>
      <c r="T129" s="544">
        <f t="shared" si="55"/>
        <v>0</v>
      </c>
    </row>
    <row r="130" spans="1:20" x14ac:dyDescent="0.25">
      <c r="A130" s="399"/>
      <c r="B130" s="383" t="s">
        <v>373</v>
      </c>
      <c r="C130" s="423">
        <f>SUM(C121:C129)</f>
        <v>135435600</v>
      </c>
      <c r="D130" s="384">
        <f>SUM(D121:D129)</f>
        <v>146640948</v>
      </c>
      <c r="E130" s="384">
        <f>SUM(E121:E129)</f>
        <v>146887797</v>
      </c>
      <c r="F130" s="440">
        <f>SUM(F121:F129)</f>
        <v>140918575</v>
      </c>
      <c r="G130" s="384"/>
      <c r="H130" s="423">
        <f>SUM(H121:H129)</f>
        <v>68909669</v>
      </c>
      <c r="I130" s="384">
        <f>SUM(I121:I129)</f>
        <v>101383740</v>
      </c>
      <c r="J130" s="385">
        <f>SUM(J121:J129)</f>
        <v>138893636</v>
      </c>
      <c r="K130" s="201"/>
      <c r="L130" s="530">
        <f t="shared" si="52"/>
        <v>0.46992105506573784</v>
      </c>
      <c r="M130" s="530">
        <f t="shared" si="53"/>
        <v>0.69021213518506241</v>
      </c>
      <c r="N130" s="531">
        <f t="shared" si="54"/>
        <v>0.98563043232590164</v>
      </c>
      <c r="O130" s="201"/>
      <c r="P130" s="423">
        <f>SUM(P121:P129)</f>
        <v>11205348</v>
      </c>
      <c r="Q130" s="384">
        <f>SUM(Q121:Q129)</f>
        <v>246849</v>
      </c>
      <c r="R130" s="384">
        <f>SUM(R121:R129)</f>
        <v>-5969222</v>
      </c>
      <c r="S130" s="385">
        <f>SUM(S121:S129)</f>
        <v>5482975</v>
      </c>
      <c r="T130" s="545">
        <f t="shared" si="55"/>
        <v>4.0484001252255687E-2</v>
      </c>
    </row>
    <row r="131" spans="1:20" x14ac:dyDescent="0.25">
      <c r="A131" s="400"/>
      <c r="C131" s="400"/>
      <c r="F131" s="443"/>
      <c r="H131" s="400"/>
      <c r="J131" s="454"/>
      <c r="L131" s="528"/>
      <c r="M131" s="528"/>
      <c r="N131" s="529"/>
      <c r="P131" s="400"/>
      <c r="T131" s="544"/>
    </row>
    <row r="132" spans="1:20" x14ac:dyDescent="0.25">
      <c r="A132" s="397" t="str">
        <f t="shared" ref="A132:B138" si="56">+A105</f>
        <v>B1</v>
      </c>
      <c r="B132" s="56" t="str">
        <f t="shared" si="56"/>
        <v>Működési célú tám-ok államháztartáson belülről</v>
      </c>
      <c r="C132" s="421">
        <f>+'7. Polg.Hiv.'!C93</f>
        <v>0</v>
      </c>
      <c r="D132" s="73">
        <f>+'7. Polg.Hiv.'!D93</f>
        <v>1689348</v>
      </c>
      <c r="E132" s="73">
        <f>+'7. Polg.Hiv.'!E93</f>
        <v>1936197</v>
      </c>
      <c r="F132" s="432">
        <f>+'7. Polg.Hiv.'!F93</f>
        <v>4176281</v>
      </c>
      <c r="G132" s="73"/>
      <c r="H132" s="421">
        <f>+'7. Polg.Hiv.'!H93</f>
        <v>1760799</v>
      </c>
      <c r="I132" s="73">
        <f>+'7. Polg.Hiv.'!I93</f>
        <v>2190160</v>
      </c>
      <c r="J132" s="456">
        <f>+'7. Polg.Hiv.'!J93</f>
        <v>4176281</v>
      </c>
      <c r="K132" s="73"/>
      <c r="L132" s="528">
        <f t="shared" ref="L132:L141" si="57">IF(D132=0,0,H132/D132)</f>
        <v>1.042295015591814</v>
      </c>
      <c r="M132" s="528">
        <f t="shared" ref="M132:M141" si="58">IF(E132=0,0,I132/E132)</f>
        <v>1.1311658885950138</v>
      </c>
      <c r="N132" s="529">
        <f t="shared" ref="N132:N141" si="59">IF(F132=0,0,J132/F132)</f>
        <v>1</v>
      </c>
      <c r="O132" s="73"/>
      <c r="P132" s="421">
        <f>+'7. Polg.Hiv.'!P93</f>
        <v>1689348</v>
      </c>
      <c r="Q132" s="73">
        <f>+'7. Polg.Hiv.'!Q93</f>
        <v>246849</v>
      </c>
      <c r="R132" s="73">
        <f>+'7. Polg.Hiv.'!R93</f>
        <v>2240084</v>
      </c>
      <c r="S132" s="73">
        <f>+'7. Polg.Hiv.'!S93</f>
        <v>4176281</v>
      </c>
      <c r="T132" s="544" t="e">
        <f t="shared" si="55"/>
        <v>#DIV/0!</v>
      </c>
    </row>
    <row r="133" spans="1:20" x14ac:dyDescent="0.25">
      <c r="A133" s="397" t="str">
        <f t="shared" si="56"/>
        <v>B2</v>
      </c>
      <c r="B133" s="56" t="str">
        <f t="shared" si="56"/>
        <v>Felhalmozási célú tám-ok államházt-on belülről</v>
      </c>
      <c r="C133" s="421"/>
      <c r="D133" s="73"/>
      <c r="E133" s="73"/>
      <c r="F133" s="432"/>
      <c r="G133" s="73"/>
      <c r="H133" s="421"/>
      <c r="I133" s="73"/>
      <c r="J133" s="456"/>
      <c r="K133" s="73"/>
      <c r="L133" s="528">
        <f t="shared" si="57"/>
        <v>0</v>
      </c>
      <c r="M133" s="528">
        <f t="shared" si="58"/>
        <v>0</v>
      </c>
      <c r="N133" s="529">
        <f t="shared" si="59"/>
        <v>0</v>
      </c>
      <c r="O133" s="73"/>
      <c r="P133" s="421"/>
      <c r="Q133" s="73"/>
      <c r="R133" s="73"/>
      <c r="S133" s="73"/>
      <c r="T133" s="544">
        <f t="shared" si="55"/>
        <v>0</v>
      </c>
    </row>
    <row r="134" spans="1:20" x14ac:dyDescent="0.25">
      <c r="A134" s="397" t="str">
        <f t="shared" si="56"/>
        <v>B3</v>
      </c>
      <c r="B134" s="56" t="str">
        <f t="shared" si="56"/>
        <v>Közhatalmi bevételek</v>
      </c>
      <c r="C134" s="421"/>
      <c r="D134" s="73"/>
      <c r="E134" s="73"/>
      <c r="F134" s="432"/>
      <c r="G134" s="73"/>
      <c r="H134" s="421"/>
      <c r="I134" s="73"/>
      <c r="J134" s="456"/>
      <c r="K134" s="73"/>
      <c r="L134" s="528">
        <f t="shared" si="57"/>
        <v>0</v>
      </c>
      <c r="M134" s="528">
        <f t="shared" si="58"/>
        <v>0</v>
      </c>
      <c r="N134" s="529">
        <f t="shared" si="59"/>
        <v>0</v>
      </c>
      <c r="O134" s="73"/>
      <c r="P134" s="421"/>
      <c r="Q134" s="73"/>
      <c r="R134" s="73"/>
      <c r="S134" s="73"/>
      <c r="T134" s="544">
        <f t="shared" si="55"/>
        <v>0</v>
      </c>
    </row>
    <row r="135" spans="1:20" x14ac:dyDescent="0.25">
      <c r="A135" s="397" t="str">
        <f t="shared" si="56"/>
        <v>B4</v>
      </c>
      <c r="B135" s="56" t="str">
        <f t="shared" si="56"/>
        <v>Működési bevételek</v>
      </c>
      <c r="C135" s="421">
        <f>+'7. Polg.Hiv.'!C95</f>
        <v>10000</v>
      </c>
      <c r="D135" s="73">
        <f>+'7. Polg.Hiv.'!D95</f>
        <v>10000</v>
      </c>
      <c r="E135" s="73">
        <f>+'7. Polg.Hiv.'!E95</f>
        <v>10000</v>
      </c>
      <c r="F135" s="432">
        <f>+'7. Polg.Hiv.'!F95</f>
        <v>10000</v>
      </c>
      <c r="G135" s="73"/>
      <c r="H135" s="421">
        <f>+'7. Polg.Hiv.'!H95</f>
        <v>2119</v>
      </c>
      <c r="I135" s="73">
        <f>+'7. Polg.Hiv.'!I95</f>
        <v>3754</v>
      </c>
      <c r="J135" s="456">
        <f>+'7. Polg.Hiv.'!J95</f>
        <v>3782</v>
      </c>
      <c r="K135" s="73"/>
      <c r="L135" s="528">
        <f t="shared" si="57"/>
        <v>0.21190000000000001</v>
      </c>
      <c r="M135" s="528">
        <f t="shared" si="58"/>
        <v>0.37540000000000001</v>
      </c>
      <c r="N135" s="529">
        <f t="shared" si="59"/>
        <v>0.37819999999999998</v>
      </c>
      <c r="O135" s="73"/>
      <c r="P135" s="421">
        <f>+'7. Polg.Hiv.'!P95</f>
        <v>0</v>
      </c>
      <c r="Q135" s="73">
        <f>+'7. Polg.Hiv.'!Q95</f>
        <v>0</v>
      </c>
      <c r="R135" s="73">
        <f>+'7. Polg.Hiv.'!R95</f>
        <v>0</v>
      </c>
      <c r="S135" s="73">
        <f>+'7. Polg.Hiv.'!S95</f>
        <v>0</v>
      </c>
      <c r="T135" s="544">
        <f t="shared" si="55"/>
        <v>0</v>
      </c>
    </row>
    <row r="136" spans="1:20" x14ac:dyDescent="0.25">
      <c r="A136" s="397" t="str">
        <f t="shared" si="56"/>
        <v>B5</v>
      </c>
      <c r="B136" s="56" t="str">
        <f t="shared" si="56"/>
        <v>Felhalmozási bevételek</v>
      </c>
      <c r="C136" s="421"/>
      <c r="D136" s="73"/>
      <c r="E136" s="73"/>
      <c r="F136" s="432"/>
      <c r="G136" s="73"/>
      <c r="H136" s="421"/>
      <c r="I136" s="73"/>
      <c r="J136" s="456"/>
      <c r="K136" s="73"/>
      <c r="L136" s="528">
        <f t="shared" si="57"/>
        <v>0</v>
      </c>
      <c r="M136" s="528">
        <f t="shared" si="58"/>
        <v>0</v>
      </c>
      <c r="N136" s="529">
        <f t="shared" si="59"/>
        <v>0</v>
      </c>
      <c r="O136" s="73"/>
      <c r="P136" s="421"/>
      <c r="Q136" s="73"/>
      <c r="R136" s="73"/>
      <c r="S136" s="73"/>
      <c r="T136" s="544">
        <f t="shared" si="55"/>
        <v>0</v>
      </c>
    </row>
    <row r="137" spans="1:20" x14ac:dyDescent="0.25">
      <c r="A137" s="397" t="str">
        <f t="shared" si="56"/>
        <v>B6</v>
      </c>
      <c r="B137" s="56" t="str">
        <f t="shared" si="56"/>
        <v>Működési célú átvett pénzeszközök</v>
      </c>
      <c r="C137" s="421"/>
      <c r="D137" s="73"/>
      <c r="E137" s="73"/>
      <c r="F137" s="432"/>
      <c r="G137" s="73"/>
      <c r="H137" s="421"/>
      <c r="I137" s="73"/>
      <c r="J137" s="456"/>
      <c r="K137" s="73"/>
      <c r="L137" s="528">
        <f t="shared" si="57"/>
        <v>0</v>
      </c>
      <c r="M137" s="528">
        <f t="shared" si="58"/>
        <v>0</v>
      </c>
      <c r="N137" s="529">
        <f t="shared" si="59"/>
        <v>0</v>
      </c>
      <c r="O137" s="73"/>
      <c r="P137" s="421"/>
      <c r="Q137" s="73"/>
      <c r="R137" s="73"/>
      <c r="S137" s="73"/>
      <c r="T137" s="544">
        <f t="shared" si="55"/>
        <v>0</v>
      </c>
    </row>
    <row r="138" spans="1:20" x14ac:dyDescent="0.25">
      <c r="A138" s="397" t="str">
        <f t="shared" si="56"/>
        <v>B7</v>
      </c>
      <c r="B138" s="56" t="str">
        <f t="shared" si="56"/>
        <v>Felhalmozási célú átvett pénzeszközök</v>
      </c>
      <c r="C138" s="421"/>
      <c r="D138" s="73"/>
      <c r="E138" s="73"/>
      <c r="F138" s="432"/>
      <c r="G138" s="73"/>
      <c r="H138" s="421"/>
      <c r="I138" s="73"/>
      <c r="J138" s="456"/>
      <c r="K138" s="73"/>
      <c r="L138" s="528">
        <f t="shared" si="57"/>
        <v>0</v>
      </c>
      <c r="M138" s="528">
        <f t="shared" si="58"/>
        <v>0</v>
      </c>
      <c r="N138" s="529">
        <f t="shared" si="59"/>
        <v>0</v>
      </c>
      <c r="O138" s="73"/>
      <c r="P138" s="421"/>
      <c r="Q138" s="73"/>
      <c r="R138" s="73"/>
      <c r="S138" s="73"/>
      <c r="T138" s="544">
        <f t="shared" si="55"/>
        <v>0</v>
      </c>
    </row>
    <row r="139" spans="1:20" x14ac:dyDescent="0.25">
      <c r="A139" s="397" t="str">
        <f>+A112</f>
        <v>B8-ból maradványértéken túli finanszírozási bevételek</v>
      </c>
      <c r="B139" s="56"/>
      <c r="C139" s="421">
        <f>+'7. Polg.Hiv.'!C99-C140</f>
        <v>132994717</v>
      </c>
      <c r="D139" s="73">
        <f>+'7. Polg.Hiv.'!D99-D140</f>
        <v>142510717</v>
      </c>
      <c r="E139" s="73">
        <f>+'7. Polg.Hiv.'!E99-E140</f>
        <v>142510717</v>
      </c>
      <c r="F139" s="432">
        <f>+'7. Polg.Hiv.'!F99-F140</f>
        <v>134301411</v>
      </c>
      <c r="G139" s="73"/>
      <c r="H139" s="421">
        <f>+'7. Polg.Hiv.'!H99-H140</f>
        <v>68609214</v>
      </c>
      <c r="I139" s="73">
        <f>+'7. Polg.Hiv.'!I99-I140</f>
        <v>99619603</v>
      </c>
      <c r="J139" s="456">
        <f>+'7. Polg.Hiv.'!J99-J140</f>
        <v>134301411</v>
      </c>
      <c r="K139" s="73"/>
      <c r="L139" s="528">
        <f t="shared" si="57"/>
        <v>0.4814319613590885</v>
      </c>
      <c r="M139" s="528">
        <f t="shared" si="58"/>
        <v>0.69903236119428125</v>
      </c>
      <c r="N139" s="529">
        <f t="shared" si="59"/>
        <v>1</v>
      </c>
      <c r="O139" s="73"/>
      <c r="P139" s="421">
        <f>+'7. Polg.Hiv.'!P99-P140</f>
        <v>9516000</v>
      </c>
      <c r="Q139" s="73">
        <f>+'7. Polg.Hiv.'!Q99-Q140</f>
        <v>0</v>
      </c>
      <c r="R139" s="73">
        <f>+'7. Polg.Hiv.'!R99-R140</f>
        <v>-8209306</v>
      </c>
      <c r="S139" s="73">
        <f>+'7. Polg.Hiv.'!S99-S140</f>
        <v>1306694</v>
      </c>
      <c r="T139" s="544">
        <f t="shared" si="55"/>
        <v>9.8251571902664373E-3</v>
      </c>
    </row>
    <row r="140" spans="1:20" x14ac:dyDescent="0.25">
      <c r="A140" s="397" t="str">
        <f>+A113</f>
        <v>B8-ból előző évi mardvány igénybevétele</v>
      </c>
      <c r="B140" s="56"/>
      <c r="C140" s="421">
        <f>+'7. Polg.Hiv.'!C101</f>
        <v>2430883</v>
      </c>
      <c r="D140" s="73">
        <f>+'7. Polg.Hiv.'!D101</f>
        <v>2430883</v>
      </c>
      <c r="E140" s="73">
        <f>+'7. Polg.Hiv.'!E101</f>
        <v>2430883</v>
      </c>
      <c r="F140" s="432">
        <f>+'7. Polg.Hiv.'!F101</f>
        <v>2430883</v>
      </c>
      <c r="G140" s="73"/>
      <c r="H140" s="421">
        <f>+'7. Polg.Hiv.'!H101</f>
        <v>2430883</v>
      </c>
      <c r="I140" s="73">
        <f>+'7. Polg.Hiv.'!I101</f>
        <v>2430883</v>
      </c>
      <c r="J140" s="456">
        <f>+'7. Polg.Hiv.'!J101</f>
        <v>2430883</v>
      </c>
      <c r="K140" s="73"/>
      <c r="L140" s="528">
        <f t="shared" si="57"/>
        <v>1</v>
      </c>
      <c r="M140" s="528">
        <f t="shared" si="58"/>
        <v>1</v>
      </c>
      <c r="N140" s="529">
        <f t="shared" si="59"/>
        <v>1</v>
      </c>
      <c r="O140" s="73"/>
      <c r="P140" s="421">
        <f>+'7. Polg.Hiv.'!P101</f>
        <v>0</v>
      </c>
      <c r="Q140" s="73">
        <f>+'7. Polg.Hiv.'!Q101</f>
        <v>0</v>
      </c>
      <c r="R140" s="73">
        <f>+'7. Polg.Hiv.'!R101</f>
        <v>0</v>
      </c>
      <c r="S140" s="73">
        <f>+'7. Polg.Hiv.'!S101</f>
        <v>0</v>
      </c>
      <c r="T140" s="544">
        <f t="shared" si="55"/>
        <v>0</v>
      </c>
    </row>
    <row r="141" spans="1:20" x14ac:dyDescent="0.25">
      <c r="A141" s="401"/>
      <c r="B141" s="383" t="s">
        <v>372</v>
      </c>
      <c r="C141" s="423">
        <f>SUM(C132:C140)</f>
        <v>135435600</v>
      </c>
      <c r="D141" s="384">
        <f>SUM(D132:D140)</f>
        <v>146640948</v>
      </c>
      <c r="E141" s="384">
        <f>SUM(E132:E140)</f>
        <v>146887797</v>
      </c>
      <c r="F141" s="440">
        <f>SUM(F132:F140)</f>
        <v>140918575</v>
      </c>
      <c r="G141" s="384"/>
      <c r="H141" s="423">
        <f>SUM(H132:H140)</f>
        <v>72803015</v>
      </c>
      <c r="I141" s="384">
        <f>SUM(I132:I140)</f>
        <v>104244400</v>
      </c>
      <c r="J141" s="385">
        <f>SUM(J132:J140)</f>
        <v>140912357</v>
      </c>
      <c r="K141" s="386"/>
      <c r="L141" s="532">
        <f t="shared" si="57"/>
        <v>0.49647125167248646</v>
      </c>
      <c r="M141" s="532">
        <f t="shared" si="58"/>
        <v>0.70968727238791662</v>
      </c>
      <c r="N141" s="533">
        <f t="shared" si="59"/>
        <v>0.99995587522794638</v>
      </c>
      <c r="O141" s="386"/>
      <c r="P141" s="423">
        <f>SUM(P132:P140)</f>
        <v>11205348</v>
      </c>
      <c r="Q141" s="384">
        <f>SUM(Q132:Q140)</f>
        <v>246849</v>
      </c>
      <c r="R141" s="384">
        <f>SUM(R132:R140)</f>
        <v>-5969222</v>
      </c>
      <c r="S141" s="385">
        <f>SUM(S132:S140)</f>
        <v>5482975</v>
      </c>
      <c r="T141" s="545">
        <f t="shared" si="55"/>
        <v>4.0484001252255687E-2</v>
      </c>
    </row>
    <row r="142" spans="1:20" x14ac:dyDescent="0.25">
      <c r="A142" s="400"/>
      <c r="B142" s="73"/>
      <c r="C142" s="421"/>
      <c r="D142" s="73"/>
      <c r="E142" s="73"/>
      <c r="F142" s="432"/>
      <c r="G142" s="73"/>
      <c r="H142" s="421"/>
      <c r="I142" s="73"/>
      <c r="J142" s="456"/>
      <c r="K142" s="73"/>
      <c r="L142" s="528"/>
      <c r="M142" s="528"/>
      <c r="N142" s="529"/>
      <c r="O142" s="73"/>
      <c r="P142" s="421"/>
      <c r="Q142" s="73"/>
      <c r="R142" s="73"/>
      <c r="S142" s="73"/>
      <c r="T142" s="546"/>
    </row>
    <row r="143" spans="1:20" ht="13.8" thickBot="1" x14ac:dyDescent="0.3">
      <c r="A143" s="403"/>
      <c r="B143" s="404" t="s">
        <v>451</v>
      </c>
      <c r="C143" s="425">
        <f>+C141-C130</f>
        <v>0</v>
      </c>
      <c r="D143" s="405">
        <f>+D141-D130</f>
        <v>0</v>
      </c>
      <c r="E143" s="405">
        <f>+E141-E130</f>
        <v>0</v>
      </c>
      <c r="F143" s="442">
        <f>+F141-F130</f>
        <v>0</v>
      </c>
      <c r="G143" s="405"/>
      <c r="H143" s="425">
        <f>+H141-H130</f>
        <v>3893346</v>
      </c>
      <c r="I143" s="405">
        <f>+I141-I130</f>
        <v>2860660</v>
      </c>
      <c r="J143" s="407">
        <f>+J141-J130</f>
        <v>2018721</v>
      </c>
      <c r="K143" s="406"/>
      <c r="L143" s="534">
        <f>IF(D143=0,0,H143/D143)</f>
        <v>0</v>
      </c>
      <c r="M143" s="534">
        <f>IF(E143=0,0,I143/E143)</f>
        <v>0</v>
      </c>
      <c r="N143" s="535">
        <f>IF(F143=0,0,J143/F143)</f>
        <v>0</v>
      </c>
      <c r="O143" s="406"/>
      <c r="P143" s="425">
        <f>+P141-P130</f>
        <v>0</v>
      </c>
      <c r="Q143" s="405">
        <f>+Q141-Q130</f>
        <v>0</v>
      </c>
      <c r="R143" s="405">
        <f>+R141-R130</f>
        <v>0</v>
      </c>
      <c r="S143" s="407">
        <f>+S141-S130</f>
        <v>0</v>
      </c>
      <c r="T143" s="547"/>
    </row>
    <row r="144" spans="1:20" x14ac:dyDescent="0.25">
      <c r="A144" s="56"/>
      <c r="B144" s="56"/>
      <c r="C144" s="421"/>
      <c r="D144" s="73"/>
      <c r="E144" s="73"/>
      <c r="F144" s="432"/>
      <c r="G144" s="73"/>
      <c r="H144" s="421"/>
      <c r="I144" s="73"/>
      <c r="J144" s="456"/>
      <c r="K144" s="73"/>
      <c r="L144" s="528"/>
      <c r="M144" s="528"/>
      <c r="N144" s="529"/>
      <c r="O144" s="73"/>
      <c r="P144" s="421"/>
      <c r="Q144" s="73"/>
      <c r="R144" s="73"/>
      <c r="S144" s="73"/>
      <c r="T144" s="546"/>
    </row>
    <row r="145" spans="1:20" ht="13.8" thickBot="1" x14ac:dyDescent="0.3">
      <c r="A145" s="56"/>
      <c r="B145" s="56"/>
      <c r="C145" s="421"/>
      <c r="D145" s="73"/>
      <c r="E145" s="73"/>
      <c r="F145" s="432"/>
      <c r="G145" s="73"/>
      <c r="H145" s="421"/>
      <c r="I145" s="73"/>
      <c r="J145" s="456"/>
      <c r="K145" s="73"/>
      <c r="L145" s="528"/>
      <c r="M145" s="528"/>
      <c r="N145" s="529"/>
      <c r="O145" s="73"/>
      <c r="P145" s="421"/>
      <c r="Q145" s="73"/>
      <c r="R145" s="73"/>
      <c r="S145" s="73"/>
      <c r="T145" s="546"/>
    </row>
    <row r="146" spans="1:20" ht="18" thickBot="1" x14ac:dyDescent="0.35">
      <c r="A146" s="410" t="s">
        <v>447</v>
      </c>
      <c r="B146" s="447"/>
      <c r="C146" s="421"/>
      <c r="D146" s="73"/>
      <c r="E146" s="73"/>
      <c r="F146" s="432"/>
      <c r="G146" s="73"/>
      <c r="H146" s="421"/>
      <c r="I146" s="73"/>
      <c r="J146" s="456"/>
      <c r="K146" s="73"/>
      <c r="L146" s="528"/>
      <c r="M146" s="528"/>
      <c r="N146" s="529"/>
      <c r="O146" s="73"/>
      <c r="P146" s="421"/>
      <c r="Q146" s="73"/>
      <c r="R146" s="73"/>
      <c r="S146" s="73"/>
      <c r="T146" s="546"/>
    </row>
    <row r="147" spans="1:20" x14ac:dyDescent="0.25">
      <c r="A147" s="448"/>
      <c r="B147" s="411"/>
      <c r="C147" s="422"/>
      <c r="D147" s="413"/>
      <c r="E147" s="413"/>
      <c r="F147" s="412"/>
      <c r="G147" s="413"/>
      <c r="H147" s="422"/>
      <c r="I147" s="413"/>
      <c r="J147" s="458"/>
      <c r="K147" s="413"/>
      <c r="L147" s="536"/>
      <c r="M147" s="536"/>
      <c r="N147" s="537"/>
      <c r="O147" s="413"/>
      <c r="P147" s="422"/>
      <c r="Q147" s="413"/>
      <c r="R147" s="413"/>
      <c r="S147" s="413"/>
      <c r="T147" s="548"/>
    </row>
    <row r="148" spans="1:20" x14ac:dyDescent="0.25">
      <c r="A148" s="449" t="s">
        <v>0</v>
      </c>
      <c r="B148" s="56" t="str">
        <f t="shared" ref="B148:B156" si="60">+B121</f>
        <v>Személyi juttatások</v>
      </c>
      <c r="C148" s="421">
        <f>+'8. WAMKK'!C13</f>
        <v>13970000</v>
      </c>
      <c r="D148" s="73">
        <f>+'8. WAMKK'!D13</f>
        <v>13970000</v>
      </c>
      <c r="E148" s="73">
        <f>+'8. WAMKK'!E13</f>
        <v>13970000</v>
      </c>
      <c r="F148" s="432">
        <f>+'8. WAMKK'!F13</f>
        <v>13970000</v>
      </c>
      <c r="G148" s="73"/>
      <c r="H148" s="421">
        <f>+'8. WAMKK'!H13</f>
        <v>6042177</v>
      </c>
      <c r="I148" s="73">
        <f>+'8. WAMKK'!I13</f>
        <v>9018873</v>
      </c>
      <c r="J148" s="456">
        <f>+'8. WAMKK'!J13</f>
        <v>13510045</v>
      </c>
      <c r="K148" s="73"/>
      <c r="L148" s="528">
        <f t="shared" ref="L148:L157" si="61">IF(D148=0,0,H148/D148)</f>
        <v>0.43251088045812458</v>
      </c>
      <c r="M148" s="528">
        <f t="shared" ref="M148:M157" si="62">IF(E148=0,0,I148/E148)</f>
        <v>0.64558861846814608</v>
      </c>
      <c r="N148" s="529">
        <f t="shared" ref="N148:N157" si="63">IF(F148=0,0,J148/F148)</f>
        <v>0.96707551896921973</v>
      </c>
      <c r="O148" s="73"/>
      <c r="P148" s="421">
        <f>+'8. WAMKK'!P13</f>
        <v>0</v>
      </c>
      <c r="Q148" s="73">
        <f>+'8. WAMKK'!Q13</f>
        <v>0</v>
      </c>
      <c r="R148" s="73">
        <f>+'8. WAMKK'!R13</f>
        <v>0</v>
      </c>
      <c r="S148" s="73">
        <f>+'8. WAMKK'!S13</f>
        <v>0</v>
      </c>
      <c r="T148" s="544">
        <f>IF(S148=0,0,S148/C148)</f>
        <v>0</v>
      </c>
    </row>
    <row r="149" spans="1:20" x14ac:dyDescent="0.25">
      <c r="A149" s="449" t="s">
        <v>22</v>
      </c>
      <c r="B149" s="56" t="str">
        <f t="shared" si="60"/>
        <v>Munkaadót terhelő járulékok és szociális hozzájárulás</v>
      </c>
      <c r="C149" s="421">
        <f>+'8. WAMKK'!C29</f>
        <v>3000000</v>
      </c>
      <c r="D149" s="73">
        <f>+'8. WAMKK'!D29</f>
        <v>3000000</v>
      </c>
      <c r="E149" s="73">
        <f>+'8. WAMKK'!E29</f>
        <v>3000000</v>
      </c>
      <c r="F149" s="432">
        <f>+'8. WAMKK'!F29</f>
        <v>2574000</v>
      </c>
      <c r="G149" s="73"/>
      <c r="H149" s="421">
        <f>+'8. WAMKK'!H29</f>
        <v>1315967</v>
      </c>
      <c r="I149" s="73">
        <f>+'8. WAMKK'!I29</f>
        <v>1869747</v>
      </c>
      <c r="J149" s="456">
        <f>+'8. WAMKK'!J29</f>
        <v>2573467</v>
      </c>
      <c r="K149" s="73"/>
      <c r="L149" s="528">
        <f t="shared" si="61"/>
        <v>0.43865566666666667</v>
      </c>
      <c r="M149" s="528">
        <f t="shared" si="62"/>
        <v>0.62324900000000005</v>
      </c>
      <c r="N149" s="529">
        <f t="shared" si="63"/>
        <v>0.99979292929292929</v>
      </c>
      <c r="O149" s="73"/>
      <c r="P149" s="421">
        <f>+'8. WAMKK'!P29</f>
        <v>0</v>
      </c>
      <c r="Q149" s="73">
        <f>+'8. WAMKK'!Q29</f>
        <v>0</v>
      </c>
      <c r="R149" s="73">
        <f>+'8. WAMKK'!R29</f>
        <v>-426000</v>
      </c>
      <c r="S149" s="73">
        <f>+'8. WAMKK'!S29</f>
        <v>-426000</v>
      </c>
      <c r="T149" s="544">
        <f t="shared" ref="T149:T168" si="64">IF(S149=0,0,S149/C149)</f>
        <v>-0.14199999999999999</v>
      </c>
    </row>
    <row r="150" spans="1:20" x14ac:dyDescent="0.25">
      <c r="A150" s="449" t="s">
        <v>25</v>
      </c>
      <c r="B150" s="56" t="str">
        <f t="shared" si="60"/>
        <v>Dologi kiadások</v>
      </c>
      <c r="C150" s="421">
        <f>+'8. WAMKK'!C32</f>
        <v>13092000</v>
      </c>
      <c r="D150" s="73">
        <f>+'8. WAMKK'!D32</f>
        <v>13019600</v>
      </c>
      <c r="E150" s="73">
        <f>+'8. WAMKK'!E32</f>
        <v>16293600</v>
      </c>
      <c r="F150" s="432">
        <f>+'8. WAMKK'!F32</f>
        <v>14701260</v>
      </c>
      <c r="G150" s="73"/>
      <c r="H150" s="421">
        <f>+'8. WAMKK'!H32</f>
        <v>4969781</v>
      </c>
      <c r="I150" s="73">
        <f>+'8. WAMKK'!I32</f>
        <v>12120491</v>
      </c>
      <c r="J150" s="456">
        <f>+'8. WAMKK'!J32</f>
        <v>14257854</v>
      </c>
      <c r="K150" s="73"/>
      <c r="L150" s="528">
        <f t="shared" si="61"/>
        <v>0.38171533687670894</v>
      </c>
      <c r="M150" s="528">
        <f t="shared" si="62"/>
        <v>0.74388048067953061</v>
      </c>
      <c r="N150" s="529">
        <f t="shared" si="63"/>
        <v>0.96983891176674653</v>
      </c>
      <c r="O150" s="73"/>
      <c r="P150" s="421">
        <f>+'8. WAMKK'!P32</f>
        <v>-72400</v>
      </c>
      <c r="Q150" s="73">
        <f>+'8. WAMKK'!Q32</f>
        <v>3274000</v>
      </c>
      <c r="R150" s="73">
        <f>+'8. WAMKK'!R32</f>
        <v>-1592340</v>
      </c>
      <c r="S150" s="73">
        <f>+'8. WAMKK'!S32</f>
        <v>1609260</v>
      </c>
      <c r="T150" s="544">
        <f t="shared" si="64"/>
        <v>0.12291934005499541</v>
      </c>
    </row>
    <row r="151" spans="1:20" x14ac:dyDescent="0.25">
      <c r="A151" s="449" t="s">
        <v>107</v>
      </c>
      <c r="B151" s="56" t="str">
        <f t="shared" si="60"/>
        <v>Elláttotak pénzbeli juttatásai</v>
      </c>
      <c r="C151" s="421"/>
      <c r="D151" s="73"/>
      <c r="E151" s="73"/>
      <c r="F151" s="432"/>
      <c r="G151" s="73"/>
      <c r="H151" s="421"/>
      <c r="I151" s="73"/>
      <c r="J151" s="456"/>
      <c r="K151" s="73"/>
      <c r="L151" s="528">
        <f t="shared" si="61"/>
        <v>0</v>
      </c>
      <c r="M151" s="528">
        <f t="shared" si="62"/>
        <v>0</v>
      </c>
      <c r="N151" s="529">
        <f t="shared" si="63"/>
        <v>0</v>
      </c>
      <c r="O151" s="73"/>
      <c r="P151" s="421"/>
      <c r="Q151" s="73"/>
      <c r="R151" s="73"/>
      <c r="S151" s="73"/>
      <c r="T151" s="544">
        <f t="shared" si="64"/>
        <v>0</v>
      </c>
    </row>
    <row r="152" spans="1:20" x14ac:dyDescent="0.25">
      <c r="A152" s="450" t="s">
        <v>371</v>
      </c>
      <c r="B152" s="56" t="str">
        <f t="shared" si="60"/>
        <v>Egyéb működési célú kiadások</v>
      </c>
      <c r="C152" s="421"/>
      <c r="D152" s="73"/>
      <c r="E152" s="73"/>
      <c r="F152" s="432"/>
      <c r="G152" s="73"/>
      <c r="H152" s="421"/>
      <c r="I152" s="73"/>
      <c r="J152" s="456"/>
      <c r="K152" s="73"/>
      <c r="L152" s="528">
        <f t="shared" si="61"/>
        <v>0</v>
      </c>
      <c r="M152" s="528">
        <f t="shared" si="62"/>
        <v>0</v>
      </c>
      <c r="N152" s="529">
        <f t="shared" si="63"/>
        <v>0</v>
      </c>
      <c r="O152" s="73"/>
      <c r="P152" s="421"/>
      <c r="Q152" s="73"/>
      <c r="R152" s="73"/>
      <c r="S152" s="73"/>
      <c r="T152" s="544">
        <f t="shared" si="64"/>
        <v>0</v>
      </c>
    </row>
    <row r="153" spans="1:20" x14ac:dyDescent="0.25">
      <c r="A153" s="449" t="s">
        <v>154</v>
      </c>
      <c r="B153" s="56" t="str">
        <f t="shared" si="60"/>
        <v>Beruházások</v>
      </c>
      <c r="C153" s="421">
        <f>+'8. WAMKK'!C83</f>
        <v>200000</v>
      </c>
      <c r="D153" s="73">
        <f>+'8. WAMKK'!D83</f>
        <v>272400</v>
      </c>
      <c r="E153" s="73">
        <f>+'8. WAMKK'!E83</f>
        <v>272400</v>
      </c>
      <c r="F153" s="432">
        <f>+'8. WAMKK'!F83</f>
        <v>280740</v>
      </c>
      <c r="G153" s="73"/>
      <c r="H153" s="421">
        <f>+'8. WAMKK'!H83</f>
        <v>225840</v>
      </c>
      <c r="I153" s="73">
        <f>+'8. WAMKK'!I83</f>
        <v>225840</v>
      </c>
      <c r="J153" s="456">
        <f>+'8. WAMKK'!J83</f>
        <v>280740</v>
      </c>
      <c r="K153" s="73"/>
      <c r="L153" s="528">
        <f t="shared" si="61"/>
        <v>0.82907488986784139</v>
      </c>
      <c r="M153" s="528">
        <f t="shared" si="62"/>
        <v>0.82907488986784139</v>
      </c>
      <c r="N153" s="529">
        <f t="shared" si="63"/>
        <v>1</v>
      </c>
      <c r="O153" s="73"/>
      <c r="P153" s="421">
        <f>+'8. WAMKK'!P83</f>
        <v>72400</v>
      </c>
      <c r="Q153" s="73">
        <f>+'8. WAMKK'!Q83</f>
        <v>0</v>
      </c>
      <c r="R153" s="73">
        <f>+'8. WAMKK'!R83</f>
        <v>8340</v>
      </c>
      <c r="S153" s="73">
        <f>+'8. WAMKK'!S83</f>
        <v>80740</v>
      </c>
      <c r="T153" s="544">
        <f t="shared" si="64"/>
        <v>0.4037</v>
      </c>
    </row>
    <row r="154" spans="1:20" x14ac:dyDescent="0.25">
      <c r="A154" s="449" t="s">
        <v>169</v>
      </c>
      <c r="B154" s="56" t="str">
        <f t="shared" si="60"/>
        <v>Felújítások</v>
      </c>
      <c r="C154" s="421">
        <f>+'8. WAMKK'!C86</f>
        <v>0</v>
      </c>
      <c r="D154" s="73">
        <f>+'8. WAMKK'!D86</f>
        <v>0</v>
      </c>
      <c r="E154" s="73">
        <f>+'8. WAMKK'!E86</f>
        <v>0</v>
      </c>
      <c r="F154" s="432">
        <f>+'8. WAMKK'!F86</f>
        <v>0</v>
      </c>
      <c r="G154" s="73"/>
      <c r="H154" s="421">
        <f>+'8. WAMKK'!H86</f>
        <v>0</v>
      </c>
      <c r="I154" s="73">
        <f>+'8. WAMKK'!I86</f>
        <v>0</v>
      </c>
      <c r="J154" s="456">
        <f>+'8. WAMKK'!J86</f>
        <v>0</v>
      </c>
      <c r="K154" s="73"/>
      <c r="L154" s="528">
        <f t="shared" si="61"/>
        <v>0</v>
      </c>
      <c r="M154" s="528">
        <f t="shared" si="62"/>
        <v>0</v>
      </c>
      <c r="N154" s="529">
        <f t="shared" si="63"/>
        <v>0</v>
      </c>
      <c r="O154" s="73"/>
      <c r="P154" s="421">
        <f>+'8. WAMKK'!P86</f>
        <v>0</v>
      </c>
      <c r="Q154" s="73">
        <f>+'8. WAMKK'!Q86</f>
        <v>0</v>
      </c>
      <c r="R154" s="73">
        <f>+'8. WAMKK'!R86</f>
        <v>0</v>
      </c>
      <c r="S154" s="73">
        <f>+'8. WAMKK'!S86</f>
        <v>0</v>
      </c>
      <c r="T154" s="544">
        <f t="shared" si="64"/>
        <v>0</v>
      </c>
    </row>
    <row r="155" spans="1:20" x14ac:dyDescent="0.25">
      <c r="A155" s="449" t="s">
        <v>179</v>
      </c>
      <c r="B155" s="56" t="str">
        <f t="shared" si="60"/>
        <v>Szolgáltatások kiadásai</v>
      </c>
      <c r="C155" s="421"/>
      <c r="D155" s="73"/>
      <c r="E155" s="73"/>
      <c r="F155" s="432"/>
      <c r="G155" s="73"/>
      <c r="H155" s="421"/>
      <c r="I155" s="73"/>
      <c r="J155" s="456"/>
      <c r="K155" s="73"/>
      <c r="L155" s="528">
        <f t="shared" si="61"/>
        <v>0</v>
      </c>
      <c r="M155" s="528">
        <f t="shared" si="62"/>
        <v>0</v>
      </c>
      <c r="N155" s="529">
        <f t="shared" si="63"/>
        <v>0</v>
      </c>
      <c r="O155" s="73"/>
      <c r="P155" s="421"/>
      <c r="Q155" s="73"/>
      <c r="R155" s="73"/>
      <c r="S155" s="73"/>
      <c r="T155" s="544">
        <f t="shared" si="64"/>
        <v>0</v>
      </c>
    </row>
    <row r="156" spans="1:20" x14ac:dyDescent="0.25">
      <c r="A156" s="449" t="s">
        <v>197</v>
      </c>
      <c r="B156" s="56" t="str">
        <f t="shared" si="60"/>
        <v>Finanszírozási kiadások</v>
      </c>
      <c r="C156" s="421"/>
      <c r="D156" s="73"/>
      <c r="E156" s="73"/>
      <c r="F156" s="432"/>
      <c r="G156" s="73"/>
      <c r="H156" s="421"/>
      <c r="I156" s="73"/>
      <c r="J156" s="456"/>
      <c r="K156" s="73"/>
      <c r="L156" s="528">
        <f t="shared" si="61"/>
        <v>0</v>
      </c>
      <c r="M156" s="528">
        <f t="shared" si="62"/>
        <v>0</v>
      </c>
      <c r="N156" s="529">
        <f t="shared" si="63"/>
        <v>0</v>
      </c>
      <c r="O156" s="73"/>
      <c r="P156" s="421"/>
      <c r="Q156" s="73"/>
      <c r="R156" s="73"/>
      <c r="S156" s="73"/>
      <c r="T156" s="544">
        <f t="shared" si="64"/>
        <v>0</v>
      </c>
    </row>
    <row r="157" spans="1:20" x14ac:dyDescent="0.25">
      <c r="A157" s="451"/>
      <c r="B157" s="387" t="s">
        <v>373</v>
      </c>
      <c r="C157" s="426">
        <f>SUM(C148:C156)</f>
        <v>30262000</v>
      </c>
      <c r="D157" s="388">
        <f>SUM(D148:D156)</f>
        <v>30262000</v>
      </c>
      <c r="E157" s="388">
        <f>SUM(E148:E156)</f>
        <v>33536000</v>
      </c>
      <c r="F157" s="445">
        <f>SUM(F148:F156)</f>
        <v>31526000</v>
      </c>
      <c r="G157" s="388"/>
      <c r="H157" s="426">
        <f>SUM(H148:H156)</f>
        <v>12553765</v>
      </c>
      <c r="I157" s="388">
        <f>SUM(I148:I156)</f>
        <v>23234951</v>
      </c>
      <c r="J157" s="390">
        <f>SUM(J148:J156)</f>
        <v>30622106</v>
      </c>
      <c r="K157" s="391"/>
      <c r="L157" s="538">
        <f t="shared" si="61"/>
        <v>0.41483593285308307</v>
      </c>
      <c r="M157" s="538">
        <f t="shared" si="62"/>
        <v>0.69283608659351148</v>
      </c>
      <c r="N157" s="539">
        <f t="shared" si="63"/>
        <v>0.97132861764892475</v>
      </c>
      <c r="O157" s="391"/>
      <c r="P157" s="426">
        <f>SUM(P148:P156)</f>
        <v>0</v>
      </c>
      <c r="Q157" s="388">
        <f>SUM(Q148:Q156)</f>
        <v>3274000</v>
      </c>
      <c r="R157" s="388">
        <f>SUM(R148:R156)</f>
        <v>-2010000</v>
      </c>
      <c r="S157" s="390">
        <f>SUM(S148:S156)</f>
        <v>1264000</v>
      </c>
      <c r="T157" s="545">
        <f t="shared" si="64"/>
        <v>4.1768554622959489E-2</v>
      </c>
    </row>
    <row r="158" spans="1:20" x14ac:dyDescent="0.25">
      <c r="A158" s="400"/>
      <c r="C158" s="400"/>
      <c r="F158" s="443"/>
      <c r="H158" s="400"/>
      <c r="J158" s="454"/>
      <c r="L158" s="528"/>
      <c r="M158" s="528"/>
      <c r="N158" s="529"/>
      <c r="P158" s="400"/>
      <c r="T158" s="544"/>
    </row>
    <row r="159" spans="1:20" x14ac:dyDescent="0.25">
      <c r="A159" s="397" t="str">
        <f t="shared" ref="A159:B165" si="65">+A132</f>
        <v>B1</v>
      </c>
      <c r="B159" s="56" t="str">
        <f t="shared" si="65"/>
        <v>Működési célú tám-ok államháztartáson belülről</v>
      </c>
      <c r="C159" s="421">
        <f>+'8. WAMKK'!C93</f>
        <v>0</v>
      </c>
      <c r="D159" s="73">
        <f>+'8. WAMKK'!D93</f>
        <v>0</v>
      </c>
      <c r="E159" s="73">
        <f>+'8. WAMKK'!E93</f>
        <v>0</v>
      </c>
      <c r="F159" s="432">
        <f>+'8. WAMKK'!F93</f>
        <v>0</v>
      </c>
      <c r="G159" s="73"/>
      <c r="H159" s="421">
        <f>+'8. WAMKK'!H93</f>
        <v>0</v>
      </c>
      <c r="I159" s="73">
        <f>+'8. WAMKK'!I93</f>
        <v>0</v>
      </c>
      <c r="J159" s="456">
        <f>+'8. WAMKK'!J93</f>
        <v>0</v>
      </c>
      <c r="K159" s="73"/>
      <c r="L159" s="528">
        <f t="shared" ref="L159:L168" si="66">IF(D159=0,0,H159/D159)</f>
        <v>0</v>
      </c>
      <c r="M159" s="528">
        <f t="shared" ref="M159:M168" si="67">IF(E159=0,0,I159/E159)</f>
        <v>0</v>
      </c>
      <c r="N159" s="529">
        <f t="shared" ref="N159:N168" si="68">IF(F159=0,0,J159/F159)</f>
        <v>0</v>
      </c>
      <c r="O159" s="73"/>
      <c r="P159" s="421">
        <f>+'8. WAMKK'!P93</f>
        <v>0</v>
      </c>
      <c r="Q159" s="73">
        <f>+'8. WAMKK'!Q93</f>
        <v>0</v>
      </c>
      <c r="R159" s="73">
        <f>+'8. WAMKK'!R93</f>
        <v>0</v>
      </c>
      <c r="S159" s="73">
        <f>+'8. WAMKK'!S93</f>
        <v>0</v>
      </c>
      <c r="T159" s="544">
        <f t="shared" si="64"/>
        <v>0</v>
      </c>
    </row>
    <row r="160" spans="1:20" x14ac:dyDescent="0.25">
      <c r="A160" s="397" t="str">
        <f t="shared" si="65"/>
        <v>B2</v>
      </c>
      <c r="B160" s="56" t="str">
        <f t="shared" si="65"/>
        <v>Felhalmozási célú tám-ok államházt-on belülről</v>
      </c>
      <c r="C160" s="421"/>
      <c r="D160" s="73"/>
      <c r="E160" s="73"/>
      <c r="F160" s="432"/>
      <c r="G160" s="73"/>
      <c r="H160" s="421"/>
      <c r="I160" s="73"/>
      <c r="J160" s="456"/>
      <c r="K160" s="73"/>
      <c r="L160" s="528">
        <f t="shared" si="66"/>
        <v>0</v>
      </c>
      <c r="M160" s="528">
        <f t="shared" si="67"/>
        <v>0</v>
      </c>
      <c r="N160" s="529">
        <f t="shared" si="68"/>
        <v>0</v>
      </c>
      <c r="O160" s="73"/>
      <c r="P160" s="421"/>
      <c r="Q160" s="73"/>
      <c r="R160" s="73"/>
      <c r="S160" s="73"/>
      <c r="T160" s="544">
        <f t="shared" si="64"/>
        <v>0</v>
      </c>
    </row>
    <row r="161" spans="1:20" x14ac:dyDescent="0.25">
      <c r="A161" s="397" t="str">
        <f t="shared" si="65"/>
        <v>B3</v>
      </c>
      <c r="B161" s="56" t="str">
        <f t="shared" si="65"/>
        <v>Közhatalmi bevételek</v>
      </c>
      <c r="C161" s="421"/>
      <c r="D161" s="73"/>
      <c r="E161" s="73"/>
      <c r="F161" s="432"/>
      <c r="G161" s="73"/>
      <c r="H161" s="421"/>
      <c r="I161" s="73"/>
      <c r="J161" s="456"/>
      <c r="K161" s="73"/>
      <c r="L161" s="528">
        <f t="shared" si="66"/>
        <v>0</v>
      </c>
      <c r="M161" s="528">
        <f t="shared" si="67"/>
        <v>0</v>
      </c>
      <c r="N161" s="529">
        <f t="shared" si="68"/>
        <v>0</v>
      </c>
      <c r="O161" s="73"/>
      <c r="P161" s="421"/>
      <c r="Q161" s="73"/>
      <c r="R161" s="73"/>
      <c r="S161" s="73"/>
      <c r="T161" s="544">
        <f t="shared" si="64"/>
        <v>0</v>
      </c>
    </row>
    <row r="162" spans="1:20" x14ac:dyDescent="0.25">
      <c r="A162" s="397" t="str">
        <f t="shared" si="65"/>
        <v>B4</v>
      </c>
      <c r="B162" s="56" t="str">
        <f t="shared" si="65"/>
        <v>Működési bevételek</v>
      </c>
      <c r="C162" s="421">
        <f>+'8. WAMKK'!C95</f>
        <v>1221000</v>
      </c>
      <c r="D162" s="73">
        <f>+'8. WAMKK'!D95</f>
        <v>1221000</v>
      </c>
      <c r="E162" s="73">
        <f>+'8. WAMKK'!E95</f>
        <v>1221000</v>
      </c>
      <c r="F162" s="432">
        <f>+'8. WAMKK'!F95</f>
        <v>2220528</v>
      </c>
      <c r="G162" s="73"/>
      <c r="H162" s="421">
        <f>+'8. WAMKK'!H95</f>
        <v>718358</v>
      </c>
      <c r="I162" s="73">
        <f>+'8. WAMKK'!I95</f>
        <v>943177</v>
      </c>
      <c r="J162" s="456">
        <f>+'8. WAMKK'!J95</f>
        <v>1470701</v>
      </c>
      <c r="K162" s="73"/>
      <c r="L162" s="528">
        <f t="shared" si="66"/>
        <v>0.58833579033579031</v>
      </c>
      <c r="M162" s="528">
        <f t="shared" si="67"/>
        <v>0.77246273546273547</v>
      </c>
      <c r="N162" s="529">
        <f t="shared" si="68"/>
        <v>0.6623204030753046</v>
      </c>
      <c r="O162" s="73"/>
      <c r="P162" s="421">
        <f>+'8. WAMKK'!P95</f>
        <v>0</v>
      </c>
      <c r="Q162" s="73">
        <f>+'8. WAMKK'!Q95</f>
        <v>0</v>
      </c>
      <c r="R162" s="73">
        <f>+'8. WAMKK'!R95</f>
        <v>999528</v>
      </c>
      <c r="S162" s="73">
        <f>+'8. WAMKK'!S95</f>
        <v>999528</v>
      </c>
      <c r="T162" s="544">
        <f t="shared" si="64"/>
        <v>0.81861425061425064</v>
      </c>
    </row>
    <row r="163" spans="1:20" x14ac:dyDescent="0.25">
      <c r="A163" s="397" t="str">
        <f t="shared" si="65"/>
        <v>B5</v>
      </c>
      <c r="B163" s="56" t="str">
        <f t="shared" si="65"/>
        <v>Felhalmozási bevételek</v>
      </c>
      <c r="C163" s="421"/>
      <c r="D163" s="73"/>
      <c r="E163" s="73"/>
      <c r="F163" s="432"/>
      <c r="G163" s="73"/>
      <c r="H163" s="421"/>
      <c r="I163" s="73"/>
      <c r="J163" s="456"/>
      <c r="K163" s="73"/>
      <c r="L163" s="528">
        <f t="shared" si="66"/>
        <v>0</v>
      </c>
      <c r="M163" s="528">
        <f t="shared" si="67"/>
        <v>0</v>
      </c>
      <c r="N163" s="529">
        <f t="shared" si="68"/>
        <v>0</v>
      </c>
      <c r="O163" s="73"/>
      <c r="P163" s="421"/>
      <c r="Q163" s="73"/>
      <c r="R163" s="73"/>
      <c r="S163" s="73"/>
      <c r="T163" s="544">
        <f t="shared" si="64"/>
        <v>0</v>
      </c>
    </row>
    <row r="164" spans="1:20" x14ac:dyDescent="0.25">
      <c r="A164" s="397" t="str">
        <f t="shared" si="65"/>
        <v>B6</v>
      </c>
      <c r="B164" s="56" t="str">
        <f t="shared" si="65"/>
        <v>Működési célú átvett pénzeszközök</v>
      </c>
      <c r="C164" s="421"/>
      <c r="D164" s="73"/>
      <c r="E164" s="73"/>
      <c r="F164" s="432"/>
      <c r="G164" s="73"/>
      <c r="H164" s="421"/>
      <c r="I164" s="73"/>
      <c r="J164" s="456"/>
      <c r="K164" s="73"/>
      <c r="L164" s="528">
        <f t="shared" si="66"/>
        <v>0</v>
      </c>
      <c r="M164" s="528">
        <f t="shared" si="67"/>
        <v>0</v>
      </c>
      <c r="N164" s="529">
        <f t="shared" si="68"/>
        <v>0</v>
      </c>
      <c r="O164" s="73"/>
      <c r="P164" s="421"/>
      <c r="Q164" s="73"/>
      <c r="R164" s="73"/>
      <c r="S164" s="73"/>
      <c r="T164" s="544">
        <f t="shared" si="64"/>
        <v>0</v>
      </c>
    </row>
    <row r="165" spans="1:20" x14ac:dyDescent="0.25">
      <c r="A165" s="397" t="str">
        <f t="shared" si="65"/>
        <v>B7</v>
      </c>
      <c r="B165" s="56" t="str">
        <f t="shared" si="65"/>
        <v>Felhalmozási célú átvett pénzeszközök</v>
      </c>
      <c r="C165" s="421"/>
      <c r="D165" s="73"/>
      <c r="E165" s="73"/>
      <c r="F165" s="432"/>
      <c r="G165" s="73"/>
      <c r="H165" s="421"/>
      <c r="I165" s="73"/>
      <c r="J165" s="456"/>
      <c r="K165" s="73"/>
      <c r="L165" s="528">
        <f t="shared" si="66"/>
        <v>0</v>
      </c>
      <c r="M165" s="528">
        <f t="shared" si="67"/>
        <v>0</v>
      </c>
      <c r="N165" s="529">
        <f t="shared" si="68"/>
        <v>0</v>
      </c>
      <c r="O165" s="73"/>
      <c r="P165" s="421"/>
      <c r="Q165" s="73"/>
      <c r="R165" s="73"/>
      <c r="S165" s="73"/>
      <c r="T165" s="544">
        <f t="shared" si="64"/>
        <v>0</v>
      </c>
    </row>
    <row r="166" spans="1:20" x14ac:dyDescent="0.25">
      <c r="A166" s="397" t="str">
        <f>+A139</f>
        <v>B8-ból maradványértéken túli finanszírozási bevételek</v>
      </c>
      <c r="B166" s="56"/>
      <c r="C166" s="421">
        <f>+'8. WAMKK'!C99-C167</f>
        <v>28334588</v>
      </c>
      <c r="D166" s="73">
        <f>+'8. WAMKK'!D99-D167</f>
        <v>28334588</v>
      </c>
      <c r="E166" s="73">
        <f>+'8. WAMKK'!E99-E167</f>
        <v>31608588</v>
      </c>
      <c r="F166" s="432">
        <f>+'8. WAMKK'!F99-F167</f>
        <v>28599060</v>
      </c>
      <c r="G166" s="73"/>
      <c r="H166" s="421">
        <f>+'8. WAMKK'!H99-H167</f>
        <v>11496302</v>
      </c>
      <c r="I166" s="73">
        <f>+'8. WAMKK'!I99-I167</f>
        <v>24377110</v>
      </c>
      <c r="J166" s="456">
        <f>+'8. WAMKK'!J99-J167</f>
        <v>28599060</v>
      </c>
      <c r="K166" s="73"/>
      <c r="L166" s="528">
        <f t="shared" si="66"/>
        <v>0.40573386844375503</v>
      </c>
      <c r="M166" s="528">
        <f t="shared" si="67"/>
        <v>0.77121793608749623</v>
      </c>
      <c r="N166" s="529">
        <f t="shared" si="68"/>
        <v>1</v>
      </c>
      <c r="O166" s="73"/>
      <c r="P166" s="421">
        <f>+'8. WAMKK'!P99-P167</f>
        <v>0</v>
      </c>
      <c r="Q166" s="73">
        <f>+'8. WAMKK'!Q99-Q167</f>
        <v>3274000</v>
      </c>
      <c r="R166" s="73">
        <f>+'8. WAMKK'!R99-R167</f>
        <v>-3009528</v>
      </c>
      <c r="S166" s="73">
        <f>+'8. WAMKK'!S99-S167</f>
        <v>264472</v>
      </c>
      <c r="T166" s="544">
        <f t="shared" si="64"/>
        <v>9.3338925556284771E-3</v>
      </c>
    </row>
    <row r="167" spans="1:20" x14ac:dyDescent="0.25">
      <c r="A167" s="397" t="str">
        <f>+A140</f>
        <v>B8-ból előző évi mardvány igénybevétele</v>
      </c>
      <c r="B167" s="56"/>
      <c r="C167" s="421">
        <f>+'8. WAMKK'!C101</f>
        <v>706412</v>
      </c>
      <c r="D167" s="73">
        <f>+'8. WAMKK'!D101</f>
        <v>706412</v>
      </c>
      <c r="E167" s="73">
        <f>+'8. WAMKK'!E101</f>
        <v>706412</v>
      </c>
      <c r="F167" s="432">
        <f>+'8. WAMKK'!F101</f>
        <v>706412</v>
      </c>
      <c r="G167" s="73"/>
      <c r="H167" s="421">
        <f>+'8. WAMKK'!H101</f>
        <v>706412</v>
      </c>
      <c r="I167" s="73">
        <f>+'8. WAMKK'!I101</f>
        <v>706412</v>
      </c>
      <c r="J167" s="456">
        <f>+'8. WAMKK'!J101</f>
        <v>706412</v>
      </c>
      <c r="K167" s="73"/>
      <c r="L167" s="528">
        <f t="shared" si="66"/>
        <v>1</v>
      </c>
      <c r="M167" s="528">
        <f t="shared" si="67"/>
        <v>1</v>
      </c>
      <c r="N167" s="529">
        <f t="shared" si="68"/>
        <v>1</v>
      </c>
      <c r="O167" s="73"/>
      <c r="P167" s="421">
        <f>+'8. WAMKK'!P101</f>
        <v>0</v>
      </c>
      <c r="Q167" s="73">
        <f>+'8. WAMKK'!Q101</f>
        <v>0</v>
      </c>
      <c r="R167" s="73">
        <f>+'8. WAMKK'!R101</f>
        <v>0</v>
      </c>
      <c r="S167" s="73">
        <f>+'8. WAMKK'!S101</f>
        <v>0</v>
      </c>
      <c r="T167" s="544">
        <f t="shared" si="64"/>
        <v>0</v>
      </c>
    </row>
    <row r="168" spans="1:20" x14ac:dyDescent="0.25">
      <c r="A168" s="452"/>
      <c r="B168" s="387" t="s">
        <v>372</v>
      </c>
      <c r="C168" s="426">
        <f>SUM(C159:C167)</f>
        <v>30262000</v>
      </c>
      <c r="D168" s="388">
        <f>SUM(D159:D167)</f>
        <v>30262000</v>
      </c>
      <c r="E168" s="388">
        <f>SUM(E159:E167)</f>
        <v>33536000</v>
      </c>
      <c r="F168" s="445">
        <f>SUM(F159:F167)</f>
        <v>31526000</v>
      </c>
      <c r="G168" s="388"/>
      <c r="H168" s="426">
        <f>SUM(H159:H167)</f>
        <v>12921072</v>
      </c>
      <c r="I168" s="388">
        <f>SUM(I159:I167)</f>
        <v>26026699</v>
      </c>
      <c r="J168" s="390">
        <f>SUM(J159:J167)</f>
        <v>30776173</v>
      </c>
      <c r="K168" s="389"/>
      <c r="L168" s="540">
        <f t="shared" si="66"/>
        <v>0.42697349811644969</v>
      </c>
      <c r="M168" s="540">
        <f t="shared" si="67"/>
        <v>0.7760823890744275</v>
      </c>
      <c r="N168" s="541">
        <f t="shared" si="68"/>
        <v>0.97621559982236883</v>
      </c>
      <c r="O168" s="389"/>
      <c r="P168" s="426">
        <f>SUM(P159:P167)</f>
        <v>0</v>
      </c>
      <c r="Q168" s="388">
        <f>SUM(Q159:Q167)</f>
        <v>3274000</v>
      </c>
      <c r="R168" s="388">
        <f>SUM(R159:R167)</f>
        <v>-2010000</v>
      </c>
      <c r="S168" s="390">
        <f>SUM(S159:S167)</f>
        <v>1264000</v>
      </c>
      <c r="T168" s="545">
        <f t="shared" si="64"/>
        <v>4.1768554622959489E-2</v>
      </c>
    </row>
    <row r="169" spans="1:20" x14ac:dyDescent="0.25">
      <c r="A169" s="400"/>
      <c r="B169" s="73"/>
      <c r="C169" s="421"/>
      <c r="D169" s="73"/>
      <c r="E169" s="73"/>
      <c r="F169" s="432"/>
      <c r="G169" s="73"/>
      <c r="H169" s="421"/>
      <c r="I169" s="73"/>
      <c r="J169" s="456"/>
      <c r="K169" s="73"/>
      <c r="L169" s="528"/>
      <c r="M169" s="528"/>
      <c r="N169" s="529"/>
      <c r="O169" s="73"/>
      <c r="P169" s="421"/>
      <c r="Q169" s="73"/>
      <c r="R169" s="73"/>
      <c r="S169" s="73"/>
      <c r="T169" s="546"/>
    </row>
    <row r="170" spans="1:20" ht="13.8" thickBot="1" x14ac:dyDescent="0.3">
      <c r="A170" s="403"/>
      <c r="B170" s="404" t="s">
        <v>451</v>
      </c>
      <c r="C170" s="425">
        <f>+C168-C157</f>
        <v>0</v>
      </c>
      <c r="D170" s="405">
        <f>+D168-D157</f>
        <v>0</v>
      </c>
      <c r="E170" s="405">
        <f>+E168-E157</f>
        <v>0</v>
      </c>
      <c r="F170" s="442">
        <f>+F168-F157</f>
        <v>0</v>
      </c>
      <c r="G170" s="405"/>
      <c r="H170" s="425">
        <f>+H168-H157</f>
        <v>367307</v>
      </c>
      <c r="I170" s="405">
        <f>+I168-I157</f>
        <v>2791748</v>
      </c>
      <c r="J170" s="407">
        <f>+J168-J157</f>
        <v>154067</v>
      </c>
      <c r="K170" s="406"/>
      <c r="L170" s="534">
        <f>IF(D170=0,0,H170/D170)</f>
        <v>0</v>
      </c>
      <c r="M170" s="534">
        <f>IF(E170=0,0,I170/E170)</f>
        <v>0</v>
      </c>
      <c r="N170" s="535">
        <f>IF(F170=0,0,J170/F170)</f>
        <v>0</v>
      </c>
      <c r="O170" s="406"/>
      <c r="P170" s="425">
        <f>+P168-P157</f>
        <v>0</v>
      </c>
      <c r="Q170" s="405">
        <f>+Q168-Q157</f>
        <v>0</v>
      </c>
      <c r="R170" s="405">
        <f>+R168-R157</f>
        <v>0</v>
      </c>
      <c r="S170" s="407">
        <f>+S168-S157</f>
        <v>0</v>
      </c>
      <c r="T170" s="547"/>
    </row>
    <row r="171" spans="1:20" x14ac:dyDescent="0.25">
      <c r="B171" s="73"/>
      <c r="C171" s="421"/>
      <c r="D171" s="73"/>
      <c r="E171" s="73"/>
      <c r="F171" s="432"/>
      <c r="G171" s="73"/>
      <c r="H171" s="421"/>
      <c r="I171" s="73"/>
      <c r="J171" s="456"/>
      <c r="K171" s="73"/>
      <c r="L171" s="528"/>
      <c r="M171" s="528"/>
      <c r="N171" s="529"/>
      <c r="O171" s="73"/>
      <c r="P171" s="421"/>
      <c r="Q171" s="73"/>
      <c r="R171" s="73"/>
      <c r="S171" s="73"/>
      <c r="T171" s="546"/>
    </row>
    <row r="172" spans="1:20" ht="13.8" thickBot="1" x14ac:dyDescent="0.3">
      <c r="B172" s="73"/>
      <c r="C172" s="421"/>
      <c r="D172" s="73"/>
      <c r="E172" s="73"/>
      <c r="F172" s="432"/>
      <c r="G172" s="73"/>
      <c r="H172" s="421"/>
      <c r="I172" s="73"/>
      <c r="J172" s="456"/>
      <c r="K172" s="73"/>
      <c r="L172" s="528"/>
      <c r="M172" s="528"/>
      <c r="N172" s="529"/>
      <c r="O172" s="73"/>
      <c r="P172" s="421"/>
      <c r="Q172" s="73"/>
      <c r="R172" s="73"/>
      <c r="S172" s="73"/>
      <c r="T172" s="546"/>
    </row>
    <row r="173" spans="1:20" ht="18" thickBot="1" x14ac:dyDescent="0.35">
      <c r="A173" s="410" t="s">
        <v>420</v>
      </c>
      <c r="B173" s="412"/>
      <c r="C173" s="421"/>
      <c r="D173" s="73"/>
      <c r="E173" s="73"/>
      <c r="F173" s="432"/>
      <c r="G173" s="73"/>
      <c r="H173" s="421"/>
      <c r="I173" s="73"/>
      <c r="J173" s="456"/>
      <c r="K173" s="73"/>
      <c r="L173" s="528"/>
      <c r="M173" s="528"/>
      <c r="N173" s="529"/>
      <c r="O173" s="73"/>
      <c r="P173" s="421"/>
      <c r="Q173" s="73"/>
      <c r="R173" s="73"/>
      <c r="S173" s="73"/>
      <c r="T173" s="546"/>
    </row>
    <row r="174" spans="1:20" x14ac:dyDescent="0.25">
      <c r="A174" s="422"/>
      <c r="B174" s="413"/>
      <c r="C174" s="422"/>
      <c r="D174" s="413"/>
      <c r="E174" s="413"/>
      <c r="F174" s="412"/>
      <c r="G174" s="413"/>
      <c r="H174" s="422"/>
      <c r="I174" s="413"/>
      <c r="J174" s="458"/>
      <c r="K174" s="413"/>
      <c r="L174" s="536"/>
      <c r="M174" s="536"/>
      <c r="N174" s="537"/>
      <c r="O174" s="413"/>
      <c r="P174" s="422"/>
      <c r="Q174" s="413"/>
      <c r="R174" s="413"/>
      <c r="S174" s="413"/>
      <c r="T174" s="548"/>
    </row>
    <row r="175" spans="1:20" x14ac:dyDescent="0.25">
      <c r="A175" s="397" t="s">
        <v>0</v>
      </c>
      <c r="B175" s="56" t="str">
        <f t="shared" ref="B175:B183" si="69">+B148</f>
        <v>Személyi juttatások</v>
      </c>
      <c r="C175" s="421">
        <f>+'9. Közp. Konyha'!C13</f>
        <v>29372000</v>
      </c>
      <c r="D175" s="73">
        <f>+'9. Közp. Konyha'!D13</f>
        <v>29372000</v>
      </c>
      <c r="E175" s="73">
        <f>+'9. Közp. Konyha'!E13</f>
        <v>29372000</v>
      </c>
      <c r="F175" s="432">
        <f>+'9. Közp. Konyha'!F13</f>
        <v>31536000</v>
      </c>
      <c r="G175" s="73"/>
      <c r="H175" s="421">
        <f>+'9. Közp. Konyha'!H13</f>
        <v>14524060</v>
      </c>
      <c r="I175" s="73">
        <f>+'9. Közp. Konyha'!I13</f>
        <v>22067739</v>
      </c>
      <c r="J175" s="456">
        <f>+'9. Közp. Konyha'!J13</f>
        <v>30727025</v>
      </c>
      <c r="K175" s="73"/>
      <c r="L175" s="528">
        <f t="shared" ref="L175:L184" si="70">IF(D175=0,0,H175/D175)</f>
        <v>0.49448658586408822</v>
      </c>
      <c r="M175" s="528">
        <f t="shared" ref="M175:M184" si="71">IF(E175=0,0,I175/E175)</f>
        <v>0.75131890916519128</v>
      </c>
      <c r="N175" s="529">
        <f t="shared" ref="N175:N184" si="72">IF(F175=0,0,J175/F175)</f>
        <v>0.97434757102993408</v>
      </c>
      <c r="O175" s="73"/>
      <c r="P175" s="421">
        <f>+'9. Közp. Konyha'!P13</f>
        <v>0</v>
      </c>
      <c r="Q175" s="73">
        <f>+'9. Közp. Konyha'!Q13</f>
        <v>0</v>
      </c>
      <c r="R175" s="73">
        <f>+'9. Közp. Konyha'!R13</f>
        <v>2164000</v>
      </c>
      <c r="S175" s="73">
        <f>+'9. Közp. Konyha'!S13</f>
        <v>2164000</v>
      </c>
      <c r="T175" s="544">
        <f>IF(S175=0,0,S175/C175)</f>
        <v>7.3675609423941163E-2</v>
      </c>
    </row>
    <row r="176" spans="1:20" x14ac:dyDescent="0.25">
      <c r="A176" s="397" t="s">
        <v>22</v>
      </c>
      <c r="B176" s="56" t="str">
        <f t="shared" si="69"/>
        <v>Munkaadót terhelő járulékok és szociális hozzájárulás</v>
      </c>
      <c r="C176" s="421">
        <f>+'9. Közp. Konyha'!C29</f>
        <v>5600000</v>
      </c>
      <c r="D176" s="73">
        <f>+'9. Közp. Konyha'!D29</f>
        <v>5600000</v>
      </c>
      <c r="E176" s="73">
        <f>+'9. Közp. Konyha'!E29</f>
        <v>5600000</v>
      </c>
      <c r="F176" s="432">
        <f>+'9. Közp. Konyha'!F29</f>
        <v>6065000</v>
      </c>
      <c r="G176" s="73"/>
      <c r="H176" s="421">
        <f>+'9. Közp. Konyha'!H29</f>
        <v>3351913</v>
      </c>
      <c r="I176" s="73">
        <f>+'9. Közp. Konyha'!I29</f>
        <v>4719990</v>
      </c>
      <c r="J176" s="456">
        <f>+'9. Közp. Konyha'!J29</f>
        <v>6064583</v>
      </c>
      <c r="K176" s="73"/>
      <c r="L176" s="528">
        <f t="shared" si="70"/>
        <v>0.59855589285714283</v>
      </c>
      <c r="M176" s="528">
        <f t="shared" si="71"/>
        <v>0.8428553571428572</v>
      </c>
      <c r="N176" s="529">
        <f t="shared" si="72"/>
        <v>0.99993124484748552</v>
      </c>
      <c r="O176" s="73"/>
      <c r="P176" s="421">
        <f>+'9. Közp. Konyha'!P29</f>
        <v>0</v>
      </c>
      <c r="Q176" s="73">
        <f>+'9. Közp. Konyha'!Q29</f>
        <v>0</v>
      </c>
      <c r="R176" s="73">
        <f>+'9. Közp. Konyha'!R29</f>
        <v>465000</v>
      </c>
      <c r="S176" s="73">
        <f>+'9. Közp. Konyha'!S29</f>
        <v>465000</v>
      </c>
      <c r="T176" s="544">
        <f t="shared" ref="T176:T195" si="73">IF(S176=0,0,S176/C176)</f>
        <v>8.3035714285714282E-2</v>
      </c>
    </row>
    <row r="177" spans="1:20" x14ac:dyDescent="0.25">
      <c r="A177" s="397" t="s">
        <v>25</v>
      </c>
      <c r="B177" s="56" t="str">
        <f t="shared" si="69"/>
        <v>Dologi kiadások</v>
      </c>
      <c r="C177" s="421">
        <f>+'9. Közp. Konyha'!C32</f>
        <v>71371000</v>
      </c>
      <c r="D177" s="73">
        <f>+'9. Közp. Konyha'!D32</f>
        <v>71371000</v>
      </c>
      <c r="E177" s="73">
        <f>+'9. Közp. Konyha'!E32</f>
        <v>71371000</v>
      </c>
      <c r="F177" s="432">
        <f>+'9. Közp. Konyha'!F32</f>
        <v>68742000</v>
      </c>
      <c r="G177" s="73"/>
      <c r="H177" s="421">
        <f>+'9. Közp. Konyha'!H32</f>
        <v>35582506</v>
      </c>
      <c r="I177" s="73">
        <f>+'9. Közp. Konyha'!I32</f>
        <v>44993253</v>
      </c>
      <c r="J177" s="456">
        <f>+'9. Közp. Konyha'!J32</f>
        <v>65438408</v>
      </c>
      <c r="K177" s="73"/>
      <c r="L177" s="528">
        <f t="shared" si="70"/>
        <v>0.49855692087822784</v>
      </c>
      <c r="M177" s="528">
        <f t="shared" si="71"/>
        <v>0.63041365540625749</v>
      </c>
      <c r="N177" s="529">
        <f t="shared" si="72"/>
        <v>0.95194216054231762</v>
      </c>
      <c r="O177" s="73"/>
      <c r="P177" s="421">
        <f>+'9. Közp. Konyha'!P32</f>
        <v>0</v>
      </c>
      <c r="Q177" s="73">
        <f>+'9. Közp. Konyha'!Q32</f>
        <v>0</v>
      </c>
      <c r="R177" s="73">
        <f>+'9. Közp. Konyha'!R32</f>
        <v>-2629000</v>
      </c>
      <c r="S177" s="73">
        <f>+'9. Közp. Konyha'!S32</f>
        <v>-2629000</v>
      </c>
      <c r="T177" s="544">
        <f t="shared" si="73"/>
        <v>-3.6835689565790024E-2</v>
      </c>
    </row>
    <row r="178" spans="1:20" x14ac:dyDescent="0.25">
      <c r="A178" s="397" t="s">
        <v>107</v>
      </c>
      <c r="B178" s="56" t="str">
        <f t="shared" si="69"/>
        <v>Elláttotak pénzbeli juttatásai</v>
      </c>
      <c r="C178" s="421"/>
      <c r="D178" s="73"/>
      <c r="E178" s="73"/>
      <c r="F178" s="432"/>
      <c r="G178" s="73"/>
      <c r="H178" s="421"/>
      <c r="I178" s="73"/>
      <c r="J178" s="456"/>
      <c r="K178" s="73"/>
      <c r="L178" s="528">
        <f t="shared" si="70"/>
        <v>0</v>
      </c>
      <c r="M178" s="528">
        <f t="shared" si="71"/>
        <v>0</v>
      </c>
      <c r="N178" s="529">
        <f t="shared" si="72"/>
        <v>0</v>
      </c>
      <c r="O178" s="73"/>
      <c r="P178" s="421"/>
      <c r="Q178" s="73"/>
      <c r="R178" s="73"/>
      <c r="S178" s="73"/>
      <c r="T178" s="544">
        <f t="shared" si="73"/>
        <v>0</v>
      </c>
    </row>
    <row r="179" spans="1:20" x14ac:dyDescent="0.25">
      <c r="A179" s="398" t="s">
        <v>371</v>
      </c>
      <c r="B179" s="56" t="str">
        <f t="shared" si="69"/>
        <v>Egyéb működési célú kiadások</v>
      </c>
      <c r="C179" s="421"/>
      <c r="D179" s="73"/>
      <c r="E179" s="73"/>
      <c r="F179" s="432"/>
      <c r="G179" s="73"/>
      <c r="H179" s="421"/>
      <c r="I179" s="73"/>
      <c r="J179" s="456"/>
      <c r="K179" s="73"/>
      <c r="L179" s="528">
        <f t="shared" si="70"/>
        <v>0</v>
      </c>
      <c r="M179" s="528">
        <f t="shared" si="71"/>
        <v>0</v>
      </c>
      <c r="N179" s="529">
        <f t="shared" si="72"/>
        <v>0</v>
      </c>
      <c r="O179" s="73"/>
      <c r="P179" s="421"/>
      <c r="Q179" s="73"/>
      <c r="R179" s="73"/>
      <c r="S179" s="73"/>
      <c r="T179" s="544">
        <f t="shared" si="73"/>
        <v>0</v>
      </c>
    </row>
    <row r="180" spans="1:20" x14ac:dyDescent="0.25">
      <c r="A180" s="397" t="s">
        <v>154</v>
      </c>
      <c r="B180" s="56" t="str">
        <f t="shared" si="69"/>
        <v>Beruházások</v>
      </c>
      <c r="C180" s="421">
        <f>+'9. Közp. Konyha'!C83</f>
        <v>0</v>
      </c>
      <c r="D180" s="73">
        <f>+'9. Közp. Konyha'!D83</f>
        <v>0</v>
      </c>
      <c r="E180" s="73">
        <f>+'9. Közp. Konyha'!E83</f>
        <v>0</v>
      </c>
      <c r="F180" s="432">
        <f>+'9. Közp. Konyha'!F83</f>
        <v>0</v>
      </c>
      <c r="G180" s="73"/>
      <c r="H180" s="421">
        <f>+'9. Közp. Konyha'!H83</f>
        <v>0</v>
      </c>
      <c r="I180" s="73">
        <f>+'9. Közp. Konyha'!I83</f>
        <v>0</v>
      </c>
      <c r="J180" s="456">
        <f>+'9. Közp. Konyha'!J83</f>
        <v>0</v>
      </c>
      <c r="K180" s="73"/>
      <c r="L180" s="528">
        <f t="shared" si="70"/>
        <v>0</v>
      </c>
      <c r="M180" s="528">
        <f t="shared" si="71"/>
        <v>0</v>
      </c>
      <c r="N180" s="529">
        <f t="shared" si="72"/>
        <v>0</v>
      </c>
      <c r="O180" s="73"/>
      <c r="P180" s="421">
        <f>+'9. Közp. Konyha'!P83</f>
        <v>0</v>
      </c>
      <c r="Q180" s="73">
        <f>+'9. Közp. Konyha'!Q83</f>
        <v>0</v>
      </c>
      <c r="R180" s="73">
        <f>+'9. Közp. Konyha'!R83</f>
        <v>0</v>
      </c>
      <c r="S180" s="73">
        <f>+'9. Közp. Konyha'!S83</f>
        <v>0</v>
      </c>
      <c r="T180" s="544">
        <f t="shared" si="73"/>
        <v>0</v>
      </c>
    </row>
    <row r="181" spans="1:20" x14ac:dyDescent="0.25">
      <c r="A181" s="397" t="s">
        <v>169</v>
      </c>
      <c r="B181" s="56" t="str">
        <f t="shared" si="69"/>
        <v>Felújítások</v>
      </c>
      <c r="C181" s="421">
        <f>+'9. Közp. Konyha'!C86</f>
        <v>0</v>
      </c>
      <c r="D181" s="73">
        <f>+'9. Közp. Konyha'!D86</f>
        <v>0</v>
      </c>
      <c r="E181" s="73">
        <f>+'9. Közp. Konyha'!E86</f>
        <v>0</v>
      </c>
      <c r="F181" s="432">
        <f>+'9. Közp. Konyha'!F86</f>
        <v>0</v>
      </c>
      <c r="G181" s="73"/>
      <c r="H181" s="421">
        <f>+'9. Közp. Konyha'!H86</f>
        <v>0</v>
      </c>
      <c r="I181" s="73">
        <f>+'9. Közp. Konyha'!I86</f>
        <v>0</v>
      </c>
      <c r="J181" s="456">
        <f>+'9. Közp. Konyha'!J86</f>
        <v>0</v>
      </c>
      <c r="K181" s="73"/>
      <c r="L181" s="528">
        <f t="shared" si="70"/>
        <v>0</v>
      </c>
      <c r="M181" s="528">
        <f t="shared" si="71"/>
        <v>0</v>
      </c>
      <c r="N181" s="529">
        <f t="shared" si="72"/>
        <v>0</v>
      </c>
      <c r="O181" s="73"/>
      <c r="P181" s="421">
        <f>+'9. Közp. Konyha'!P86</f>
        <v>0</v>
      </c>
      <c r="Q181" s="73">
        <f>+'9. Közp. Konyha'!Q86</f>
        <v>0</v>
      </c>
      <c r="R181" s="73">
        <f>+'9. Közp. Konyha'!R86</f>
        <v>0</v>
      </c>
      <c r="S181" s="73">
        <f>+'9. Közp. Konyha'!S86</f>
        <v>0</v>
      </c>
      <c r="T181" s="544">
        <f t="shared" si="73"/>
        <v>0</v>
      </c>
    </row>
    <row r="182" spans="1:20" x14ac:dyDescent="0.25">
      <c r="A182" s="397" t="s">
        <v>179</v>
      </c>
      <c r="B182" s="56" t="str">
        <f t="shared" si="69"/>
        <v>Szolgáltatások kiadásai</v>
      </c>
      <c r="C182" s="421"/>
      <c r="D182" s="73"/>
      <c r="E182" s="73"/>
      <c r="F182" s="432"/>
      <c r="G182" s="73"/>
      <c r="H182" s="421"/>
      <c r="I182" s="73"/>
      <c r="J182" s="456"/>
      <c r="K182" s="73"/>
      <c r="L182" s="528">
        <f t="shared" si="70"/>
        <v>0</v>
      </c>
      <c r="M182" s="528">
        <f t="shared" si="71"/>
        <v>0</v>
      </c>
      <c r="N182" s="529">
        <f t="shared" si="72"/>
        <v>0</v>
      </c>
      <c r="O182" s="73"/>
      <c r="P182" s="421"/>
      <c r="Q182" s="73"/>
      <c r="R182" s="73"/>
      <c r="S182" s="73"/>
      <c r="T182" s="544">
        <f t="shared" si="73"/>
        <v>0</v>
      </c>
    </row>
    <row r="183" spans="1:20" x14ac:dyDescent="0.25">
      <c r="A183" s="397" t="s">
        <v>197</v>
      </c>
      <c r="B183" s="56" t="str">
        <f t="shared" si="69"/>
        <v>Finanszírozási kiadások</v>
      </c>
      <c r="C183" s="421"/>
      <c r="D183" s="73"/>
      <c r="E183" s="73"/>
      <c r="F183" s="432"/>
      <c r="G183" s="73"/>
      <c r="H183" s="421"/>
      <c r="I183" s="73"/>
      <c r="J183" s="456"/>
      <c r="K183" s="73"/>
      <c r="L183" s="528">
        <f t="shared" si="70"/>
        <v>0</v>
      </c>
      <c r="M183" s="528">
        <f t="shared" si="71"/>
        <v>0</v>
      </c>
      <c r="N183" s="529">
        <f t="shared" si="72"/>
        <v>0</v>
      </c>
      <c r="O183" s="73"/>
      <c r="P183" s="421"/>
      <c r="Q183" s="73"/>
      <c r="R183" s="73"/>
      <c r="S183" s="73"/>
      <c r="T183" s="544">
        <f t="shared" si="73"/>
        <v>0</v>
      </c>
    </row>
    <row r="184" spans="1:20" x14ac:dyDescent="0.25">
      <c r="A184" s="399"/>
      <c r="B184" s="383" t="s">
        <v>373</v>
      </c>
      <c r="C184" s="423">
        <f>SUM(C175:C183)</f>
        <v>106343000</v>
      </c>
      <c r="D184" s="384">
        <f>SUM(D175:D183)</f>
        <v>106343000</v>
      </c>
      <c r="E184" s="384">
        <f>SUM(E175:E183)</f>
        <v>106343000</v>
      </c>
      <c r="F184" s="440">
        <f>SUM(F175:F183)</f>
        <v>106343000</v>
      </c>
      <c r="G184" s="384"/>
      <c r="H184" s="423">
        <f>SUM(H175:H183)</f>
        <v>53458479</v>
      </c>
      <c r="I184" s="384">
        <f>SUM(I175:I183)</f>
        <v>71780982</v>
      </c>
      <c r="J184" s="385">
        <f>SUM(J175:J183)</f>
        <v>102230016</v>
      </c>
      <c r="K184" s="201"/>
      <c r="L184" s="530">
        <f t="shared" si="70"/>
        <v>0.50269861674017091</v>
      </c>
      <c r="M184" s="530">
        <f t="shared" si="71"/>
        <v>0.67499489388112055</v>
      </c>
      <c r="N184" s="531">
        <f t="shared" si="72"/>
        <v>0.96132341573963498</v>
      </c>
      <c r="O184" s="201"/>
      <c r="P184" s="423">
        <f>SUM(P175:P183)</f>
        <v>0</v>
      </c>
      <c r="Q184" s="384">
        <f>SUM(Q175:Q183)</f>
        <v>0</v>
      </c>
      <c r="R184" s="384">
        <f>SUM(R175:R183)</f>
        <v>0</v>
      </c>
      <c r="S184" s="385">
        <f>SUM(S175:S183)</f>
        <v>0</v>
      </c>
      <c r="T184" s="545">
        <f t="shared" si="73"/>
        <v>0</v>
      </c>
    </row>
    <row r="185" spans="1:20" x14ac:dyDescent="0.25">
      <c r="A185" s="400"/>
      <c r="B185" s="73"/>
      <c r="C185" s="421"/>
      <c r="D185" s="73"/>
      <c r="E185" s="73"/>
      <c r="F185" s="432"/>
      <c r="G185" s="73"/>
      <c r="H185" s="421"/>
      <c r="I185" s="73"/>
      <c r="J185" s="456"/>
      <c r="K185" s="73"/>
      <c r="L185" s="528"/>
      <c r="M185" s="528"/>
      <c r="N185" s="529"/>
      <c r="O185" s="73"/>
      <c r="P185" s="421"/>
      <c r="Q185" s="73"/>
      <c r="R185" s="73"/>
      <c r="S185" s="73"/>
      <c r="T185" s="544"/>
    </row>
    <row r="186" spans="1:20" x14ac:dyDescent="0.25">
      <c r="A186" s="397" t="str">
        <f t="shared" ref="A186:B192" si="74">+A159</f>
        <v>B1</v>
      </c>
      <c r="B186" s="56" t="str">
        <f t="shared" si="74"/>
        <v>Működési célú tám-ok államháztartáson belülről</v>
      </c>
      <c r="C186" s="421">
        <f>+'9. Közp. Konyha'!C93</f>
        <v>0</v>
      </c>
      <c r="D186" s="73">
        <f>+'9. Közp. Konyha'!D93</f>
        <v>0</v>
      </c>
      <c r="E186" s="73">
        <f>+'9. Közp. Konyha'!E93</f>
        <v>0</v>
      </c>
      <c r="F186" s="432">
        <f>+'9. Közp. Konyha'!F93</f>
        <v>774080</v>
      </c>
      <c r="G186" s="73"/>
      <c r="H186" s="421">
        <f>+'9. Közp. Konyha'!H93</f>
        <v>0</v>
      </c>
      <c r="I186" s="73">
        <f>+'9. Közp. Konyha'!I93</f>
        <v>388680</v>
      </c>
      <c r="J186" s="456">
        <f>+'9. Közp. Konyha'!J93</f>
        <v>774080</v>
      </c>
      <c r="K186" s="73"/>
      <c r="L186" s="528">
        <f t="shared" ref="L186:L195" si="75">IF(D186=0,0,H186/D186)</f>
        <v>0</v>
      </c>
      <c r="M186" s="528">
        <f t="shared" ref="M186:M195" si="76">IF(E186=0,0,I186/E186)</f>
        <v>0</v>
      </c>
      <c r="N186" s="529">
        <f t="shared" ref="N186:N195" si="77">IF(F186=0,0,J186/F186)</f>
        <v>1</v>
      </c>
      <c r="O186" s="73"/>
      <c r="P186" s="421">
        <f>+'9. Közp. Konyha'!P93</f>
        <v>0</v>
      </c>
      <c r="Q186" s="73">
        <f>+'9. Közp. Konyha'!Q93</f>
        <v>0</v>
      </c>
      <c r="R186" s="73">
        <f>+'9. Közp. Konyha'!R93</f>
        <v>774080</v>
      </c>
      <c r="S186" s="73">
        <f>+'9. Közp. Konyha'!S93</f>
        <v>774080</v>
      </c>
      <c r="T186" s="544" t="e">
        <f t="shared" si="73"/>
        <v>#DIV/0!</v>
      </c>
    </row>
    <row r="187" spans="1:20" x14ac:dyDescent="0.25">
      <c r="A187" s="397" t="str">
        <f t="shared" si="74"/>
        <v>B2</v>
      </c>
      <c r="B187" s="56" t="str">
        <f t="shared" si="74"/>
        <v>Felhalmozási célú tám-ok államházt-on belülről</v>
      </c>
      <c r="C187" s="421"/>
      <c r="D187" s="73"/>
      <c r="E187" s="73"/>
      <c r="F187" s="432"/>
      <c r="G187" s="73"/>
      <c r="H187" s="421"/>
      <c r="I187" s="73"/>
      <c r="J187" s="456"/>
      <c r="K187" s="73"/>
      <c r="L187" s="528">
        <f t="shared" si="75"/>
        <v>0</v>
      </c>
      <c r="M187" s="528">
        <f t="shared" si="76"/>
        <v>0</v>
      </c>
      <c r="N187" s="529">
        <f t="shared" si="77"/>
        <v>0</v>
      </c>
      <c r="O187" s="73"/>
      <c r="P187" s="421"/>
      <c r="Q187" s="73"/>
      <c r="R187" s="73"/>
      <c r="S187" s="73"/>
      <c r="T187" s="544">
        <f t="shared" si="73"/>
        <v>0</v>
      </c>
    </row>
    <row r="188" spans="1:20" x14ac:dyDescent="0.25">
      <c r="A188" s="397" t="str">
        <f t="shared" si="74"/>
        <v>B3</v>
      </c>
      <c r="B188" s="56" t="str">
        <f t="shared" si="74"/>
        <v>Közhatalmi bevételek</v>
      </c>
      <c r="C188" s="421"/>
      <c r="D188" s="73"/>
      <c r="E188" s="73"/>
      <c r="F188" s="432"/>
      <c r="G188" s="73"/>
      <c r="H188" s="421"/>
      <c r="I188" s="73"/>
      <c r="J188" s="456"/>
      <c r="K188" s="73"/>
      <c r="L188" s="528">
        <f t="shared" si="75"/>
        <v>0</v>
      </c>
      <c r="M188" s="528">
        <f t="shared" si="76"/>
        <v>0</v>
      </c>
      <c r="N188" s="529">
        <f t="shared" si="77"/>
        <v>0</v>
      </c>
      <c r="O188" s="73"/>
      <c r="P188" s="421"/>
      <c r="Q188" s="73"/>
      <c r="R188" s="73"/>
      <c r="S188" s="73"/>
      <c r="T188" s="544">
        <f t="shared" si="73"/>
        <v>0</v>
      </c>
    </row>
    <row r="189" spans="1:20" x14ac:dyDescent="0.25">
      <c r="A189" s="397" t="str">
        <f t="shared" si="74"/>
        <v>B4</v>
      </c>
      <c r="B189" s="56" t="str">
        <f t="shared" si="74"/>
        <v>Működési bevételek</v>
      </c>
      <c r="C189" s="421">
        <f>+'9. Közp. Konyha'!C95</f>
        <v>30135000</v>
      </c>
      <c r="D189" s="73">
        <f>+'9. Közp. Konyha'!D95</f>
        <v>30135000</v>
      </c>
      <c r="E189" s="73">
        <f>+'9. Közp. Konyha'!E95</f>
        <v>30135000</v>
      </c>
      <c r="F189" s="432">
        <f>+'9. Közp. Konyha'!F95</f>
        <v>27998884</v>
      </c>
      <c r="G189" s="73"/>
      <c r="H189" s="421">
        <f>+'9. Közp. Konyha'!H95</f>
        <v>13819359</v>
      </c>
      <c r="I189" s="73">
        <f>+'9. Közp. Konyha'!I95</f>
        <v>18954964</v>
      </c>
      <c r="J189" s="456">
        <f>+'9. Közp. Konyha'!J95</f>
        <v>28625524</v>
      </c>
      <c r="K189" s="73"/>
      <c r="L189" s="528">
        <f t="shared" si="75"/>
        <v>0.45858168242906922</v>
      </c>
      <c r="M189" s="528">
        <f t="shared" si="76"/>
        <v>0.6290016260162602</v>
      </c>
      <c r="N189" s="529">
        <f t="shared" si="77"/>
        <v>1.0223808920384112</v>
      </c>
      <c r="O189" s="73"/>
      <c r="P189" s="421">
        <f>+'9. Közp. Konyha'!P95</f>
        <v>0</v>
      </c>
      <c r="Q189" s="73">
        <f>+'9. Közp. Konyha'!Q95</f>
        <v>0</v>
      </c>
      <c r="R189" s="73">
        <f>+'9. Közp. Konyha'!R95</f>
        <v>-2136116</v>
      </c>
      <c r="S189" s="73">
        <f>+'9. Közp. Konyha'!S95</f>
        <v>-2136116</v>
      </c>
      <c r="T189" s="544">
        <f t="shared" si="73"/>
        <v>-7.0884884685581545E-2</v>
      </c>
    </row>
    <row r="190" spans="1:20" x14ac:dyDescent="0.25">
      <c r="A190" s="397" t="str">
        <f t="shared" si="74"/>
        <v>B5</v>
      </c>
      <c r="B190" s="56" t="str">
        <f t="shared" si="74"/>
        <v>Felhalmozási bevételek</v>
      </c>
      <c r="C190" s="421"/>
      <c r="D190" s="73"/>
      <c r="E190" s="73"/>
      <c r="F190" s="432"/>
      <c r="G190" s="73"/>
      <c r="H190" s="421"/>
      <c r="I190" s="73"/>
      <c r="J190" s="456"/>
      <c r="K190" s="73"/>
      <c r="L190" s="528">
        <f t="shared" si="75"/>
        <v>0</v>
      </c>
      <c r="M190" s="528">
        <f t="shared" si="76"/>
        <v>0</v>
      </c>
      <c r="N190" s="529">
        <f t="shared" si="77"/>
        <v>0</v>
      </c>
      <c r="O190" s="73"/>
      <c r="P190" s="421"/>
      <c r="Q190" s="73"/>
      <c r="R190" s="73"/>
      <c r="S190" s="73"/>
      <c r="T190" s="544">
        <f t="shared" si="73"/>
        <v>0</v>
      </c>
    </row>
    <row r="191" spans="1:20" x14ac:dyDescent="0.25">
      <c r="A191" s="397" t="str">
        <f t="shared" si="74"/>
        <v>B6</v>
      </c>
      <c r="B191" s="56" t="str">
        <f t="shared" si="74"/>
        <v>Működési célú átvett pénzeszközök</v>
      </c>
      <c r="C191" s="421"/>
      <c r="D191" s="73"/>
      <c r="E191" s="73"/>
      <c r="F191" s="432"/>
      <c r="G191" s="73"/>
      <c r="H191" s="421"/>
      <c r="I191" s="73"/>
      <c r="J191" s="456"/>
      <c r="K191" s="73"/>
      <c r="L191" s="528">
        <f t="shared" si="75"/>
        <v>0</v>
      </c>
      <c r="M191" s="528">
        <f t="shared" si="76"/>
        <v>0</v>
      </c>
      <c r="N191" s="529">
        <f t="shared" si="77"/>
        <v>0</v>
      </c>
      <c r="O191" s="73"/>
      <c r="P191" s="421"/>
      <c r="Q191" s="73"/>
      <c r="R191" s="73"/>
      <c r="S191" s="73"/>
      <c r="T191" s="544">
        <f t="shared" si="73"/>
        <v>0</v>
      </c>
    </row>
    <row r="192" spans="1:20" x14ac:dyDescent="0.25">
      <c r="A192" s="397" t="str">
        <f t="shared" si="74"/>
        <v>B7</v>
      </c>
      <c r="B192" s="56" t="str">
        <f t="shared" si="74"/>
        <v>Felhalmozási célú átvett pénzeszközök</v>
      </c>
      <c r="C192" s="421"/>
      <c r="D192" s="73"/>
      <c r="E192" s="73"/>
      <c r="F192" s="432"/>
      <c r="G192" s="73"/>
      <c r="H192" s="421"/>
      <c r="I192" s="73"/>
      <c r="J192" s="456"/>
      <c r="K192" s="73"/>
      <c r="L192" s="528">
        <f t="shared" si="75"/>
        <v>0</v>
      </c>
      <c r="M192" s="528">
        <f t="shared" si="76"/>
        <v>0</v>
      </c>
      <c r="N192" s="529">
        <f t="shared" si="77"/>
        <v>0</v>
      </c>
      <c r="O192" s="73"/>
      <c r="P192" s="421"/>
      <c r="Q192" s="73"/>
      <c r="R192" s="73"/>
      <c r="S192" s="73"/>
      <c r="T192" s="544">
        <f t="shared" si="73"/>
        <v>0</v>
      </c>
    </row>
    <row r="193" spans="1:20" x14ac:dyDescent="0.25">
      <c r="A193" s="397" t="str">
        <f>+A166</f>
        <v>B8-ból maradványértéken túli finanszírozási bevételek</v>
      </c>
      <c r="B193" s="56"/>
      <c r="C193" s="421">
        <f>+'9. Közp. Konyha'!C99-C194</f>
        <v>71398746</v>
      </c>
      <c r="D193" s="73">
        <f>+'9. Közp. Konyha'!D99-D194</f>
        <v>71398746</v>
      </c>
      <c r="E193" s="73">
        <f>+'9. Közp. Konyha'!E99-E194</f>
        <v>71398746</v>
      </c>
      <c r="F193" s="432">
        <f>+'9. Közp. Konyha'!F99-F194</f>
        <v>72760782</v>
      </c>
      <c r="G193" s="73"/>
      <c r="H193" s="421">
        <f>+'9. Közp. Konyha'!H99-H194</f>
        <v>38562308</v>
      </c>
      <c r="I193" s="73">
        <f>+'9. Közp. Konyha'!I99-I194</f>
        <v>52378460</v>
      </c>
      <c r="J193" s="456">
        <f>+'9. Közp. Konyha'!J99-J194</f>
        <v>72760782</v>
      </c>
      <c r="K193" s="73"/>
      <c r="L193" s="528">
        <f t="shared" si="75"/>
        <v>0.54009783309079407</v>
      </c>
      <c r="M193" s="528">
        <f t="shared" si="76"/>
        <v>0.73360476106961314</v>
      </c>
      <c r="N193" s="529">
        <f t="shared" si="77"/>
        <v>1</v>
      </c>
      <c r="O193" s="73"/>
      <c r="P193" s="421">
        <f>+'9. Közp. Konyha'!P99-P194</f>
        <v>0</v>
      </c>
      <c r="Q193" s="73">
        <f>+'9. Közp. Konyha'!Q99-Q194</f>
        <v>0</v>
      </c>
      <c r="R193" s="73">
        <f>+'9. Közp. Konyha'!R99-R194</f>
        <v>1362036</v>
      </c>
      <c r="S193" s="73">
        <f>+'9. Közp. Konyha'!S99-S194</f>
        <v>1362036</v>
      </c>
      <c r="T193" s="544">
        <f t="shared" si="73"/>
        <v>1.9076469494296162E-2</v>
      </c>
    </row>
    <row r="194" spans="1:20" x14ac:dyDescent="0.25">
      <c r="A194" s="397" t="str">
        <f>+A167</f>
        <v>B8-ból előző évi mardvány igénybevétele</v>
      </c>
      <c r="B194" s="56"/>
      <c r="C194" s="421">
        <f>+'9. Közp. Konyha'!C101</f>
        <v>4809254</v>
      </c>
      <c r="D194" s="73">
        <f>+'9. Közp. Konyha'!D101</f>
        <v>4809254</v>
      </c>
      <c r="E194" s="73">
        <f>+'9. Közp. Konyha'!E101</f>
        <v>4809254</v>
      </c>
      <c r="F194" s="432">
        <f>+'9. Közp. Konyha'!F101</f>
        <v>4809254</v>
      </c>
      <c r="G194" s="73"/>
      <c r="H194" s="421">
        <f>+'9. Közp. Konyha'!H101</f>
        <v>4809254</v>
      </c>
      <c r="I194" s="73">
        <f>+'9. Közp. Konyha'!I101</f>
        <v>4809254</v>
      </c>
      <c r="J194" s="456">
        <f>+'9. Közp. Konyha'!J101</f>
        <v>4809254</v>
      </c>
      <c r="K194" s="73"/>
      <c r="L194" s="528">
        <f t="shared" si="75"/>
        <v>1</v>
      </c>
      <c r="M194" s="528">
        <f t="shared" si="76"/>
        <v>1</v>
      </c>
      <c r="N194" s="529">
        <f t="shared" si="77"/>
        <v>1</v>
      </c>
      <c r="O194" s="73"/>
      <c r="P194" s="421">
        <f>+'9. Közp. Konyha'!P101</f>
        <v>0</v>
      </c>
      <c r="Q194" s="73">
        <f>+'9. Közp. Konyha'!Q101</f>
        <v>0</v>
      </c>
      <c r="R194" s="73">
        <f>+'9. Közp. Konyha'!R101</f>
        <v>0</v>
      </c>
      <c r="S194" s="73">
        <f>+'9. Közp. Konyha'!S101</f>
        <v>0</v>
      </c>
      <c r="T194" s="544">
        <f t="shared" si="73"/>
        <v>0</v>
      </c>
    </row>
    <row r="195" spans="1:20" x14ac:dyDescent="0.25">
      <c r="A195" s="401"/>
      <c r="B195" s="383" t="s">
        <v>372</v>
      </c>
      <c r="C195" s="423">
        <f>SUM(C186:C194)</f>
        <v>106343000</v>
      </c>
      <c r="D195" s="384">
        <f>SUM(D186:D194)</f>
        <v>106343000</v>
      </c>
      <c r="E195" s="384">
        <f>SUM(E186:E194)</f>
        <v>106343000</v>
      </c>
      <c r="F195" s="440">
        <f>SUM(F186:F194)</f>
        <v>106343000</v>
      </c>
      <c r="G195" s="384"/>
      <c r="H195" s="423">
        <f>SUM(H186:H194)</f>
        <v>57190921</v>
      </c>
      <c r="I195" s="384">
        <f>SUM(I186:I194)</f>
        <v>76531358</v>
      </c>
      <c r="J195" s="385">
        <f>SUM(J186:J194)</f>
        <v>106969640</v>
      </c>
      <c r="K195" s="386"/>
      <c r="L195" s="532">
        <f t="shared" si="75"/>
        <v>0.53779676142294275</v>
      </c>
      <c r="M195" s="532">
        <f t="shared" si="76"/>
        <v>0.71966521538794281</v>
      </c>
      <c r="N195" s="533">
        <f t="shared" si="77"/>
        <v>1.0058926304505234</v>
      </c>
      <c r="O195" s="386"/>
      <c r="P195" s="423">
        <f>SUM(P186:P194)</f>
        <v>0</v>
      </c>
      <c r="Q195" s="384">
        <f>SUM(Q186:Q194)</f>
        <v>0</v>
      </c>
      <c r="R195" s="384">
        <f>SUM(R186:R194)</f>
        <v>0</v>
      </c>
      <c r="S195" s="385">
        <f>SUM(S186:S194)</f>
        <v>0</v>
      </c>
      <c r="T195" s="545">
        <f t="shared" si="73"/>
        <v>0</v>
      </c>
    </row>
    <row r="196" spans="1:20" x14ac:dyDescent="0.25">
      <c r="A196" s="400"/>
      <c r="C196" s="400"/>
      <c r="F196" s="443"/>
      <c r="H196" s="400"/>
      <c r="J196" s="454"/>
      <c r="L196" s="528"/>
      <c r="M196" s="528"/>
      <c r="N196" s="529"/>
      <c r="P196" s="400"/>
      <c r="T196" s="546"/>
    </row>
    <row r="197" spans="1:20" ht="13.8" thickBot="1" x14ac:dyDescent="0.3">
      <c r="A197" s="403"/>
      <c r="B197" s="404" t="s">
        <v>451</v>
      </c>
      <c r="C197" s="425">
        <f>+C195-C184</f>
        <v>0</v>
      </c>
      <c r="D197" s="405">
        <f>+D195-D184</f>
        <v>0</v>
      </c>
      <c r="E197" s="405">
        <f>+E195-E184</f>
        <v>0</v>
      </c>
      <c r="F197" s="442">
        <f>+F195-F184</f>
        <v>0</v>
      </c>
      <c r="G197" s="405"/>
      <c r="H197" s="425">
        <f>+H195-H184</f>
        <v>3732442</v>
      </c>
      <c r="I197" s="405">
        <f>+I195-I184</f>
        <v>4750376</v>
      </c>
      <c r="J197" s="407">
        <f>+J195-J184</f>
        <v>4739624</v>
      </c>
      <c r="K197" s="406"/>
      <c r="L197" s="534">
        <f>IF(D197=0,0,H197/D197)</f>
        <v>0</v>
      </c>
      <c r="M197" s="534">
        <f>IF(E197=0,0,I197/E197)</f>
        <v>0</v>
      </c>
      <c r="N197" s="535">
        <f>IF(F197=0,0,J197/F197)</f>
        <v>0</v>
      </c>
      <c r="O197" s="406"/>
      <c r="P197" s="425">
        <f>+P195-P184</f>
        <v>0</v>
      </c>
      <c r="Q197" s="405">
        <f>+Q195-Q184</f>
        <v>0</v>
      </c>
      <c r="R197" s="405">
        <f>+R195-R184</f>
        <v>0</v>
      </c>
      <c r="S197" s="407">
        <f>+S195-S184</f>
        <v>0</v>
      </c>
      <c r="T197" s="547"/>
    </row>
    <row r="198" spans="1:20" ht="13.8" thickBot="1" x14ac:dyDescent="0.3">
      <c r="C198" s="427"/>
      <c r="D198" s="433"/>
      <c r="E198" s="433"/>
      <c r="F198" s="446"/>
      <c r="H198" s="427"/>
      <c r="I198" s="433"/>
      <c r="J198" s="459"/>
      <c r="K198" s="433"/>
      <c r="L198" s="542"/>
      <c r="M198" s="542"/>
      <c r="N198" s="543"/>
      <c r="P198" s="427"/>
      <c r="Q198" s="428"/>
      <c r="R198" s="428"/>
      <c r="S198" s="428"/>
      <c r="T198" s="547"/>
    </row>
    <row r="199" spans="1:20" x14ac:dyDescent="0.25">
      <c r="L199" s="528"/>
      <c r="M199" s="528"/>
      <c r="N199" s="528"/>
      <c r="T199" s="549"/>
    </row>
    <row r="200" spans="1:20" x14ac:dyDescent="0.25">
      <c r="T200" s="549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15748031496062992" bottom="0" header="0.31496062992125984" footer="0.31496062992125984"/>
  <pageSetup paperSize="9" scale="55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4" sqref="A4"/>
    </sheetView>
  </sheetViews>
  <sheetFormatPr defaultRowHeight="13.2" x14ac:dyDescent="0.25"/>
  <cols>
    <col min="1" max="1" width="44.77734375" style="46" bestFit="1" customWidth="1"/>
    <col min="2" max="2" width="16" customWidth="1"/>
    <col min="3" max="3" width="7.77734375" bestFit="1" customWidth="1"/>
    <col min="4" max="4" width="12.44140625" bestFit="1" customWidth="1"/>
  </cols>
  <sheetData>
    <row r="1" spans="1:5" ht="15.6" x14ac:dyDescent="0.3">
      <c r="A1" s="1545" t="s">
        <v>477</v>
      </c>
      <c r="B1" s="1545"/>
      <c r="C1" s="1545"/>
      <c r="D1" s="1545"/>
      <c r="E1" s="1357"/>
    </row>
    <row r="2" spans="1:5" ht="15.6" x14ac:dyDescent="0.3">
      <c r="A2" s="1545" t="s">
        <v>1526</v>
      </c>
      <c r="B2" s="1545"/>
      <c r="C2" s="1545"/>
      <c r="D2" s="1545"/>
      <c r="E2" s="1357"/>
    </row>
    <row r="3" spans="1:5" ht="15.6" x14ac:dyDescent="0.3">
      <c r="A3" s="1546" t="s">
        <v>1525</v>
      </c>
      <c r="B3" s="1546"/>
      <c r="C3" s="1546"/>
      <c r="D3" s="1546"/>
      <c r="E3" s="1358"/>
    </row>
    <row r="5" spans="1:5" ht="13.8" thickBot="1" x14ac:dyDescent="0.3">
      <c r="D5" s="892" t="s">
        <v>1524</v>
      </c>
    </row>
    <row r="6" spans="1:5" ht="16.2" thickBot="1" x14ac:dyDescent="0.3">
      <c r="A6" s="1383" t="s">
        <v>1238</v>
      </c>
      <c r="B6" s="1385" t="s">
        <v>1521</v>
      </c>
      <c r="C6" s="1385" t="s">
        <v>1522</v>
      </c>
      <c r="D6" s="1384" t="s">
        <v>1523</v>
      </c>
    </row>
    <row r="7" spans="1:5" ht="16.2" thickBot="1" x14ac:dyDescent="0.3">
      <c r="A7" s="1356" t="s">
        <v>467</v>
      </c>
      <c r="B7" s="1355">
        <v>48</v>
      </c>
      <c r="C7" s="1355">
        <v>-6</v>
      </c>
      <c r="D7" s="1355">
        <v>42</v>
      </c>
    </row>
    <row r="8" spans="1:5" ht="16.2" thickBot="1" x14ac:dyDescent="0.3">
      <c r="A8" s="1359" t="s">
        <v>1527</v>
      </c>
      <c r="B8" s="1360">
        <v>27</v>
      </c>
      <c r="C8" s="1355">
        <v>-5</v>
      </c>
      <c r="D8" s="1360">
        <v>22</v>
      </c>
    </row>
    <row r="9" spans="1:5" ht="16.2" thickBot="1" x14ac:dyDescent="0.3">
      <c r="A9" s="1356" t="s">
        <v>456</v>
      </c>
      <c r="B9" s="1355">
        <v>8</v>
      </c>
      <c r="C9" s="1355">
        <v>0</v>
      </c>
      <c r="D9" s="1355">
        <v>8</v>
      </c>
    </row>
    <row r="10" spans="1:5" ht="16.2" thickBot="1" x14ac:dyDescent="0.3">
      <c r="A10" s="1356" t="s">
        <v>466</v>
      </c>
      <c r="B10" s="1355">
        <v>42</v>
      </c>
      <c r="C10" s="1355">
        <v>1</v>
      </c>
      <c r="D10" s="1355">
        <v>43</v>
      </c>
    </row>
    <row r="11" spans="1:5" ht="16.2" thickBot="1" x14ac:dyDescent="0.3">
      <c r="A11" s="1356" t="s">
        <v>449</v>
      </c>
      <c r="B11" s="1355">
        <v>15</v>
      </c>
      <c r="C11" s="1355">
        <v>0</v>
      </c>
      <c r="D11" s="1355">
        <v>15</v>
      </c>
    </row>
    <row r="12" spans="1:5" ht="16.2" thickBot="1" x14ac:dyDescent="0.3">
      <c r="A12" s="1356" t="s">
        <v>448</v>
      </c>
      <c r="B12" s="1355">
        <v>24</v>
      </c>
      <c r="C12" s="1355">
        <v>1</v>
      </c>
      <c r="D12" s="1355">
        <v>25</v>
      </c>
    </row>
    <row r="13" spans="1:5" ht="16.2" thickBot="1" x14ac:dyDescent="0.3">
      <c r="A13" s="1356" t="s">
        <v>419</v>
      </c>
      <c r="B13" s="1355">
        <v>5</v>
      </c>
      <c r="C13" s="1355">
        <v>-1</v>
      </c>
      <c r="D13" s="1355">
        <v>4</v>
      </c>
    </row>
    <row r="14" spans="1:5" ht="16.2" thickBot="1" x14ac:dyDescent="0.3">
      <c r="A14" s="1356" t="s">
        <v>420</v>
      </c>
      <c r="B14" s="1355">
        <v>13</v>
      </c>
      <c r="C14" s="1355">
        <v>0</v>
      </c>
      <c r="D14" s="1355">
        <v>13</v>
      </c>
    </row>
    <row r="15" spans="1:5" ht="29.4" customHeight="1" thickBot="1" x14ac:dyDescent="0.3">
      <c r="A15" s="1382" t="s">
        <v>1475</v>
      </c>
      <c r="B15" s="1384">
        <f>SUM(B9:B14)+B7</f>
        <v>155</v>
      </c>
      <c r="C15" s="1384">
        <f>SUM(C9:C14)+C7</f>
        <v>-5</v>
      </c>
      <c r="D15" s="1384">
        <f>SUM(D9:D14)+D7</f>
        <v>150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:F4"/>
    </sheetView>
  </sheetViews>
  <sheetFormatPr defaultColWidth="9.109375" defaultRowHeight="13.2" x14ac:dyDescent="0.25"/>
  <cols>
    <col min="1" max="1" width="9.109375" style="1362"/>
    <col min="2" max="3" width="50" style="1362" customWidth="1"/>
    <col min="4" max="6" width="21.44140625" style="1362" customWidth="1"/>
    <col min="7" max="257" width="9.109375" style="1362"/>
    <col min="258" max="258" width="50" style="1362" customWidth="1"/>
    <col min="259" max="261" width="21.44140625" style="1362" customWidth="1"/>
    <col min="262" max="262" width="4.6640625" style="1362" customWidth="1"/>
    <col min="263" max="513" width="9.109375" style="1362"/>
    <col min="514" max="514" width="50" style="1362" customWidth="1"/>
    <col min="515" max="517" width="21.44140625" style="1362" customWidth="1"/>
    <col min="518" max="518" width="4.6640625" style="1362" customWidth="1"/>
    <col min="519" max="769" width="9.109375" style="1362"/>
    <col min="770" max="770" width="50" style="1362" customWidth="1"/>
    <col min="771" max="773" width="21.44140625" style="1362" customWidth="1"/>
    <col min="774" max="774" width="4.6640625" style="1362" customWidth="1"/>
    <col min="775" max="1025" width="9.109375" style="1362"/>
    <col min="1026" max="1026" width="50" style="1362" customWidth="1"/>
    <col min="1027" max="1029" width="21.44140625" style="1362" customWidth="1"/>
    <col min="1030" max="1030" width="4.6640625" style="1362" customWidth="1"/>
    <col min="1031" max="1281" width="9.109375" style="1362"/>
    <col min="1282" max="1282" width="50" style="1362" customWidth="1"/>
    <col min="1283" max="1285" width="21.44140625" style="1362" customWidth="1"/>
    <col min="1286" max="1286" width="4.6640625" style="1362" customWidth="1"/>
    <col min="1287" max="1537" width="9.109375" style="1362"/>
    <col min="1538" max="1538" width="50" style="1362" customWidth="1"/>
    <col min="1539" max="1541" width="21.44140625" style="1362" customWidth="1"/>
    <col min="1542" max="1542" width="4.6640625" style="1362" customWidth="1"/>
    <col min="1543" max="1793" width="9.109375" style="1362"/>
    <col min="1794" max="1794" width="50" style="1362" customWidth="1"/>
    <col min="1795" max="1797" width="21.44140625" style="1362" customWidth="1"/>
    <col min="1798" max="1798" width="4.6640625" style="1362" customWidth="1"/>
    <col min="1799" max="2049" width="9.109375" style="1362"/>
    <col min="2050" max="2050" width="50" style="1362" customWidth="1"/>
    <col min="2051" max="2053" width="21.44140625" style="1362" customWidth="1"/>
    <col min="2054" max="2054" width="4.6640625" style="1362" customWidth="1"/>
    <col min="2055" max="2305" width="9.109375" style="1362"/>
    <col min="2306" max="2306" width="50" style="1362" customWidth="1"/>
    <col min="2307" max="2309" width="21.44140625" style="1362" customWidth="1"/>
    <col min="2310" max="2310" width="4.6640625" style="1362" customWidth="1"/>
    <col min="2311" max="2561" width="9.109375" style="1362"/>
    <col min="2562" max="2562" width="50" style="1362" customWidth="1"/>
    <col min="2563" max="2565" width="21.44140625" style="1362" customWidth="1"/>
    <col min="2566" max="2566" width="4.6640625" style="1362" customWidth="1"/>
    <col min="2567" max="2817" width="9.109375" style="1362"/>
    <col min="2818" max="2818" width="50" style="1362" customWidth="1"/>
    <col min="2819" max="2821" width="21.44140625" style="1362" customWidth="1"/>
    <col min="2822" max="2822" width="4.6640625" style="1362" customWidth="1"/>
    <col min="2823" max="3073" width="9.109375" style="1362"/>
    <col min="3074" max="3074" width="50" style="1362" customWidth="1"/>
    <col min="3075" max="3077" width="21.44140625" style="1362" customWidth="1"/>
    <col min="3078" max="3078" width="4.6640625" style="1362" customWidth="1"/>
    <col min="3079" max="3329" width="9.109375" style="1362"/>
    <col min="3330" max="3330" width="50" style="1362" customWidth="1"/>
    <col min="3331" max="3333" width="21.44140625" style="1362" customWidth="1"/>
    <col min="3334" max="3334" width="4.6640625" style="1362" customWidth="1"/>
    <col min="3335" max="3585" width="9.109375" style="1362"/>
    <col min="3586" max="3586" width="50" style="1362" customWidth="1"/>
    <col min="3587" max="3589" width="21.44140625" style="1362" customWidth="1"/>
    <col min="3590" max="3590" width="4.6640625" style="1362" customWidth="1"/>
    <col min="3591" max="3841" width="9.109375" style="1362"/>
    <col min="3842" max="3842" width="50" style="1362" customWidth="1"/>
    <col min="3843" max="3845" width="21.44140625" style="1362" customWidth="1"/>
    <col min="3846" max="3846" width="4.6640625" style="1362" customWidth="1"/>
    <col min="3847" max="4097" width="9.109375" style="1362"/>
    <col min="4098" max="4098" width="50" style="1362" customWidth="1"/>
    <col min="4099" max="4101" width="21.44140625" style="1362" customWidth="1"/>
    <col min="4102" max="4102" width="4.6640625" style="1362" customWidth="1"/>
    <col min="4103" max="4353" width="9.109375" style="1362"/>
    <col min="4354" max="4354" width="50" style="1362" customWidth="1"/>
    <col min="4355" max="4357" width="21.44140625" style="1362" customWidth="1"/>
    <col min="4358" max="4358" width="4.6640625" style="1362" customWidth="1"/>
    <col min="4359" max="4609" width="9.109375" style="1362"/>
    <col min="4610" max="4610" width="50" style="1362" customWidth="1"/>
    <col min="4611" max="4613" width="21.44140625" style="1362" customWidth="1"/>
    <col min="4614" max="4614" width="4.6640625" style="1362" customWidth="1"/>
    <col min="4615" max="4865" width="9.109375" style="1362"/>
    <col min="4866" max="4866" width="50" style="1362" customWidth="1"/>
    <col min="4867" max="4869" width="21.44140625" style="1362" customWidth="1"/>
    <col min="4870" max="4870" width="4.6640625" style="1362" customWidth="1"/>
    <col min="4871" max="5121" width="9.109375" style="1362"/>
    <col min="5122" max="5122" width="50" style="1362" customWidth="1"/>
    <col min="5123" max="5125" width="21.44140625" style="1362" customWidth="1"/>
    <col min="5126" max="5126" width="4.6640625" style="1362" customWidth="1"/>
    <col min="5127" max="5377" width="9.109375" style="1362"/>
    <col min="5378" max="5378" width="50" style="1362" customWidth="1"/>
    <col min="5379" max="5381" width="21.44140625" style="1362" customWidth="1"/>
    <col min="5382" max="5382" width="4.6640625" style="1362" customWidth="1"/>
    <col min="5383" max="5633" width="9.109375" style="1362"/>
    <col min="5634" max="5634" width="50" style="1362" customWidth="1"/>
    <col min="5635" max="5637" width="21.44140625" style="1362" customWidth="1"/>
    <col min="5638" max="5638" width="4.6640625" style="1362" customWidth="1"/>
    <col min="5639" max="5889" width="9.109375" style="1362"/>
    <col min="5890" max="5890" width="50" style="1362" customWidth="1"/>
    <col min="5891" max="5893" width="21.44140625" style="1362" customWidth="1"/>
    <col min="5894" max="5894" width="4.6640625" style="1362" customWidth="1"/>
    <col min="5895" max="6145" width="9.109375" style="1362"/>
    <col min="6146" max="6146" width="50" style="1362" customWidth="1"/>
    <col min="6147" max="6149" width="21.44140625" style="1362" customWidth="1"/>
    <col min="6150" max="6150" width="4.6640625" style="1362" customWidth="1"/>
    <col min="6151" max="6401" width="9.109375" style="1362"/>
    <col min="6402" max="6402" width="50" style="1362" customWidth="1"/>
    <col min="6403" max="6405" width="21.44140625" style="1362" customWidth="1"/>
    <col min="6406" max="6406" width="4.6640625" style="1362" customWidth="1"/>
    <col min="6407" max="6657" width="9.109375" style="1362"/>
    <col min="6658" max="6658" width="50" style="1362" customWidth="1"/>
    <col min="6659" max="6661" width="21.44140625" style="1362" customWidth="1"/>
    <col min="6662" max="6662" width="4.6640625" style="1362" customWidth="1"/>
    <col min="6663" max="6913" width="9.109375" style="1362"/>
    <col min="6914" max="6914" width="50" style="1362" customWidth="1"/>
    <col min="6915" max="6917" width="21.44140625" style="1362" customWidth="1"/>
    <col min="6918" max="6918" width="4.6640625" style="1362" customWidth="1"/>
    <col min="6919" max="7169" width="9.109375" style="1362"/>
    <col min="7170" max="7170" width="50" style="1362" customWidth="1"/>
    <col min="7171" max="7173" width="21.44140625" style="1362" customWidth="1"/>
    <col min="7174" max="7174" width="4.6640625" style="1362" customWidth="1"/>
    <col min="7175" max="7425" width="9.109375" style="1362"/>
    <col min="7426" max="7426" width="50" style="1362" customWidth="1"/>
    <col min="7427" max="7429" width="21.44140625" style="1362" customWidth="1"/>
    <col min="7430" max="7430" width="4.6640625" style="1362" customWidth="1"/>
    <col min="7431" max="7681" width="9.109375" style="1362"/>
    <col min="7682" max="7682" width="50" style="1362" customWidth="1"/>
    <col min="7683" max="7685" width="21.44140625" style="1362" customWidth="1"/>
    <col min="7686" max="7686" width="4.6640625" style="1362" customWidth="1"/>
    <col min="7687" max="7937" width="9.109375" style="1362"/>
    <col min="7938" max="7938" width="50" style="1362" customWidth="1"/>
    <col min="7939" max="7941" width="21.44140625" style="1362" customWidth="1"/>
    <col min="7942" max="7942" width="4.6640625" style="1362" customWidth="1"/>
    <col min="7943" max="8193" width="9.109375" style="1362"/>
    <col min="8194" max="8194" width="50" style="1362" customWidth="1"/>
    <col min="8195" max="8197" width="21.44140625" style="1362" customWidth="1"/>
    <col min="8198" max="8198" width="4.6640625" style="1362" customWidth="1"/>
    <col min="8199" max="8449" width="9.109375" style="1362"/>
    <col min="8450" max="8450" width="50" style="1362" customWidth="1"/>
    <col min="8451" max="8453" width="21.44140625" style="1362" customWidth="1"/>
    <col min="8454" max="8454" width="4.6640625" style="1362" customWidth="1"/>
    <col min="8455" max="8705" width="9.109375" style="1362"/>
    <col min="8706" max="8706" width="50" style="1362" customWidth="1"/>
    <col min="8707" max="8709" width="21.44140625" style="1362" customWidth="1"/>
    <col min="8710" max="8710" width="4.6640625" style="1362" customWidth="1"/>
    <col min="8711" max="8961" width="9.109375" style="1362"/>
    <col min="8962" max="8962" width="50" style="1362" customWidth="1"/>
    <col min="8963" max="8965" width="21.44140625" style="1362" customWidth="1"/>
    <col min="8966" max="8966" width="4.6640625" style="1362" customWidth="1"/>
    <col min="8967" max="9217" width="9.109375" style="1362"/>
    <col min="9218" max="9218" width="50" style="1362" customWidth="1"/>
    <col min="9219" max="9221" width="21.44140625" style="1362" customWidth="1"/>
    <col min="9222" max="9222" width="4.6640625" style="1362" customWidth="1"/>
    <col min="9223" max="9473" width="9.109375" style="1362"/>
    <col min="9474" max="9474" width="50" style="1362" customWidth="1"/>
    <col min="9475" max="9477" width="21.44140625" style="1362" customWidth="1"/>
    <col min="9478" max="9478" width="4.6640625" style="1362" customWidth="1"/>
    <col min="9479" max="9729" width="9.109375" style="1362"/>
    <col min="9730" max="9730" width="50" style="1362" customWidth="1"/>
    <col min="9731" max="9733" width="21.44140625" style="1362" customWidth="1"/>
    <col min="9734" max="9734" width="4.6640625" style="1362" customWidth="1"/>
    <col min="9735" max="9985" width="9.109375" style="1362"/>
    <col min="9986" max="9986" width="50" style="1362" customWidth="1"/>
    <col min="9987" max="9989" width="21.44140625" style="1362" customWidth="1"/>
    <col min="9990" max="9990" width="4.6640625" style="1362" customWidth="1"/>
    <col min="9991" max="10241" width="9.109375" style="1362"/>
    <col min="10242" max="10242" width="50" style="1362" customWidth="1"/>
    <col min="10243" max="10245" width="21.44140625" style="1362" customWidth="1"/>
    <col min="10246" max="10246" width="4.6640625" style="1362" customWidth="1"/>
    <col min="10247" max="10497" width="9.109375" style="1362"/>
    <col min="10498" max="10498" width="50" style="1362" customWidth="1"/>
    <col min="10499" max="10501" width="21.44140625" style="1362" customWidth="1"/>
    <col min="10502" max="10502" width="4.6640625" style="1362" customWidth="1"/>
    <col min="10503" max="10753" width="9.109375" style="1362"/>
    <col min="10754" max="10754" width="50" style="1362" customWidth="1"/>
    <col min="10755" max="10757" width="21.44140625" style="1362" customWidth="1"/>
    <col min="10758" max="10758" width="4.6640625" style="1362" customWidth="1"/>
    <col min="10759" max="11009" width="9.109375" style="1362"/>
    <col min="11010" max="11010" width="50" style="1362" customWidth="1"/>
    <col min="11011" max="11013" width="21.44140625" style="1362" customWidth="1"/>
    <col min="11014" max="11014" width="4.6640625" style="1362" customWidth="1"/>
    <col min="11015" max="11265" width="9.109375" style="1362"/>
    <col min="11266" max="11266" width="50" style="1362" customWidth="1"/>
    <col min="11267" max="11269" width="21.44140625" style="1362" customWidth="1"/>
    <col min="11270" max="11270" width="4.6640625" style="1362" customWidth="1"/>
    <col min="11271" max="11521" width="9.109375" style="1362"/>
    <col min="11522" max="11522" width="50" style="1362" customWidth="1"/>
    <col min="11523" max="11525" width="21.44140625" style="1362" customWidth="1"/>
    <col min="11526" max="11526" width="4.6640625" style="1362" customWidth="1"/>
    <col min="11527" max="11777" width="9.109375" style="1362"/>
    <col min="11778" max="11778" width="50" style="1362" customWidth="1"/>
    <col min="11779" max="11781" width="21.44140625" style="1362" customWidth="1"/>
    <col min="11782" max="11782" width="4.6640625" style="1362" customWidth="1"/>
    <col min="11783" max="12033" width="9.109375" style="1362"/>
    <col min="12034" max="12034" width="50" style="1362" customWidth="1"/>
    <col min="12035" max="12037" width="21.44140625" style="1362" customWidth="1"/>
    <col min="12038" max="12038" width="4.6640625" style="1362" customWidth="1"/>
    <col min="12039" max="12289" width="9.109375" style="1362"/>
    <col min="12290" max="12290" width="50" style="1362" customWidth="1"/>
    <col min="12291" max="12293" width="21.44140625" style="1362" customWidth="1"/>
    <col min="12294" max="12294" width="4.6640625" style="1362" customWidth="1"/>
    <col min="12295" max="12545" width="9.109375" style="1362"/>
    <col min="12546" max="12546" width="50" style="1362" customWidth="1"/>
    <col min="12547" max="12549" width="21.44140625" style="1362" customWidth="1"/>
    <col min="12550" max="12550" width="4.6640625" style="1362" customWidth="1"/>
    <col min="12551" max="12801" width="9.109375" style="1362"/>
    <col min="12802" max="12802" width="50" style="1362" customWidth="1"/>
    <col min="12803" max="12805" width="21.44140625" style="1362" customWidth="1"/>
    <col min="12806" max="12806" width="4.6640625" style="1362" customWidth="1"/>
    <col min="12807" max="13057" width="9.109375" style="1362"/>
    <col min="13058" max="13058" width="50" style="1362" customWidth="1"/>
    <col min="13059" max="13061" width="21.44140625" style="1362" customWidth="1"/>
    <col min="13062" max="13062" width="4.6640625" style="1362" customWidth="1"/>
    <col min="13063" max="13313" width="9.109375" style="1362"/>
    <col min="13314" max="13314" width="50" style="1362" customWidth="1"/>
    <col min="13315" max="13317" width="21.44140625" style="1362" customWidth="1"/>
    <col min="13318" max="13318" width="4.6640625" style="1362" customWidth="1"/>
    <col min="13319" max="13569" width="9.109375" style="1362"/>
    <col min="13570" max="13570" width="50" style="1362" customWidth="1"/>
    <col min="13571" max="13573" width="21.44140625" style="1362" customWidth="1"/>
    <col min="13574" max="13574" width="4.6640625" style="1362" customWidth="1"/>
    <col min="13575" max="13825" width="9.109375" style="1362"/>
    <col min="13826" max="13826" width="50" style="1362" customWidth="1"/>
    <col min="13827" max="13829" width="21.44140625" style="1362" customWidth="1"/>
    <col min="13830" max="13830" width="4.6640625" style="1362" customWidth="1"/>
    <col min="13831" max="14081" width="9.109375" style="1362"/>
    <col min="14082" max="14082" width="50" style="1362" customWidth="1"/>
    <col min="14083" max="14085" width="21.44140625" style="1362" customWidth="1"/>
    <col min="14086" max="14086" width="4.6640625" style="1362" customWidth="1"/>
    <col min="14087" max="14337" width="9.109375" style="1362"/>
    <col min="14338" max="14338" width="50" style="1362" customWidth="1"/>
    <col min="14339" max="14341" width="21.44140625" style="1362" customWidth="1"/>
    <col min="14342" max="14342" width="4.6640625" style="1362" customWidth="1"/>
    <col min="14343" max="14593" width="9.109375" style="1362"/>
    <col min="14594" max="14594" width="50" style="1362" customWidth="1"/>
    <col min="14595" max="14597" width="21.44140625" style="1362" customWidth="1"/>
    <col min="14598" max="14598" width="4.6640625" style="1362" customWidth="1"/>
    <col min="14599" max="14849" width="9.109375" style="1362"/>
    <col min="14850" max="14850" width="50" style="1362" customWidth="1"/>
    <col min="14851" max="14853" width="21.44140625" style="1362" customWidth="1"/>
    <col min="14854" max="14854" width="4.6640625" style="1362" customWidth="1"/>
    <col min="14855" max="15105" width="9.109375" style="1362"/>
    <col min="15106" max="15106" width="50" style="1362" customWidth="1"/>
    <col min="15107" max="15109" width="21.44140625" style="1362" customWidth="1"/>
    <col min="15110" max="15110" width="4.6640625" style="1362" customWidth="1"/>
    <col min="15111" max="15361" width="9.109375" style="1362"/>
    <col min="15362" max="15362" width="50" style="1362" customWidth="1"/>
    <col min="15363" max="15365" width="21.44140625" style="1362" customWidth="1"/>
    <col min="15366" max="15366" width="4.6640625" style="1362" customWidth="1"/>
    <col min="15367" max="15617" width="9.109375" style="1362"/>
    <col min="15618" max="15618" width="50" style="1362" customWidth="1"/>
    <col min="15619" max="15621" width="21.44140625" style="1362" customWidth="1"/>
    <col min="15622" max="15622" width="4.6640625" style="1362" customWidth="1"/>
    <col min="15623" max="15873" width="9.109375" style="1362"/>
    <col min="15874" max="15874" width="50" style="1362" customWidth="1"/>
    <col min="15875" max="15877" width="21.44140625" style="1362" customWidth="1"/>
    <col min="15878" max="15878" width="4.6640625" style="1362" customWidth="1"/>
    <col min="15879" max="16129" width="9.109375" style="1362"/>
    <col min="16130" max="16130" width="50" style="1362" customWidth="1"/>
    <col min="16131" max="16133" width="21.44140625" style="1362" customWidth="1"/>
    <col min="16134" max="16134" width="4.6640625" style="1362" customWidth="1"/>
    <col min="16135" max="16384" width="9.109375" style="1362"/>
  </cols>
  <sheetData>
    <row r="1" spans="1:6" x14ac:dyDescent="0.25">
      <c r="A1" s="1361"/>
    </row>
    <row r="2" spans="1:6" ht="36" customHeight="1" x14ac:dyDescent="0.25">
      <c r="A2" s="1547" t="s">
        <v>1533</v>
      </c>
      <c r="B2" s="1547"/>
      <c r="C2" s="1547"/>
      <c r="D2" s="1547"/>
      <c r="E2" s="1547"/>
      <c r="F2" s="1547"/>
    </row>
    <row r="3" spans="1:6" ht="16.8" x14ac:dyDescent="0.25">
      <c r="A3" s="1547" t="s">
        <v>1472</v>
      </c>
      <c r="B3" s="1547"/>
      <c r="C3" s="1547"/>
      <c r="D3" s="1547"/>
      <c r="E3" s="1547"/>
      <c r="F3" s="1547"/>
    </row>
    <row r="4" spans="1:6" ht="16.2" thickBot="1" x14ac:dyDescent="0.35">
      <c r="A4" s="1548"/>
      <c r="B4" s="1548"/>
      <c r="C4" s="1548"/>
      <c r="D4" s="1548"/>
      <c r="E4" s="1548"/>
      <c r="F4" s="1548"/>
    </row>
    <row r="5" spans="1:6" ht="78.599999999999994" thickBot="1" x14ac:dyDescent="0.3">
      <c r="A5" s="1363" t="s">
        <v>778</v>
      </c>
      <c r="B5" s="1364" t="s">
        <v>1528</v>
      </c>
      <c r="C5" s="1364" t="s">
        <v>1536</v>
      </c>
      <c r="D5" s="1364" t="s">
        <v>1529</v>
      </c>
      <c r="E5" s="1364" t="s">
        <v>1530</v>
      </c>
      <c r="F5" s="1365" t="s">
        <v>1531</v>
      </c>
    </row>
    <row r="6" spans="1:6" ht="31.2" x14ac:dyDescent="0.25">
      <c r="A6" s="1366" t="s">
        <v>1156</v>
      </c>
      <c r="B6" s="1367" t="s">
        <v>1540</v>
      </c>
      <c r="C6" s="1372" t="s">
        <v>1535</v>
      </c>
      <c r="D6" s="1376">
        <f>+E6/2945810000</f>
        <v>4.695428422063881E-3</v>
      </c>
      <c r="E6" s="1374">
        <v>13831840</v>
      </c>
      <c r="F6" s="1379">
        <v>0</v>
      </c>
    </row>
    <row r="7" spans="1:6" ht="27.6" x14ac:dyDescent="0.25">
      <c r="A7" s="1368" t="s">
        <v>1158</v>
      </c>
      <c r="B7" s="1367" t="s">
        <v>1539</v>
      </c>
      <c r="C7" s="1372" t="s">
        <v>1544</v>
      </c>
      <c r="D7" s="1369">
        <f>+E7/3000000</f>
        <v>0.24</v>
      </c>
      <c r="E7" s="1374">
        <v>720000</v>
      </c>
      <c r="F7" s="1379">
        <v>0</v>
      </c>
    </row>
    <row r="8" spans="1:6" ht="15.6" x14ac:dyDescent="0.25">
      <c r="A8" s="1368" t="s">
        <v>1160</v>
      </c>
      <c r="B8" s="1367" t="s">
        <v>1537</v>
      </c>
      <c r="C8" s="1372" t="s">
        <v>1538</v>
      </c>
      <c r="D8" s="1369">
        <v>1</v>
      </c>
      <c r="E8" s="1374">
        <v>3000000</v>
      </c>
      <c r="F8" s="1380">
        <v>95848900</v>
      </c>
    </row>
    <row r="9" spans="1:6" ht="31.8" customHeight="1" x14ac:dyDescent="0.25">
      <c r="A9" s="1368" t="s">
        <v>1162</v>
      </c>
      <c r="B9" s="1367" t="s">
        <v>1541</v>
      </c>
      <c r="C9" s="1372" t="s">
        <v>1538</v>
      </c>
      <c r="D9" s="1376">
        <f>+E9/44260000</f>
        <v>2.2593764121102574E-3</v>
      </c>
      <c r="E9" s="1374">
        <v>100000</v>
      </c>
      <c r="F9" s="1379">
        <v>0</v>
      </c>
    </row>
    <row r="10" spans="1:6" ht="27.6" x14ac:dyDescent="0.25">
      <c r="A10" s="1368" t="s">
        <v>1164</v>
      </c>
      <c r="B10" s="1367" t="s">
        <v>1542</v>
      </c>
      <c r="C10" s="1372" t="s">
        <v>1544</v>
      </c>
      <c r="D10" s="1369">
        <f>+E10/1000000</f>
        <v>0.02</v>
      </c>
      <c r="E10" s="1374">
        <v>20000</v>
      </c>
      <c r="F10" s="1379">
        <v>0</v>
      </c>
    </row>
    <row r="11" spans="1:6" ht="16.2" thickBot="1" x14ac:dyDescent="0.3">
      <c r="A11" s="1368" t="s">
        <v>1166</v>
      </c>
      <c r="B11" s="1367" t="s">
        <v>1543</v>
      </c>
      <c r="C11" s="1373" t="s">
        <v>1538</v>
      </c>
      <c r="D11" s="1376">
        <f>+E11/987320000</f>
        <v>7.2924685005874493E-6</v>
      </c>
      <c r="E11" s="1375">
        <v>7200</v>
      </c>
      <c r="F11" s="1379">
        <v>0</v>
      </c>
    </row>
    <row r="12" spans="1:6" ht="16.2" thickBot="1" x14ac:dyDescent="0.35">
      <c r="A12" s="1549" t="s">
        <v>1532</v>
      </c>
      <c r="B12" s="1550"/>
      <c r="C12" s="1371"/>
      <c r="D12" s="1377"/>
      <c r="E12" s="1378">
        <f>IF(SUM(E6:E11)=0,"",SUM(E6:E11))</f>
        <v>17679040</v>
      </c>
      <c r="F12" s="1381">
        <f>+F6+F7+F8+F9+F10+F11</f>
        <v>95848900</v>
      </c>
    </row>
    <row r="13" spans="1:6" ht="15.6" x14ac:dyDescent="0.3">
      <c r="A13" s="1370"/>
    </row>
  </sheetData>
  <mergeCells count="4">
    <mergeCell ref="A2:F2"/>
    <mergeCell ref="A3:F3"/>
    <mergeCell ref="A4:F4"/>
    <mergeCell ref="A12:B1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workbookViewId="0">
      <selection activeCell="C26" sqref="C26"/>
    </sheetView>
  </sheetViews>
  <sheetFormatPr defaultRowHeight="13.2" x14ac:dyDescent="0.25"/>
  <cols>
    <col min="1" max="1" width="80.6640625" customWidth="1"/>
    <col min="2" max="2" width="20.5546875" bestFit="1" customWidth="1"/>
    <col min="3" max="4" width="18.44140625" customWidth="1"/>
    <col min="5" max="5" width="24.5546875" style="574" customWidth="1"/>
    <col min="6" max="6" width="16.33203125" customWidth="1"/>
    <col min="7" max="7" width="13.5546875" bestFit="1" customWidth="1"/>
    <col min="8" max="8" width="10.44140625" customWidth="1"/>
  </cols>
  <sheetData>
    <row r="1" spans="1:14" ht="17.399999999999999" x14ac:dyDescent="0.3">
      <c r="A1" s="1545" t="s">
        <v>477</v>
      </c>
      <c r="B1" s="1545"/>
      <c r="C1" s="1545"/>
      <c r="D1" s="1545"/>
      <c r="E1" s="1545"/>
      <c r="F1" s="1529"/>
      <c r="G1" s="1529"/>
      <c r="H1" s="1529"/>
      <c r="I1" s="1156"/>
      <c r="J1" s="1156"/>
      <c r="K1" s="1156"/>
      <c r="L1" s="1156"/>
      <c r="M1" s="1156"/>
      <c r="N1" s="1156"/>
    </row>
    <row r="2" spans="1:14" ht="17.399999999999999" x14ac:dyDescent="0.3">
      <c r="A2" s="1545" t="s">
        <v>1474</v>
      </c>
      <c r="B2" s="1545"/>
      <c r="C2" s="1545"/>
      <c r="D2" s="1545"/>
      <c r="E2" s="1545"/>
      <c r="F2" s="1529"/>
      <c r="G2" s="1529"/>
      <c r="H2" s="1529"/>
      <c r="I2" s="1156"/>
    </row>
    <row r="3" spans="1:14" ht="15.6" x14ac:dyDescent="0.3">
      <c r="A3" s="1546" t="s">
        <v>1476</v>
      </c>
      <c r="B3" s="1546"/>
      <c r="C3" s="1546"/>
      <c r="D3" s="1546"/>
      <c r="E3" s="1546"/>
      <c r="F3" s="1157"/>
      <c r="G3" s="1157"/>
      <c r="H3" s="1157"/>
    </row>
    <row r="4" spans="1:14" ht="15.6" x14ac:dyDescent="0.3">
      <c r="A4" s="1551"/>
      <c r="B4" s="1551"/>
      <c r="C4" s="1551"/>
      <c r="D4" s="1551"/>
      <c r="E4" s="1551"/>
      <c r="F4" s="1157"/>
      <c r="G4" s="1157"/>
      <c r="H4" s="1157"/>
    </row>
    <row r="5" spans="1:14" ht="13.8" thickBot="1" x14ac:dyDescent="0.3">
      <c r="A5" s="1552" t="s">
        <v>1414</v>
      </c>
      <c r="B5" s="1552"/>
      <c r="C5" s="1552"/>
      <c r="D5" s="1552"/>
      <c r="E5" s="1552"/>
      <c r="F5" s="1157"/>
      <c r="G5" s="1157"/>
      <c r="H5" s="1157"/>
    </row>
    <row r="6" spans="1:14" s="1163" customFormat="1" ht="49.2" customHeight="1" thickBot="1" x14ac:dyDescent="0.3">
      <c r="A6" s="1158" t="s">
        <v>1415</v>
      </c>
      <c r="B6" s="1159" t="s">
        <v>1416</v>
      </c>
      <c r="C6" s="1159" t="s">
        <v>1417</v>
      </c>
      <c r="D6" s="1160" t="s">
        <v>1418</v>
      </c>
      <c r="E6" s="1161" t="s">
        <v>437</v>
      </c>
      <c r="F6" s="1162"/>
      <c r="G6" s="1162"/>
      <c r="H6" s="1162"/>
    </row>
    <row r="7" spans="1:14" x14ac:dyDescent="0.25">
      <c r="A7" s="1164" t="s">
        <v>3</v>
      </c>
      <c r="B7" s="1165">
        <v>439917775</v>
      </c>
      <c r="C7" s="1165">
        <v>0</v>
      </c>
      <c r="D7" s="1166">
        <v>0</v>
      </c>
      <c r="E7" s="1167">
        <f>+B7+C7+D7</f>
        <v>439917775</v>
      </c>
      <c r="F7" s="1157"/>
      <c r="G7" s="1157"/>
      <c r="H7" s="1157"/>
      <c r="L7" s="632"/>
    </row>
    <row r="8" spans="1:14" x14ac:dyDescent="0.25">
      <c r="A8" s="1168" t="s">
        <v>1419</v>
      </c>
      <c r="B8" s="1169">
        <v>82750179</v>
      </c>
      <c r="C8" s="1170">
        <v>0</v>
      </c>
      <c r="D8" s="1171">
        <v>0</v>
      </c>
      <c r="E8" s="1167">
        <f t="shared" ref="E8:E17" si="0">+B8+C8+D8</f>
        <v>82750179</v>
      </c>
      <c r="F8" s="1157"/>
      <c r="G8" s="1157"/>
      <c r="H8" s="1157"/>
    </row>
    <row r="9" spans="1:14" x14ac:dyDescent="0.25">
      <c r="A9" s="1168" t="s">
        <v>26</v>
      </c>
      <c r="B9" s="1170">
        <f>301425852-C9</f>
        <v>301017852</v>
      </c>
      <c r="C9" s="1170">
        <v>408000</v>
      </c>
      <c r="D9" s="1171">
        <v>0</v>
      </c>
      <c r="E9" s="1167">
        <f t="shared" si="0"/>
        <v>301425852</v>
      </c>
      <c r="F9" s="1157"/>
      <c r="G9" s="1157"/>
      <c r="H9" s="1157"/>
    </row>
    <row r="10" spans="1:14" ht="13.8" thickBot="1" x14ac:dyDescent="0.3">
      <c r="A10" s="1244" t="s">
        <v>1420</v>
      </c>
      <c r="B10" s="1246">
        <f>13764056-C10</f>
        <v>10598702</v>
      </c>
      <c r="C10" s="1246">
        <v>3165354</v>
      </c>
      <c r="D10" s="1247">
        <v>0</v>
      </c>
      <c r="E10" s="1248">
        <f t="shared" si="0"/>
        <v>13764056</v>
      </c>
      <c r="F10" s="1157"/>
      <c r="G10" s="1157"/>
      <c r="H10" s="1157"/>
    </row>
    <row r="11" spans="1:14" ht="16.5" customHeight="1" x14ac:dyDescent="0.25">
      <c r="A11" s="1164" t="s">
        <v>1421</v>
      </c>
      <c r="B11" s="1165">
        <v>1264732</v>
      </c>
      <c r="C11" s="1165">
        <v>0</v>
      </c>
      <c r="D11" s="1166">
        <v>0</v>
      </c>
      <c r="E11" s="1167">
        <f t="shared" si="0"/>
        <v>1264732</v>
      </c>
      <c r="F11" s="1157"/>
      <c r="G11" s="1157"/>
      <c r="H11" s="1157"/>
    </row>
    <row r="12" spans="1:14" x14ac:dyDescent="0.25">
      <c r="A12" s="1168" t="s">
        <v>1422</v>
      </c>
      <c r="B12" s="1169">
        <v>1882593</v>
      </c>
      <c r="C12" s="1170">
        <v>0</v>
      </c>
      <c r="D12" s="1171">
        <v>0</v>
      </c>
      <c r="E12" s="1167">
        <f t="shared" si="0"/>
        <v>1882593</v>
      </c>
      <c r="F12" s="1157"/>
      <c r="G12" s="1157"/>
      <c r="H12" s="1157"/>
    </row>
    <row r="13" spans="1:14" x14ac:dyDescent="0.25">
      <c r="A13" s="1168" t="s">
        <v>1423</v>
      </c>
      <c r="B13" s="1169">
        <v>12150640</v>
      </c>
      <c r="C13" s="1170">
        <v>0</v>
      </c>
      <c r="D13" s="1171">
        <v>0</v>
      </c>
      <c r="E13" s="1167">
        <f t="shared" si="0"/>
        <v>12150640</v>
      </c>
      <c r="F13" s="1157"/>
      <c r="G13" s="1157"/>
      <c r="H13" s="1157"/>
    </row>
    <row r="14" spans="1:14" ht="17.25" customHeight="1" thickBot="1" x14ac:dyDescent="0.3">
      <c r="A14" s="1244" t="s">
        <v>1424</v>
      </c>
      <c r="B14" s="1245">
        <v>0</v>
      </c>
      <c r="C14" s="1246">
        <v>120719716</v>
      </c>
      <c r="D14" s="1247">
        <v>0</v>
      </c>
      <c r="E14" s="1248">
        <f t="shared" si="0"/>
        <v>120719716</v>
      </c>
      <c r="F14" s="1243"/>
      <c r="G14" s="1157"/>
      <c r="H14" s="1157"/>
    </row>
    <row r="15" spans="1:14" x14ac:dyDescent="0.25">
      <c r="A15" s="1164" t="s">
        <v>1425</v>
      </c>
      <c r="B15" s="1165">
        <v>0</v>
      </c>
      <c r="C15" s="1165">
        <v>0</v>
      </c>
      <c r="D15" s="1166">
        <v>0</v>
      </c>
      <c r="E15" s="1167">
        <f t="shared" si="0"/>
        <v>0</v>
      </c>
      <c r="F15" s="1157"/>
      <c r="G15" s="1157"/>
      <c r="H15" s="1157"/>
    </row>
    <row r="16" spans="1:14" x14ac:dyDescent="0.25">
      <c r="A16" s="1168" t="s">
        <v>1426</v>
      </c>
      <c r="B16" s="1169">
        <v>0</v>
      </c>
      <c r="C16" s="1170">
        <v>0</v>
      </c>
      <c r="D16" s="1171">
        <v>0</v>
      </c>
      <c r="E16" s="1167">
        <f t="shared" si="0"/>
        <v>0</v>
      </c>
      <c r="F16" s="1157"/>
      <c r="G16" s="1157"/>
      <c r="H16" s="1157"/>
    </row>
    <row r="17" spans="1:8" x14ac:dyDescent="0.25">
      <c r="A17" s="1168" t="s">
        <v>1427</v>
      </c>
      <c r="B17" s="1169">
        <v>0</v>
      </c>
      <c r="C17" s="1170">
        <v>0</v>
      </c>
      <c r="D17" s="1171">
        <v>0</v>
      </c>
      <c r="E17" s="1167">
        <f t="shared" si="0"/>
        <v>0</v>
      </c>
      <c r="F17" s="1157"/>
      <c r="G17" s="1157"/>
      <c r="H17" s="1157"/>
    </row>
    <row r="18" spans="1:8" ht="13.8" thickBot="1" x14ac:dyDescent="0.3">
      <c r="A18" s="1172" t="s">
        <v>1428</v>
      </c>
      <c r="B18" s="1173">
        <f>SUM(B7:B17)</f>
        <v>849582473</v>
      </c>
      <c r="C18" s="1173">
        <f>SUM(C7:C17)</f>
        <v>124293070</v>
      </c>
      <c r="D18" s="1174">
        <f>SUM(D16:D17)</f>
        <v>0</v>
      </c>
      <c r="E18" s="1175">
        <f>SUM(E7:E17)</f>
        <v>973875543</v>
      </c>
      <c r="F18" s="1157"/>
      <c r="G18" s="1176"/>
      <c r="H18" s="1157"/>
    </row>
    <row r="19" spans="1:8" ht="15.6" x14ac:dyDescent="0.3">
      <c r="A19" s="1177" t="s">
        <v>1429</v>
      </c>
      <c r="B19" s="1178"/>
      <c r="C19" s="1178"/>
      <c r="D19" s="1178"/>
      <c r="E19" s="1179"/>
      <c r="F19" s="1157"/>
      <c r="G19" s="1157"/>
      <c r="H19" s="1157"/>
    </row>
    <row r="20" spans="1:8" ht="15.6" x14ac:dyDescent="0.3">
      <c r="A20" s="1180" t="s">
        <v>1430</v>
      </c>
      <c r="B20" s="1170">
        <v>0</v>
      </c>
      <c r="C20" s="1170">
        <v>233667739</v>
      </c>
      <c r="D20" s="1170">
        <v>0</v>
      </c>
      <c r="E20" s="1181">
        <f>SUM(B20:D20)</f>
        <v>233667739</v>
      </c>
      <c r="F20" s="1157"/>
      <c r="G20" s="1157"/>
      <c r="H20" s="1157"/>
    </row>
    <row r="21" spans="1:8" ht="15.6" x14ac:dyDescent="0.3">
      <c r="A21" s="1180" t="s">
        <v>1431</v>
      </c>
      <c r="B21" s="1170">
        <v>0</v>
      </c>
      <c r="C21" s="1170">
        <v>4164573</v>
      </c>
      <c r="D21" s="1170">
        <v>0</v>
      </c>
      <c r="E21" s="1181">
        <f>SUM(B21:D21)</f>
        <v>4164573</v>
      </c>
      <c r="F21" s="1157"/>
      <c r="G21" s="1157"/>
      <c r="H21" s="1157"/>
    </row>
    <row r="22" spans="1:8" ht="16.2" thickBot="1" x14ac:dyDescent="0.35">
      <c r="A22" s="1182" t="s">
        <v>1432</v>
      </c>
      <c r="B22" s="1183">
        <f>SUM(B20:B21)</f>
        <v>0</v>
      </c>
      <c r="C22" s="1183">
        <f>SUM(C20:C21)</f>
        <v>237832312</v>
      </c>
      <c r="D22" s="1183">
        <f>SUM(D20:D21)</f>
        <v>0</v>
      </c>
      <c r="E22" s="1184">
        <f>SUM(E20:E21)</f>
        <v>237832312</v>
      </c>
      <c r="F22" s="1157"/>
      <c r="G22" s="1176"/>
      <c r="H22" s="1157"/>
    </row>
    <row r="23" spans="1:8" ht="15.6" x14ac:dyDescent="0.3">
      <c r="A23" s="1177" t="s">
        <v>1433</v>
      </c>
      <c r="B23" s="1185"/>
      <c r="C23" s="1185"/>
      <c r="D23" s="1185"/>
      <c r="E23" s="1179"/>
      <c r="F23" s="1157"/>
      <c r="G23" s="1157"/>
      <c r="H23" s="1157"/>
    </row>
    <row r="24" spans="1:8" ht="15.6" x14ac:dyDescent="0.3">
      <c r="A24" s="1180" t="s">
        <v>1430</v>
      </c>
      <c r="B24" s="1170">
        <v>0</v>
      </c>
      <c r="C24" s="1170">
        <v>223547903</v>
      </c>
      <c r="D24" s="1170">
        <v>0</v>
      </c>
      <c r="E24" s="1181">
        <f>SUM(B24:D24)</f>
        <v>223547903</v>
      </c>
      <c r="F24" s="1157"/>
      <c r="G24" s="1157"/>
      <c r="H24" s="1157"/>
    </row>
    <row r="25" spans="1:8" ht="16.2" thickBot="1" x14ac:dyDescent="0.35">
      <c r="A25" s="1182" t="s">
        <v>1434</v>
      </c>
      <c r="B25" s="1183">
        <f>SUM(B24:B24)</f>
        <v>0</v>
      </c>
      <c r="C25" s="1183">
        <f>SUM(C24:C24)</f>
        <v>223547903</v>
      </c>
      <c r="D25" s="1183">
        <f>SUM(D24:D24)</f>
        <v>0</v>
      </c>
      <c r="E25" s="1184">
        <f>SUM(E24:E24)</f>
        <v>223547903</v>
      </c>
      <c r="F25" s="1157"/>
      <c r="G25" s="1176"/>
      <c r="H25" s="1157"/>
    </row>
    <row r="26" spans="1:8" ht="15.6" x14ac:dyDescent="0.3">
      <c r="A26" s="1186" t="s">
        <v>1435</v>
      </c>
      <c r="B26" s="1187"/>
      <c r="C26" s="1187"/>
      <c r="D26" s="1187"/>
      <c r="E26" s="1188"/>
      <c r="F26" s="1157"/>
      <c r="G26" s="1157"/>
      <c r="H26" s="1157"/>
    </row>
    <row r="27" spans="1:8" ht="15.6" x14ac:dyDescent="0.3">
      <c r="A27" s="1189" t="s">
        <v>1436</v>
      </c>
      <c r="B27" s="1190">
        <v>0</v>
      </c>
      <c r="C27" s="1191">
        <v>0</v>
      </c>
      <c r="D27" s="1170">
        <v>0</v>
      </c>
      <c r="E27" s="1181">
        <f>SUM(B27:D27)</f>
        <v>0</v>
      </c>
      <c r="F27" s="1157"/>
      <c r="G27" s="1157"/>
      <c r="H27" s="1157"/>
    </row>
    <row r="28" spans="1:8" ht="15.6" x14ac:dyDescent="0.3">
      <c r="A28" s="1189" t="s">
        <v>1437</v>
      </c>
      <c r="B28" s="1190">
        <v>0</v>
      </c>
      <c r="C28" s="1190">
        <v>0</v>
      </c>
      <c r="D28" s="1169">
        <v>0</v>
      </c>
      <c r="E28" s="1181">
        <f>SUM(B28:D28)</f>
        <v>0</v>
      </c>
      <c r="F28" s="1157"/>
      <c r="G28" s="1157"/>
      <c r="H28" s="1157"/>
    </row>
    <row r="29" spans="1:8" ht="15.6" x14ac:dyDescent="0.3">
      <c r="A29" s="1189" t="s">
        <v>1438</v>
      </c>
      <c r="B29" s="1190">
        <v>0</v>
      </c>
      <c r="C29" s="1170">
        <v>0</v>
      </c>
      <c r="D29" s="1169">
        <v>0</v>
      </c>
      <c r="E29" s="1181">
        <f>SUM(B29:D29)</f>
        <v>0</v>
      </c>
      <c r="F29" s="1157"/>
      <c r="G29" s="1157"/>
      <c r="H29" s="1157"/>
    </row>
    <row r="30" spans="1:8" ht="15.6" x14ac:dyDescent="0.3">
      <c r="A30" s="1192" t="s">
        <v>1439</v>
      </c>
      <c r="B30" s="1193">
        <f>SUM(B27:B29)</f>
        <v>0</v>
      </c>
      <c r="C30" s="1193">
        <f>SUM(C27:C29)</f>
        <v>0</v>
      </c>
      <c r="D30" s="1193">
        <f>SUM(D27:D29)</f>
        <v>0</v>
      </c>
      <c r="E30" s="1181">
        <f>SUM(E27:E29)</f>
        <v>0</v>
      </c>
      <c r="F30" s="1157"/>
      <c r="G30" s="1157"/>
      <c r="H30" s="1157"/>
    </row>
    <row r="31" spans="1:8" s="1197" customFormat="1" ht="15.6" x14ac:dyDescent="0.3">
      <c r="A31" s="1194" t="s">
        <v>1440</v>
      </c>
      <c r="B31" s="1195">
        <f>SUM(B22,B25,B30)</f>
        <v>0</v>
      </c>
      <c r="C31" s="1195">
        <f>SUM(C22,C25,C30)</f>
        <v>461380215</v>
      </c>
      <c r="D31" s="1195">
        <f>SUM(D22,D25,D30)</f>
        <v>0</v>
      </c>
      <c r="E31" s="1196">
        <f>SUM(E22,E25,E30)</f>
        <v>461380215</v>
      </c>
    </row>
    <row r="32" spans="1:8" ht="15.6" x14ac:dyDescent="0.3">
      <c r="A32" s="1198" t="s">
        <v>204</v>
      </c>
      <c r="B32" s="1170">
        <v>0</v>
      </c>
      <c r="C32" s="1169">
        <v>0</v>
      </c>
      <c r="D32" s="1169">
        <v>0</v>
      </c>
      <c r="E32" s="1181">
        <f>SUM(B32:D32)</f>
        <v>0</v>
      </c>
    </row>
    <row r="33" spans="1:8" ht="15.6" x14ac:dyDescent="0.3">
      <c r="A33" s="1199" t="s">
        <v>212</v>
      </c>
      <c r="B33" s="1200">
        <v>0</v>
      </c>
      <c r="C33" s="1200">
        <v>0</v>
      </c>
      <c r="D33" s="1200">
        <v>0</v>
      </c>
      <c r="E33" s="1181">
        <f>SUM(B33:D33)</f>
        <v>0</v>
      </c>
    </row>
    <row r="34" spans="1:8" ht="15.6" x14ac:dyDescent="0.3">
      <c r="A34" s="1199" t="s">
        <v>1441</v>
      </c>
      <c r="B34" s="1201">
        <v>17918748</v>
      </c>
      <c r="C34" s="1201">
        <v>0</v>
      </c>
      <c r="D34" s="1201">
        <v>0</v>
      </c>
      <c r="E34" s="1181">
        <f>SUM(B34:D34)</f>
        <v>17918748</v>
      </c>
    </row>
    <row r="35" spans="1:8" ht="15.6" x14ac:dyDescent="0.3">
      <c r="A35" s="1202" t="s">
        <v>1442</v>
      </c>
      <c r="B35" s="1201">
        <v>0</v>
      </c>
      <c r="C35" s="1201">
        <v>0</v>
      </c>
      <c r="D35" s="1201">
        <v>0</v>
      </c>
      <c r="E35" s="1203"/>
    </row>
    <row r="36" spans="1:8" ht="16.2" thickBot="1" x14ac:dyDescent="0.35">
      <c r="A36" s="1204" t="s">
        <v>1443</v>
      </c>
      <c r="B36" s="1205">
        <f>SUM(B32:B35)</f>
        <v>17918748</v>
      </c>
      <c r="C36" s="1205">
        <f>SUM(C32:C35)</f>
        <v>0</v>
      </c>
      <c r="D36" s="1205">
        <f>SUM(D32:D35)</f>
        <v>0</v>
      </c>
      <c r="E36" s="1206">
        <f>SUM(E32:E35)</f>
        <v>17918748</v>
      </c>
    </row>
    <row r="37" spans="1:8" ht="19.5" customHeight="1" thickBot="1" x14ac:dyDescent="0.4">
      <c r="A37" s="1207" t="s">
        <v>1444</v>
      </c>
      <c r="B37" s="1208">
        <f>+B18+B31+B36</f>
        <v>867501221</v>
      </c>
      <c r="C37" s="1208">
        <f t="shared" ref="C37:E37" si="1">+C18+C31+C36</f>
        <v>585673285</v>
      </c>
      <c r="D37" s="1208">
        <f t="shared" si="1"/>
        <v>0</v>
      </c>
      <c r="E37" s="1209">
        <f t="shared" si="1"/>
        <v>1453174506</v>
      </c>
      <c r="G37" s="122"/>
    </row>
    <row r="38" spans="1:8" ht="15" customHeight="1" x14ac:dyDescent="0.3">
      <c r="A38" s="1210"/>
      <c r="B38" s="1157"/>
      <c r="C38" s="1157"/>
      <c r="D38" s="1157"/>
      <c r="E38" s="1211"/>
    </row>
    <row r="39" spans="1:8" ht="16.2" thickBot="1" x14ac:dyDescent="0.35">
      <c r="A39" s="1212"/>
      <c r="B39" s="1157"/>
      <c r="C39" s="1157"/>
      <c r="D39" s="1157"/>
      <c r="E39" s="1211"/>
      <c r="F39" s="1157"/>
      <c r="G39" s="1176"/>
      <c r="H39" s="1157"/>
    </row>
    <row r="40" spans="1:8" ht="47.4" thickBot="1" x14ac:dyDescent="0.35">
      <c r="A40" s="1158" t="s">
        <v>1415</v>
      </c>
      <c r="B40" s="1159" t="s">
        <v>1416</v>
      </c>
      <c r="C40" s="1159" t="s">
        <v>1417</v>
      </c>
      <c r="D40" s="1159" t="s">
        <v>1445</v>
      </c>
      <c r="E40" s="1213" t="s">
        <v>437</v>
      </c>
      <c r="F40" s="1214"/>
      <c r="G40" s="1215"/>
      <c r="H40" s="1216"/>
    </row>
    <row r="41" spans="1:8" ht="15.6" x14ac:dyDescent="0.3">
      <c r="A41" s="1217" t="s">
        <v>1446</v>
      </c>
      <c r="B41" s="1218">
        <v>545833966</v>
      </c>
      <c r="C41" s="1201">
        <v>0</v>
      </c>
      <c r="D41" s="1201">
        <v>0</v>
      </c>
      <c r="E41" s="1179">
        <v>545833966</v>
      </c>
      <c r="F41" s="1219"/>
      <c r="G41" s="1220"/>
      <c r="H41" s="1220"/>
    </row>
    <row r="42" spans="1:8" ht="15.6" x14ac:dyDescent="0.3">
      <c r="A42" s="1192" t="s">
        <v>250</v>
      </c>
      <c r="B42" s="1201">
        <v>0</v>
      </c>
      <c r="C42" s="1201">
        <v>0</v>
      </c>
      <c r="D42" s="1201">
        <v>0</v>
      </c>
      <c r="E42" s="1181">
        <v>0</v>
      </c>
      <c r="F42" s="1219"/>
      <c r="G42" s="1220"/>
      <c r="H42" s="1220"/>
    </row>
    <row r="43" spans="1:8" ht="15.6" x14ac:dyDescent="0.3">
      <c r="A43" s="1221" t="s">
        <v>1447</v>
      </c>
      <c r="B43" s="1222">
        <v>63983920</v>
      </c>
      <c r="C43" s="1201">
        <v>0</v>
      </c>
      <c r="D43" s="1201">
        <v>0</v>
      </c>
      <c r="E43" s="1181">
        <v>63983920</v>
      </c>
      <c r="F43" s="1219"/>
      <c r="G43" s="1220"/>
      <c r="H43" s="1220"/>
    </row>
    <row r="44" spans="1:8" ht="15.6" x14ac:dyDescent="0.3">
      <c r="A44" s="1221" t="s">
        <v>1448</v>
      </c>
      <c r="B44" s="1222">
        <v>274433456</v>
      </c>
      <c r="C44" s="1201">
        <v>0</v>
      </c>
      <c r="D44" s="1201">
        <v>0</v>
      </c>
      <c r="E44" s="1181">
        <v>274433456</v>
      </c>
      <c r="F44" s="1219"/>
      <c r="G44" s="1223"/>
      <c r="H44" s="1223"/>
    </row>
    <row r="45" spans="1:8" ht="15.6" x14ac:dyDescent="0.3">
      <c r="A45" s="1221" t="s">
        <v>281</v>
      </c>
      <c r="B45" s="1222">
        <v>364307181</v>
      </c>
      <c r="C45" s="1201">
        <v>0</v>
      </c>
      <c r="D45" s="1201">
        <v>0</v>
      </c>
      <c r="E45" s="1181">
        <v>364307181</v>
      </c>
      <c r="F45" s="1157"/>
      <c r="G45" s="1157"/>
      <c r="H45" s="1157"/>
    </row>
    <row r="46" spans="1:8" ht="15.6" x14ac:dyDescent="0.3">
      <c r="A46" s="1192" t="s">
        <v>1449</v>
      </c>
      <c r="B46" s="1201">
        <v>0</v>
      </c>
      <c r="C46" s="1201">
        <v>0</v>
      </c>
      <c r="D46" s="1201">
        <v>0</v>
      </c>
      <c r="E46" s="1181">
        <v>0</v>
      </c>
      <c r="F46" s="1157"/>
      <c r="G46" s="1157"/>
      <c r="H46" s="1157"/>
    </row>
    <row r="47" spans="1:8" ht="18.75" customHeight="1" x14ac:dyDescent="0.3">
      <c r="A47" s="1221" t="s">
        <v>1450</v>
      </c>
      <c r="B47" s="1201">
        <v>0</v>
      </c>
      <c r="C47" s="1201">
        <v>0</v>
      </c>
      <c r="D47" s="1201">
        <v>0</v>
      </c>
      <c r="E47" s="1181">
        <v>0</v>
      </c>
      <c r="F47" s="1157"/>
      <c r="G47" s="1157"/>
      <c r="H47" s="1157"/>
    </row>
    <row r="48" spans="1:8" ht="18.75" customHeight="1" x14ac:dyDescent="0.3">
      <c r="A48" s="1221" t="s">
        <v>1451</v>
      </c>
      <c r="B48" s="1200">
        <v>0</v>
      </c>
      <c r="C48" s="1200">
        <v>0</v>
      </c>
      <c r="D48" s="1200">
        <v>0</v>
      </c>
      <c r="E48" s="1181">
        <v>0</v>
      </c>
      <c r="F48" s="1157"/>
      <c r="G48" s="1157"/>
      <c r="H48" s="1157"/>
    </row>
    <row r="49" spans="1:8" ht="18.75" customHeight="1" thickBot="1" x14ac:dyDescent="0.35">
      <c r="A49" s="1224" t="s">
        <v>1452</v>
      </c>
      <c r="B49" s="1225">
        <v>1248558523</v>
      </c>
      <c r="C49" s="1225">
        <v>0</v>
      </c>
      <c r="D49" s="1225">
        <v>0</v>
      </c>
      <c r="E49" s="1226">
        <v>1248558523</v>
      </c>
      <c r="F49" s="1157"/>
      <c r="G49" s="1157"/>
      <c r="H49" s="1157"/>
    </row>
    <row r="50" spans="1:8" ht="18.75" customHeight="1" x14ac:dyDescent="0.25">
      <c r="A50" s="1227" t="s">
        <v>1453</v>
      </c>
      <c r="B50" s="1228">
        <v>0</v>
      </c>
      <c r="C50" s="1229">
        <v>147169193</v>
      </c>
      <c r="D50" s="1229">
        <v>0</v>
      </c>
      <c r="E50" s="1179">
        <v>147169193</v>
      </c>
      <c r="F50" s="1157"/>
      <c r="G50" s="1157"/>
      <c r="H50" s="1157"/>
    </row>
    <row r="51" spans="1:8" ht="18.75" customHeight="1" x14ac:dyDescent="0.25">
      <c r="A51" s="1230" t="s">
        <v>1454</v>
      </c>
      <c r="B51" s="1200">
        <v>0</v>
      </c>
      <c r="C51" s="1201">
        <v>0</v>
      </c>
      <c r="D51" s="1201">
        <v>0</v>
      </c>
      <c r="E51" s="1181">
        <v>0</v>
      </c>
      <c r="F51" s="1157"/>
      <c r="G51" s="1157"/>
      <c r="H51" s="1157"/>
    </row>
    <row r="52" spans="1:8" ht="18.75" customHeight="1" x14ac:dyDescent="0.25">
      <c r="A52" s="1231" t="s">
        <v>1455</v>
      </c>
      <c r="B52" s="1201">
        <v>0</v>
      </c>
      <c r="C52" s="1201">
        <v>36042225</v>
      </c>
      <c r="D52" s="1201">
        <v>0</v>
      </c>
      <c r="E52" s="1188">
        <v>36042225</v>
      </c>
      <c r="F52" s="1157"/>
      <c r="G52" s="1157"/>
      <c r="H52" s="1157"/>
    </row>
    <row r="53" spans="1:8" ht="18.75" customHeight="1" x14ac:dyDescent="0.25">
      <c r="A53" s="1231" t="s">
        <v>1456</v>
      </c>
      <c r="B53" s="1201">
        <v>0</v>
      </c>
      <c r="C53" s="1201">
        <v>0</v>
      </c>
      <c r="D53" s="1201">
        <v>0</v>
      </c>
      <c r="E53" s="1181">
        <v>0</v>
      </c>
      <c r="F53" s="1157"/>
      <c r="G53" s="1157"/>
      <c r="H53" s="1157"/>
    </row>
    <row r="54" spans="1:8" ht="18.75" customHeight="1" x14ac:dyDescent="0.25">
      <c r="A54" s="1231" t="s">
        <v>1457</v>
      </c>
      <c r="B54" s="1201">
        <v>0</v>
      </c>
      <c r="C54" s="1201">
        <v>939676</v>
      </c>
      <c r="D54" s="1201">
        <v>0</v>
      </c>
      <c r="E54" s="1181">
        <v>939676</v>
      </c>
      <c r="F54" s="1157"/>
      <c r="G54" s="1157"/>
      <c r="H54" s="1157"/>
    </row>
    <row r="55" spans="1:8" ht="18.75" customHeight="1" x14ac:dyDescent="0.25">
      <c r="A55" s="1231" t="s">
        <v>1458</v>
      </c>
      <c r="B55" s="1201">
        <v>0</v>
      </c>
      <c r="C55" s="1201">
        <v>0</v>
      </c>
      <c r="D55" s="1201">
        <v>0</v>
      </c>
      <c r="E55" s="1188">
        <v>0</v>
      </c>
      <c r="F55" s="1157"/>
      <c r="G55" s="1157"/>
      <c r="H55" s="1157"/>
    </row>
    <row r="56" spans="1:8" ht="18.75" customHeight="1" thickBot="1" x14ac:dyDescent="0.35">
      <c r="A56" s="1232" t="s">
        <v>1459</v>
      </c>
      <c r="B56" s="1173">
        <v>0</v>
      </c>
      <c r="C56" s="1173">
        <v>184151094</v>
      </c>
      <c r="D56" s="1173">
        <v>0</v>
      </c>
      <c r="E56" s="1233">
        <v>184151094</v>
      </c>
      <c r="F56" s="1157"/>
      <c r="G56" s="1157"/>
      <c r="H56" s="1157"/>
    </row>
    <row r="57" spans="1:8" x14ac:dyDescent="0.25">
      <c r="A57" s="1227" t="s">
        <v>1460</v>
      </c>
      <c r="B57" s="1228">
        <v>0</v>
      </c>
      <c r="C57" s="1178">
        <v>0</v>
      </c>
      <c r="D57" s="1178">
        <v>0</v>
      </c>
      <c r="E57" s="1179">
        <v>0</v>
      </c>
      <c r="F57" s="1157"/>
      <c r="G57" s="1157"/>
      <c r="H57" s="1157"/>
    </row>
    <row r="58" spans="1:8" x14ac:dyDescent="0.25">
      <c r="A58" s="1230" t="s">
        <v>1461</v>
      </c>
      <c r="B58" s="1170">
        <v>424460422</v>
      </c>
      <c r="C58" s="1169">
        <v>0</v>
      </c>
      <c r="D58" s="1169">
        <v>0</v>
      </c>
      <c r="E58" s="1181">
        <v>424460422</v>
      </c>
      <c r="F58" s="1157"/>
      <c r="G58" s="1157"/>
      <c r="H58" s="1157"/>
    </row>
    <row r="59" spans="1:8" x14ac:dyDescent="0.25">
      <c r="A59" s="1230" t="s">
        <v>1462</v>
      </c>
      <c r="B59" s="1170">
        <v>0</v>
      </c>
      <c r="C59" s="1169">
        <v>0</v>
      </c>
      <c r="D59" s="1169">
        <v>0</v>
      </c>
      <c r="E59" s="1181">
        <v>0</v>
      </c>
      <c r="F59" s="1157"/>
      <c r="G59" s="1157"/>
      <c r="H59" s="1157"/>
    </row>
    <row r="60" spans="1:8" x14ac:dyDescent="0.25">
      <c r="A60" s="1230" t="s">
        <v>1463</v>
      </c>
      <c r="B60" s="1170">
        <v>21292624</v>
      </c>
      <c r="C60" s="1169">
        <v>0</v>
      </c>
      <c r="D60" s="1169">
        <v>0</v>
      </c>
      <c r="E60" s="1181">
        <v>21292624</v>
      </c>
      <c r="F60" s="1157"/>
      <c r="G60" s="1157"/>
      <c r="H60" s="1157"/>
    </row>
    <row r="61" spans="1:8" x14ac:dyDescent="0.25">
      <c r="A61" s="1230" t="s">
        <v>1464</v>
      </c>
      <c r="B61" s="1170">
        <v>0</v>
      </c>
      <c r="C61" s="1169">
        <v>0</v>
      </c>
      <c r="D61" s="1169">
        <v>0</v>
      </c>
      <c r="E61" s="1181">
        <v>0</v>
      </c>
      <c r="F61" s="1157"/>
      <c r="G61" s="1157"/>
      <c r="H61" s="1157"/>
    </row>
    <row r="62" spans="1:8" x14ac:dyDescent="0.25">
      <c r="A62" s="1230" t="s">
        <v>1465</v>
      </c>
      <c r="B62" s="1170">
        <v>0</v>
      </c>
      <c r="C62" s="1169">
        <v>0</v>
      </c>
      <c r="D62" s="1169">
        <v>0</v>
      </c>
      <c r="E62" s="1181">
        <v>0</v>
      </c>
      <c r="F62" s="1157"/>
      <c r="G62" s="1157"/>
      <c r="H62" s="1157"/>
    </row>
    <row r="63" spans="1:8" ht="18.75" customHeight="1" thickBot="1" x14ac:dyDescent="0.35">
      <c r="A63" s="1232" t="s">
        <v>1466</v>
      </c>
      <c r="B63" s="1225">
        <v>445753046</v>
      </c>
      <c r="C63" s="1173"/>
      <c r="D63" s="1173"/>
      <c r="E63" s="1233">
        <v>445753046</v>
      </c>
      <c r="F63" s="1157"/>
      <c r="G63" s="1157"/>
      <c r="H63" s="1157"/>
    </row>
    <row r="64" spans="1:8" ht="15.6" x14ac:dyDescent="0.3">
      <c r="A64" s="1217" t="s">
        <v>1467</v>
      </c>
      <c r="B64" s="1228">
        <v>0</v>
      </c>
      <c r="C64" s="1178">
        <v>0</v>
      </c>
      <c r="D64" s="1178">
        <v>0</v>
      </c>
      <c r="E64" s="1179">
        <v>0</v>
      </c>
      <c r="F64" s="1157"/>
      <c r="G64" s="1176"/>
      <c r="H64" s="1157"/>
    </row>
    <row r="65" spans="1:8" ht="15.6" x14ac:dyDescent="0.3">
      <c r="A65" s="1221" t="s">
        <v>1468</v>
      </c>
      <c r="B65" s="1170">
        <v>0</v>
      </c>
      <c r="C65" s="1169">
        <v>0</v>
      </c>
      <c r="D65" s="1169">
        <v>0</v>
      </c>
      <c r="E65" s="1181">
        <v>0</v>
      </c>
      <c r="F65" s="1157"/>
      <c r="G65" s="1176"/>
      <c r="H65" s="1157"/>
    </row>
    <row r="66" spans="1:8" ht="15.6" x14ac:dyDescent="0.3">
      <c r="A66" s="1221" t="s">
        <v>1469</v>
      </c>
      <c r="B66" s="1170">
        <v>0</v>
      </c>
      <c r="C66" s="1169">
        <v>0</v>
      </c>
      <c r="D66" s="1169">
        <v>0</v>
      </c>
      <c r="E66" s="1181">
        <v>0</v>
      </c>
      <c r="F66" s="1157"/>
      <c r="G66" s="1176"/>
      <c r="H66" s="1157"/>
    </row>
    <row r="67" spans="1:8" ht="15.6" x14ac:dyDescent="0.3">
      <c r="A67" s="1221" t="s">
        <v>357</v>
      </c>
      <c r="B67" s="1170">
        <v>0</v>
      </c>
      <c r="C67" s="1169">
        <v>0</v>
      </c>
      <c r="D67" s="1169">
        <v>0</v>
      </c>
      <c r="E67" s="1181">
        <v>0</v>
      </c>
      <c r="F67" s="1157"/>
      <c r="G67" s="1176"/>
      <c r="H67" s="1157"/>
    </row>
    <row r="68" spans="1:8" ht="15.6" x14ac:dyDescent="0.3">
      <c r="A68" s="1221" t="s">
        <v>1465</v>
      </c>
      <c r="B68" s="1170">
        <v>0</v>
      </c>
      <c r="C68" s="1169">
        <v>0</v>
      </c>
      <c r="D68" s="1169">
        <v>0</v>
      </c>
      <c r="E68" s="1181">
        <v>0</v>
      </c>
      <c r="F68" s="1157"/>
      <c r="G68" s="1176"/>
      <c r="H68" s="1157"/>
    </row>
    <row r="69" spans="1:8" ht="18.75" customHeight="1" thickBot="1" x14ac:dyDescent="0.35">
      <c r="A69" s="1232" t="s">
        <v>1470</v>
      </c>
      <c r="B69" s="1225">
        <v>0</v>
      </c>
      <c r="C69" s="1225">
        <v>0</v>
      </c>
      <c r="D69" s="1225">
        <v>0</v>
      </c>
      <c r="E69" s="1234">
        <v>0</v>
      </c>
      <c r="F69" s="1157"/>
      <c r="G69" s="1157"/>
      <c r="H69" s="1157"/>
    </row>
    <row r="70" spans="1:8" ht="19.5" customHeight="1" thickBot="1" x14ac:dyDescent="0.4">
      <c r="A70" s="1207" t="s">
        <v>1471</v>
      </c>
      <c r="B70" s="1208">
        <v>1694311569</v>
      </c>
      <c r="C70" s="1208">
        <v>184151094</v>
      </c>
      <c r="D70" s="1208">
        <v>0</v>
      </c>
      <c r="E70" s="1209">
        <v>1878462663</v>
      </c>
      <c r="G70" s="122"/>
    </row>
    <row r="71" spans="1:8" x14ac:dyDescent="0.25">
      <c r="A71" s="1157"/>
      <c r="B71" s="1157"/>
      <c r="C71" s="1157"/>
      <c r="D71" s="1157"/>
      <c r="E71" s="1211"/>
      <c r="F71" s="1157"/>
      <c r="G71" s="1176"/>
      <c r="H71" s="1157"/>
    </row>
    <row r="72" spans="1:8" ht="15.6" x14ac:dyDescent="0.3">
      <c r="A72" s="1235"/>
      <c r="B72" s="1157"/>
      <c r="C72" s="1157"/>
      <c r="D72" s="1157"/>
      <c r="E72" s="1211"/>
      <c r="F72" s="1157"/>
      <c r="G72" s="1157"/>
      <c r="H72" s="1157"/>
    </row>
    <row r="73" spans="1:8" ht="15.6" x14ac:dyDescent="0.3">
      <c r="A73" s="1236"/>
      <c r="B73" s="1220"/>
      <c r="C73" s="1220"/>
      <c r="D73" s="1220"/>
      <c r="E73" s="1237"/>
      <c r="F73" s="1157"/>
      <c r="G73" s="1176"/>
      <c r="H73" s="1157"/>
    </row>
    <row r="74" spans="1:8" ht="15.6" x14ac:dyDescent="0.3">
      <c r="A74" s="1238"/>
      <c r="B74" s="1239"/>
      <c r="C74" s="1220"/>
      <c r="D74" s="1220"/>
      <c r="E74" s="1237"/>
      <c r="F74" s="1157"/>
      <c r="G74" s="1176"/>
      <c r="H74" s="1157"/>
    </row>
    <row r="75" spans="1:8" ht="15.6" x14ac:dyDescent="0.3">
      <c r="A75" s="1238"/>
      <c r="B75" s="1239"/>
      <c r="C75" s="1220"/>
      <c r="D75" s="1220"/>
      <c r="E75" s="1237"/>
      <c r="F75" s="1157"/>
      <c r="G75" s="1176"/>
      <c r="H75" s="1157"/>
    </row>
    <row r="76" spans="1:8" s="42" customFormat="1" ht="15.6" x14ac:dyDescent="0.3">
      <c r="A76" s="1236"/>
      <c r="B76" s="1220"/>
      <c r="C76" s="1220"/>
      <c r="D76" s="1220"/>
      <c r="E76" s="1237"/>
      <c r="F76" s="1240"/>
      <c r="G76" s="1241"/>
      <c r="H76" s="1240"/>
    </row>
    <row r="77" spans="1:8" ht="15.6" x14ac:dyDescent="0.3">
      <c r="A77" s="1238"/>
      <c r="B77" s="1239"/>
      <c r="C77" s="1239"/>
      <c r="D77" s="1239"/>
      <c r="E77" s="1242"/>
      <c r="F77" s="1157"/>
      <c r="G77" s="1176"/>
      <c r="H77" s="1157"/>
    </row>
    <row r="78" spans="1:8" s="42" customFormat="1" ht="15.6" x14ac:dyDescent="0.3">
      <c r="A78" s="1236"/>
      <c r="B78" s="1220"/>
      <c r="C78" s="1220"/>
      <c r="D78" s="1220"/>
      <c r="E78" s="1237"/>
      <c r="F78" s="1240"/>
      <c r="G78" s="1241"/>
      <c r="H78" s="1240"/>
    </row>
    <row r="79" spans="1:8" ht="15.6" x14ac:dyDescent="0.3">
      <c r="A79" s="1236"/>
      <c r="B79" s="1220"/>
      <c r="C79" s="1220"/>
      <c r="D79" s="1220"/>
      <c r="E79" s="1237"/>
      <c r="F79" s="1157"/>
      <c r="G79" s="1176"/>
      <c r="H79" s="1157"/>
    </row>
    <row r="80" spans="1:8" ht="15.6" x14ac:dyDescent="0.3">
      <c r="A80" s="1219"/>
      <c r="B80" s="1220"/>
      <c r="C80" s="1220"/>
      <c r="D80" s="1220"/>
      <c r="E80" s="1237"/>
      <c r="F80" s="1157"/>
      <c r="G80" s="1176"/>
      <c r="H80" s="1157"/>
    </row>
    <row r="81" spans="1:8" x14ac:dyDescent="0.25">
      <c r="A81" s="1157"/>
      <c r="B81" s="1157"/>
      <c r="C81" s="1157"/>
      <c r="D81" s="1157"/>
      <c r="E81" s="1211"/>
      <c r="F81" s="1157"/>
      <c r="G81" s="1157"/>
      <c r="H81" s="1157"/>
    </row>
    <row r="82" spans="1:8" x14ac:dyDescent="0.25">
      <c r="A82" s="1157"/>
      <c r="B82" s="1157"/>
      <c r="C82" s="1157"/>
      <c r="D82" s="1157"/>
      <c r="E82" s="1211"/>
      <c r="F82" s="1157"/>
      <c r="G82" s="1157"/>
      <c r="H82" s="1157"/>
    </row>
    <row r="83" spans="1:8" x14ac:dyDescent="0.25">
      <c r="A83" s="1157"/>
      <c r="B83" s="1157"/>
      <c r="C83" s="1157"/>
      <c r="D83" s="1157"/>
      <c r="E83" s="1211"/>
      <c r="F83" s="1157"/>
      <c r="G83" s="1157"/>
      <c r="H83" s="1157"/>
    </row>
    <row r="84" spans="1:8" x14ac:dyDescent="0.25">
      <c r="A84" s="1157"/>
      <c r="B84" s="1157"/>
      <c r="C84" s="1157"/>
      <c r="D84" s="1157"/>
      <c r="E84" s="1211"/>
      <c r="F84" s="1157"/>
      <c r="G84" s="1157"/>
      <c r="H84" s="1157"/>
    </row>
    <row r="85" spans="1:8" x14ac:dyDescent="0.25">
      <c r="A85" s="1157"/>
      <c r="B85" s="1157"/>
      <c r="C85" s="1157"/>
      <c r="D85" s="1157"/>
      <c r="E85" s="1211"/>
      <c r="F85" s="1157"/>
      <c r="G85" s="1157"/>
      <c r="H85" s="1157"/>
    </row>
    <row r="86" spans="1:8" x14ac:dyDescent="0.25">
      <c r="A86" s="1157"/>
      <c r="B86" s="1157"/>
      <c r="C86" s="1157"/>
      <c r="D86" s="1157"/>
      <c r="E86" s="1211"/>
      <c r="F86" s="1157"/>
      <c r="G86" s="1157"/>
      <c r="H86" s="1157"/>
    </row>
    <row r="87" spans="1:8" x14ac:dyDescent="0.25">
      <c r="A87" s="1157"/>
      <c r="B87" s="1157"/>
      <c r="C87" s="1157"/>
      <c r="D87" s="1157"/>
      <c r="E87" s="1211"/>
      <c r="F87" s="1157"/>
      <c r="G87" s="1157"/>
      <c r="H87" s="1157"/>
    </row>
    <row r="88" spans="1:8" x14ac:dyDescent="0.25">
      <c r="A88" s="1157"/>
      <c r="B88" s="1157"/>
      <c r="C88" s="1157"/>
      <c r="D88" s="1157"/>
      <c r="E88" s="1211"/>
      <c r="F88" s="1157"/>
      <c r="G88" s="1157"/>
      <c r="H88" s="1157"/>
    </row>
    <row r="89" spans="1:8" x14ac:dyDescent="0.25">
      <c r="A89" s="1157"/>
      <c r="B89" s="1157"/>
      <c r="C89" s="1157"/>
      <c r="D89" s="1157"/>
      <c r="E89" s="1211"/>
      <c r="F89" s="1157"/>
      <c r="G89" s="1157"/>
      <c r="H89" s="1157"/>
    </row>
    <row r="90" spans="1:8" x14ac:dyDescent="0.25">
      <c r="A90" s="1157"/>
      <c r="B90" s="1157"/>
      <c r="C90" s="1157"/>
      <c r="D90" s="1157"/>
      <c r="E90" s="1211"/>
      <c r="F90" s="1157"/>
      <c r="G90" s="1157"/>
      <c r="H90" s="1157"/>
    </row>
    <row r="91" spans="1:8" x14ac:dyDescent="0.25">
      <c r="A91" s="1157"/>
      <c r="B91" s="1157"/>
      <c r="C91" s="1157"/>
      <c r="D91" s="1157"/>
      <c r="E91" s="1211"/>
      <c r="F91" s="1157"/>
      <c r="G91" s="1157"/>
      <c r="H91" s="1157"/>
    </row>
    <row r="92" spans="1:8" x14ac:dyDescent="0.25">
      <c r="A92" s="1157"/>
      <c r="B92" s="1157"/>
      <c r="C92" s="1157"/>
      <c r="D92" s="1157"/>
      <c r="E92" s="1211"/>
      <c r="F92" s="1157"/>
      <c r="G92" s="1157"/>
      <c r="H92" s="1157"/>
    </row>
    <row r="93" spans="1:8" x14ac:dyDescent="0.25">
      <c r="A93" s="1157"/>
      <c r="B93" s="1157"/>
      <c r="C93" s="1157"/>
      <c r="D93" s="1157"/>
      <c r="E93" s="1211"/>
      <c r="F93" s="1157"/>
      <c r="G93" s="1157"/>
      <c r="H93" s="1157"/>
    </row>
    <row r="94" spans="1:8" x14ac:dyDescent="0.25">
      <c r="A94" s="1157"/>
      <c r="B94" s="1157"/>
      <c r="C94" s="1157"/>
      <c r="D94" s="1157"/>
      <c r="E94" s="1211"/>
      <c r="F94" s="1157"/>
      <c r="G94" s="1157"/>
      <c r="H94" s="1157"/>
    </row>
    <row r="95" spans="1:8" x14ac:dyDescent="0.25">
      <c r="A95" s="1157"/>
      <c r="B95" s="1157"/>
      <c r="C95" s="1157"/>
      <c r="D95" s="1157"/>
      <c r="E95" s="1211"/>
      <c r="F95" s="1157"/>
      <c r="G95" s="1157"/>
      <c r="H95" s="1157"/>
    </row>
    <row r="96" spans="1:8" x14ac:dyDescent="0.25">
      <c r="A96" s="1157"/>
      <c r="B96" s="1157"/>
      <c r="C96" s="1157"/>
      <c r="D96" s="1157"/>
      <c r="E96" s="1211"/>
      <c r="F96" s="1157"/>
      <c r="G96" s="1157"/>
      <c r="H96" s="1157"/>
    </row>
    <row r="97" spans="1:8" x14ac:dyDescent="0.25">
      <c r="A97" s="1157"/>
      <c r="B97" s="1157"/>
      <c r="C97" s="1157"/>
      <c r="D97" s="1157"/>
      <c r="E97" s="1211"/>
      <c r="F97" s="1157"/>
      <c r="G97" s="1157"/>
      <c r="H97" s="1157"/>
    </row>
    <row r="98" spans="1:8" x14ac:dyDescent="0.25">
      <c r="A98" s="1157"/>
      <c r="B98" s="1157"/>
      <c r="C98" s="1157"/>
      <c r="D98" s="1157"/>
      <c r="E98" s="1211"/>
      <c r="F98" s="1157"/>
      <c r="G98" s="1157"/>
      <c r="H98" s="1157"/>
    </row>
    <row r="99" spans="1:8" x14ac:dyDescent="0.25">
      <c r="A99" s="1157"/>
      <c r="B99" s="1157"/>
      <c r="C99" s="1157"/>
      <c r="D99" s="1157"/>
      <c r="E99" s="1211"/>
      <c r="F99" s="1157"/>
      <c r="G99" s="1157"/>
      <c r="H99" s="1157"/>
    </row>
    <row r="100" spans="1:8" x14ac:dyDescent="0.25">
      <c r="A100" s="1157"/>
      <c r="B100" s="1157"/>
      <c r="C100" s="1157"/>
      <c r="D100" s="1157"/>
      <c r="E100" s="1211"/>
      <c r="F100" s="1157"/>
      <c r="G100" s="1157"/>
      <c r="H100" s="1157"/>
    </row>
    <row r="101" spans="1:8" x14ac:dyDescent="0.25">
      <c r="A101" s="1157"/>
      <c r="B101" s="1157"/>
      <c r="C101" s="1157"/>
      <c r="D101" s="1157"/>
      <c r="E101" s="1211"/>
      <c r="F101" s="1157"/>
      <c r="G101" s="1157"/>
      <c r="H101" s="1157"/>
    </row>
    <row r="102" spans="1:8" x14ac:dyDescent="0.25">
      <c r="A102" s="1157"/>
      <c r="B102" s="1157"/>
      <c r="C102" s="1157"/>
      <c r="D102" s="1157"/>
      <c r="E102" s="1211"/>
      <c r="F102" s="1157"/>
      <c r="G102" s="1157"/>
      <c r="H102" s="1157"/>
    </row>
    <row r="103" spans="1:8" x14ac:dyDescent="0.25">
      <c r="A103" s="1157"/>
      <c r="B103" s="1157"/>
      <c r="C103" s="1157"/>
      <c r="D103" s="1157"/>
      <c r="E103" s="1211"/>
      <c r="F103" s="1157"/>
      <c r="G103" s="1157"/>
      <c r="H103" s="1157"/>
    </row>
    <row r="104" spans="1:8" x14ac:dyDescent="0.25">
      <c r="A104" s="1157"/>
      <c r="B104" s="1157"/>
      <c r="C104" s="1157"/>
      <c r="D104" s="1157"/>
      <c r="E104" s="1211"/>
      <c r="F104" s="1157"/>
      <c r="G104" s="1157"/>
      <c r="H104" s="1157"/>
    </row>
    <row r="105" spans="1:8" x14ac:dyDescent="0.25">
      <c r="A105" s="1157"/>
      <c r="B105" s="1157"/>
      <c r="C105" s="1157"/>
      <c r="D105" s="1157"/>
      <c r="E105" s="1211"/>
      <c r="F105" s="1157"/>
      <c r="G105" s="1157"/>
      <c r="H105" s="1157"/>
    </row>
    <row r="106" spans="1:8" x14ac:dyDescent="0.25">
      <c r="A106" s="1157"/>
      <c r="B106" s="1157"/>
      <c r="C106" s="1157"/>
      <c r="D106" s="1157"/>
      <c r="E106" s="1211"/>
      <c r="F106" s="1157"/>
      <c r="G106" s="1157"/>
      <c r="H106" s="1157"/>
    </row>
    <row r="107" spans="1:8" x14ac:dyDescent="0.25">
      <c r="A107" s="1157"/>
      <c r="B107" s="1157"/>
      <c r="C107" s="1157"/>
      <c r="D107" s="1157"/>
      <c r="E107" s="1211"/>
      <c r="F107" s="1157"/>
      <c r="G107" s="1157"/>
      <c r="H107" s="1157"/>
    </row>
    <row r="108" spans="1:8" x14ac:dyDescent="0.25">
      <c r="A108" s="1157"/>
      <c r="B108" s="1157"/>
      <c r="C108" s="1157"/>
      <c r="D108" s="1157"/>
      <c r="E108" s="1211"/>
      <c r="F108" s="1157"/>
      <c r="G108" s="1157"/>
      <c r="H108" s="1157"/>
    </row>
    <row r="109" spans="1:8" x14ac:dyDescent="0.25">
      <c r="A109" s="1157"/>
      <c r="B109" s="1157"/>
      <c r="C109" s="1157"/>
      <c r="D109" s="1157"/>
      <c r="E109" s="1211"/>
      <c r="F109" s="1157"/>
      <c r="G109" s="1157"/>
      <c r="H109" s="1157"/>
    </row>
    <row r="110" spans="1:8" x14ac:dyDescent="0.25">
      <c r="A110" s="1157"/>
      <c r="B110" s="1157"/>
      <c r="C110" s="1157"/>
      <c r="D110" s="1157"/>
      <c r="E110" s="1211"/>
      <c r="F110" s="1157"/>
      <c r="G110" s="1157"/>
      <c r="H110" s="1157"/>
    </row>
    <row r="111" spans="1:8" x14ac:dyDescent="0.25">
      <c r="A111" s="1157"/>
      <c r="B111" s="1157"/>
      <c r="C111" s="1157"/>
      <c r="D111" s="1157"/>
      <c r="E111" s="1211"/>
      <c r="F111" s="1157"/>
      <c r="G111" s="1157"/>
      <c r="H111" s="1157"/>
    </row>
    <row r="112" spans="1:8" x14ac:dyDescent="0.25">
      <c r="A112" s="1157"/>
      <c r="B112" s="1157"/>
      <c r="C112" s="1157"/>
      <c r="D112" s="1157"/>
      <c r="E112" s="1211"/>
      <c r="F112" s="1157"/>
      <c r="G112" s="1157"/>
      <c r="H112" s="1157"/>
    </row>
    <row r="113" spans="1:8" x14ac:dyDescent="0.25">
      <c r="A113" s="1157"/>
      <c r="B113" s="1157"/>
      <c r="C113" s="1157"/>
      <c r="D113" s="1157"/>
      <c r="E113" s="1211"/>
      <c r="F113" s="1157"/>
      <c r="G113" s="1157"/>
      <c r="H113" s="1157"/>
    </row>
    <row r="114" spans="1:8" x14ac:dyDescent="0.25">
      <c r="A114" s="1157"/>
      <c r="B114" s="1157"/>
      <c r="C114" s="1157"/>
      <c r="D114" s="1157"/>
      <c r="E114" s="1211"/>
      <c r="F114" s="1157"/>
      <c r="G114" s="1157"/>
      <c r="H114" s="1157"/>
    </row>
    <row r="115" spans="1:8" x14ac:dyDescent="0.25">
      <c r="A115" s="1157"/>
      <c r="B115" s="1157"/>
      <c r="C115" s="1157"/>
      <c r="D115" s="1157"/>
      <c r="E115" s="1211"/>
      <c r="F115" s="1157"/>
      <c r="G115" s="1157"/>
      <c r="H115" s="1157"/>
    </row>
    <row r="116" spans="1:8" x14ac:dyDescent="0.25">
      <c r="A116" s="1157"/>
      <c r="B116" s="1157"/>
      <c r="C116" s="1157"/>
      <c r="D116" s="1157"/>
      <c r="E116" s="1211"/>
      <c r="F116" s="1157"/>
      <c r="G116" s="1157"/>
      <c r="H116" s="1157"/>
    </row>
  </sheetData>
  <mergeCells count="7">
    <mergeCell ref="A4:E4"/>
    <mergeCell ref="A5:E5"/>
    <mergeCell ref="F1:H1"/>
    <mergeCell ref="F2:H2"/>
    <mergeCell ref="A1:E1"/>
    <mergeCell ref="A2:E2"/>
    <mergeCell ref="A3:E3"/>
  </mergeCells>
  <pageMargins left="0.7" right="0.7" top="0.75" bottom="0.75" header="0.3" footer="0.3"/>
  <pageSetup paperSize="9" scale="44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8"/>
  <sheetViews>
    <sheetView zoomScaleNormal="100" workbookViewId="0">
      <selection activeCell="B13" sqref="B13"/>
    </sheetView>
  </sheetViews>
  <sheetFormatPr defaultRowHeight="13.2" x14ac:dyDescent="0.25"/>
  <cols>
    <col min="1" max="1" width="80.6640625" customWidth="1"/>
    <col min="2" max="2" width="20.5546875" bestFit="1" customWidth="1"/>
    <col min="3" max="4" width="18.44140625" customWidth="1"/>
    <col min="5" max="5" width="24.5546875" style="574" customWidth="1"/>
    <col min="6" max="6" width="20.5546875" bestFit="1" customWidth="1"/>
    <col min="7" max="8" width="18.44140625" customWidth="1"/>
    <col min="9" max="9" width="24.5546875" style="574" customWidth="1"/>
    <col min="10" max="10" width="20.5546875" bestFit="1" customWidth="1"/>
    <col min="11" max="12" width="18.44140625" customWidth="1"/>
    <col min="13" max="13" width="24.5546875" style="574" customWidth="1"/>
    <col min="14" max="14" width="20.5546875" bestFit="1" customWidth="1"/>
    <col min="15" max="16" width="18.44140625" customWidth="1"/>
    <col min="17" max="17" width="24.5546875" style="574" customWidth="1"/>
    <col min="18" max="18" width="20.5546875" bestFit="1" customWidth="1"/>
    <col min="19" max="20" width="18.44140625" customWidth="1"/>
    <col min="21" max="21" width="24.5546875" style="574" customWidth="1"/>
    <col min="22" max="22" width="20.5546875" bestFit="1" customWidth="1"/>
    <col min="23" max="24" width="18.44140625" customWidth="1"/>
    <col min="25" max="25" width="24.5546875" style="574" customWidth="1"/>
    <col min="26" max="26" width="20.5546875" bestFit="1" customWidth="1"/>
    <col min="27" max="28" width="18.44140625" customWidth="1"/>
    <col min="29" max="29" width="24.5546875" style="574" customWidth="1"/>
    <col min="30" max="30" width="20.5546875" bestFit="1" customWidth="1"/>
    <col min="31" max="32" width="18.44140625" customWidth="1"/>
    <col min="33" max="33" width="26.44140625" style="574" bestFit="1" customWidth="1"/>
  </cols>
  <sheetData>
    <row r="1" spans="1:33" ht="19.8" customHeight="1" x14ac:dyDescent="0.3">
      <c r="A1" s="1558" t="s">
        <v>477</v>
      </c>
      <c r="B1" s="1558"/>
      <c r="C1" s="1558"/>
      <c r="D1" s="1558"/>
      <c r="E1" s="1558"/>
      <c r="F1" s="1155"/>
      <c r="G1" s="1155"/>
      <c r="H1" s="1155"/>
      <c r="I1" s="1156"/>
      <c r="J1" s="1156"/>
      <c r="K1" s="1156"/>
      <c r="L1" s="1156"/>
      <c r="M1" s="1156"/>
      <c r="N1" s="1156"/>
      <c r="Q1"/>
      <c r="U1"/>
      <c r="Y1"/>
      <c r="AC1"/>
      <c r="AG1"/>
    </row>
    <row r="2" spans="1:33" ht="21.6" customHeight="1" x14ac:dyDescent="0.3">
      <c r="A2" s="1558" t="s">
        <v>1534</v>
      </c>
      <c r="B2" s="1558"/>
      <c r="C2" s="1558"/>
      <c r="D2" s="1558"/>
      <c r="E2" s="1558"/>
      <c r="F2" s="1155"/>
      <c r="G2" s="1155"/>
      <c r="H2" s="1155"/>
      <c r="I2" s="1156"/>
      <c r="M2"/>
      <c r="Q2"/>
      <c r="U2"/>
      <c r="Y2"/>
      <c r="AC2"/>
      <c r="AG2"/>
    </row>
    <row r="3" spans="1:33" ht="22.2" customHeight="1" x14ac:dyDescent="0.3">
      <c r="A3" s="1559" t="s">
        <v>1473</v>
      </c>
      <c r="B3" s="1559"/>
      <c r="C3" s="1559"/>
      <c r="D3" s="1559"/>
      <c r="E3" s="1559"/>
      <c r="F3" s="1157"/>
      <c r="G3" s="1157"/>
      <c r="H3" s="1157"/>
      <c r="I3"/>
      <c r="M3"/>
      <c r="Q3"/>
      <c r="U3"/>
      <c r="Y3"/>
      <c r="AC3"/>
      <c r="AG3"/>
    </row>
    <row r="4" spans="1:33" ht="15.6" x14ac:dyDescent="0.3">
      <c r="A4" s="1551"/>
      <c r="B4" s="1551"/>
      <c r="C4" s="1551"/>
      <c r="D4" s="1551"/>
      <c r="E4" s="1551"/>
      <c r="F4" s="1157"/>
      <c r="G4" s="1157"/>
      <c r="H4" s="1157"/>
      <c r="I4"/>
      <c r="M4"/>
      <c r="Q4"/>
      <c r="U4"/>
      <c r="Y4"/>
      <c r="AC4"/>
      <c r="AG4"/>
    </row>
    <row r="5" spans="1:33" ht="13.8" thickBot="1" x14ac:dyDescent="0.3">
      <c r="A5" s="1552" t="s">
        <v>1414</v>
      </c>
      <c r="B5" s="1552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</row>
    <row r="6" spans="1:33" ht="21.6" customHeight="1" thickBot="1" x14ac:dyDescent="0.3">
      <c r="A6" s="1560" t="s">
        <v>1415</v>
      </c>
      <c r="B6" s="1553" t="s">
        <v>467</v>
      </c>
      <c r="C6" s="1554"/>
      <c r="D6" s="1554"/>
      <c r="E6" s="1555"/>
      <c r="F6" s="1553" t="s">
        <v>456</v>
      </c>
      <c r="G6" s="1554"/>
      <c r="H6" s="1554"/>
      <c r="I6" s="1555"/>
      <c r="J6" s="1553" t="s">
        <v>466</v>
      </c>
      <c r="K6" s="1554"/>
      <c r="L6" s="1554"/>
      <c r="M6" s="1555"/>
      <c r="N6" s="1553" t="s">
        <v>449</v>
      </c>
      <c r="O6" s="1554"/>
      <c r="P6" s="1554"/>
      <c r="Q6" s="1555"/>
      <c r="R6" s="1553" t="s">
        <v>448</v>
      </c>
      <c r="S6" s="1554"/>
      <c r="T6" s="1554"/>
      <c r="U6" s="1555"/>
      <c r="V6" s="1553" t="s">
        <v>419</v>
      </c>
      <c r="W6" s="1554"/>
      <c r="X6" s="1554"/>
      <c r="Y6" s="1555"/>
      <c r="Z6" s="1553" t="s">
        <v>420</v>
      </c>
      <c r="AA6" s="1554"/>
      <c r="AB6" s="1554"/>
      <c r="AC6" s="1555"/>
      <c r="AD6" s="1553" t="s">
        <v>1475</v>
      </c>
      <c r="AE6" s="1554"/>
      <c r="AF6" s="1554"/>
      <c r="AG6" s="1555"/>
    </row>
    <row r="7" spans="1:33" s="1163" customFormat="1" ht="49.2" customHeight="1" thickBot="1" x14ac:dyDescent="0.3">
      <c r="A7" s="1561"/>
      <c r="B7" s="1158" t="s">
        <v>1416</v>
      </c>
      <c r="C7" s="1159" t="s">
        <v>1417</v>
      </c>
      <c r="D7" s="1274" t="s">
        <v>1418</v>
      </c>
      <c r="E7" s="1161" t="s">
        <v>437</v>
      </c>
      <c r="F7" s="1158" t="s">
        <v>1416</v>
      </c>
      <c r="G7" s="1159" t="s">
        <v>1417</v>
      </c>
      <c r="H7" s="1160" t="s">
        <v>1418</v>
      </c>
      <c r="I7" s="1161" t="s">
        <v>437</v>
      </c>
      <c r="J7" s="1158" t="s">
        <v>1416</v>
      </c>
      <c r="K7" s="1159" t="s">
        <v>1417</v>
      </c>
      <c r="L7" s="1160" t="s">
        <v>1418</v>
      </c>
      <c r="M7" s="1161" t="s">
        <v>437</v>
      </c>
      <c r="N7" s="1158" t="s">
        <v>1416</v>
      </c>
      <c r="O7" s="1159" t="s">
        <v>1417</v>
      </c>
      <c r="P7" s="1159" t="s">
        <v>1418</v>
      </c>
      <c r="Q7" s="1276" t="s">
        <v>437</v>
      </c>
      <c r="R7" s="1158" t="s">
        <v>1416</v>
      </c>
      <c r="S7" s="1159" t="s">
        <v>1417</v>
      </c>
      <c r="T7" s="1159" t="s">
        <v>1418</v>
      </c>
      <c r="U7" s="1276" t="s">
        <v>437</v>
      </c>
      <c r="V7" s="1158" t="s">
        <v>1416</v>
      </c>
      <c r="W7" s="1159" t="s">
        <v>1417</v>
      </c>
      <c r="X7" s="1160" t="s">
        <v>1418</v>
      </c>
      <c r="Y7" s="1161" t="s">
        <v>437</v>
      </c>
      <c r="Z7" s="1158" t="s">
        <v>1416</v>
      </c>
      <c r="AA7" s="1159" t="s">
        <v>1417</v>
      </c>
      <c r="AB7" s="1160" t="s">
        <v>1418</v>
      </c>
      <c r="AC7" s="1161" t="s">
        <v>437</v>
      </c>
      <c r="AD7" s="1158" t="s">
        <v>1416</v>
      </c>
      <c r="AE7" s="1159" t="s">
        <v>1417</v>
      </c>
      <c r="AF7" s="1159" t="s">
        <v>1418</v>
      </c>
      <c r="AG7" s="1276" t="s">
        <v>437</v>
      </c>
    </row>
    <row r="8" spans="1:33" x14ac:dyDescent="0.25">
      <c r="A8" s="1249" t="s">
        <v>3</v>
      </c>
      <c r="B8" s="1262">
        <v>73579729</v>
      </c>
      <c r="C8" s="1165">
        <v>0</v>
      </c>
      <c r="D8" s="1178">
        <v>0</v>
      </c>
      <c r="E8" s="1277">
        <f>+B8+C8+D8</f>
        <v>73579729</v>
      </c>
      <c r="F8" s="1262">
        <v>24992323</v>
      </c>
      <c r="G8" s="1165">
        <v>0</v>
      </c>
      <c r="H8" s="1178">
        <v>0</v>
      </c>
      <c r="I8" s="1277">
        <f>+F8+G8+H8</f>
        <v>24992323</v>
      </c>
      <c r="J8" s="1262">
        <v>147322762</v>
      </c>
      <c r="K8" s="1165">
        <v>0</v>
      </c>
      <c r="L8" s="1178">
        <v>0</v>
      </c>
      <c r="M8" s="1277">
        <f>+J8+K8+L8</f>
        <v>147322762</v>
      </c>
      <c r="N8" s="1262">
        <v>43186814</v>
      </c>
      <c r="O8" s="1165">
        <v>0</v>
      </c>
      <c r="P8" s="1165">
        <v>0</v>
      </c>
      <c r="Q8" s="1277">
        <f>+N8+O8+P8</f>
        <v>43186814</v>
      </c>
      <c r="R8" s="1262">
        <v>106599077</v>
      </c>
      <c r="S8" s="1165">
        <v>0</v>
      </c>
      <c r="T8" s="1165">
        <v>0</v>
      </c>
      <c r="U8" s="1277">
        <f>+R8+S8+T8</f>
        <v>106599077</v>
      </c>
      <c r="V8" s="1262">
        <v>13510045</v>
      </c>
      <c r="W8" s="1165">
        <v>0</v>
      </c>
      <c r="X8" s="1165">
        <v>0</v>
      </c>
      <c r="Y8" s="1277">
        <f>+V8+W8+X8</f>
        <v>13510045</v>
      </c>
      <c r="Z8" s="1262">
        <v>30727025</v>
      </c>
      <c r="AA8" s="1165">
        <v>0</v>
      </c>
      <c r="AB8" s="1165">
        <v>0</v>
      </c>
      <c r="AC8" s="1277">
        <f>+Z8+AA8+AB8</f>
        <v>30727025</v>
      </c>
      <c r="AD8" s="1292">
        <f>+B8+F8+J8+N8+R8+V8+Z8</f>
        <v>439917775</v>
      </c>
      <c r="AE8" s="1228">
        <f t="shared" ref="AE8:AF18" si="0">+C8+G8+K8+O8+S8+W8+AA8</f>
        <v>0</v>
      </c>
      <c r="AF8" s="1191">
        <f t="shared" si="0"/>
        <v>0</v>
      </c>
      <c r="AG8" s="1277">
        <f>+AD8+AE8+AF8</f>
        <v>439917775</v>
      </c>
    </row>
    <row r="9" spans="1:33" x14ac:dyDescent="0.25">
      <c r="A9" s="1250" t="s">
        <v>1419</v>
      </c>
      <c r="B9" s="1262">
        <v>11762014</v>
      </c>
      <c r="C9" s="1170">
        <v>0</v>
      </c>
      <c r="D9" s="1170">
        <v>0</v>
      </c>
      <c r="E9" s="1277">
        <f t="shared" ref="E9:E18" si="1">+B9+C9+D9</f>
        <v>11762014</v>
      </c>
      <c r="F9" s="1170">
        <v>4832317</v>
      </c>
      <c r="G9" s="1170">
        <v>0</v>
      </c>
      <c r="H9" s="1170">
        <v>0</v>
      </c>
      <c r="I9" s="1277">
        <f t="shared" ref="I9:I18" si="2">+F9+G9+H9</f>
        <v>4832317</v>
      </c>
      <c r="J9" s="1170">
        <v>28037568</v>
      </c>
      <c r="K9" s="1170">
        <v>0</v>
      </c>
      <c r="L9" s="1170">
        <v>0</v>
      </c>
      <c r="M9" s="1277">
        <f t="shared" ref="M9:M18" si="3">+J9+K9+L9</f>
        <v>28037568</v>
      </c>
      <c r="N9" s="1170">
        <v>8555513</v>
      </c>
      <c r="O9" s="1170">
        <v>0</v>
      </c>
      <c r="P9" s="1170">
        <v>0</v>
      </c>
      <c r="Q9" s="1277">
        <f t="shared" ref="Q9:Q18" si="4">+N9+O9+P9</f>
        <v>8555513</v>
      </c>
      <c r="R9" s="1170">
        <v>20924717</v>
      </c>
      <c r="S9" s="1170">
        <v>0</v>
      </c>
      <c r="T9" s="1170">
        <v>0</v>
      </c>
      <c r="U9" s="1277">
        <f t="shared" ref="U9:U18" si="5">+R9+S9+T9</f>
        <v>20924717</v>
      </c>
      <c r="V9" s="1170">
        <v>2573467</v>
      </c>
      <c r="W9" s="1170">
        <v>0</v>
      </c>
      <c r="X9" s="1170">
        <v>0</v>
      </c>
      <c r="Y9" s="1277">
        <f t="shared" ref="Y9:Y18" si="6">+V9+W9+X9</f>
        <v>2573467</v>
      </c>
      <c r="Z9" s="1170">
        <v>6064583</v>
      </c>
      <c r="AA9" s="1170">
        <v>0</v>
      </c>
      <c r="AB9" s="1170">
        <v>0</v>
      </c>
      <c r="AC9" s="1277">
        <f t="shared" ref="AC9:AC18" si="7">+Z9+AA9+AB9</f>
        <v>6064583</v>
      </c>
      <c r="AD9" s="1262">
        <f t="shared" ref="AD9:AD18" si="8">+B9+F9+J9+N9+R9+V9+Z9</f>
        <v>82750179</v>
      </c>
      <c r="AE9" s="1170">
        <f t="shared" si="0"/>
        <v>0</v>
      </c>
      <c r="AF9" s="1191">
        <f t="shared" si="0"/>
        <v>0</v>
      </c>
      <c r="AG9" s="1277">
        <f t="shared" ref="AG9:AG18" si="9">+AD9+AE9+AF9</f>
        <v>82750179</v>
      </c>
    </row>
    <row r="10" spans="1:33" x14ac:dyDescent="0.25">
      <c r="A10" s="1250" t="s">
        <v>26</v>
      </c>
      <c r="B10" s="1262">
        <f>180172052-C10</f>
        <v>179764052</v>
      </c>
      <c r="C10" s="1170">
        <v>408000</v>
      </c>
      <c r="D10" s="1170">
        <v>0</v>
      </c>
      <c r="E10" s="1277">
        <f t="shared" si="1"/>
        <v>180172052</v>
      </c>
      <c r="F10" s="1170">
        <v>8871614</v>
      </c>
      <c r="G10" s="1170">
        <v>0</v>
      </c>
      <c r="H10" s="1170">
        <v>0</v>
      </c>
      <c r="I10" s="1277">
        <f t="shared" si="2"/>
        <v>8871614</v>
      </c>
      <c r="J10" s="1170">
        <v>12553691</v>
      </c>
      <c r="K10" s="1170">
        <v>0</v>
      </c>
      <c r="L10" s="1170">
        <v>0</v>
      </c>
      <c r="M10" s="1277">
        <f t="shared" si="3"/>
        <v>12553691</v>
      </c>
      <c r="N10" s="1170">
        <v>10368642</v>
      </c>
      <c r="O10" s="1170">
        <v>0</v>
      </c>
      <c r="P10" s="1170">
        <v>0</v>
      </c>
      <c r="Q10" s="1277">
        <f t="shared" si="4"/>
        <v>10368642</v>
      </c>
      <c r="R10" s="1170">
        <v>9763591</v>
      </c>
      <c r="S10" s="1170">
        <v>0</v>
      </c>
      <c r="T10" s="1170">
        <v>0</v>
      </c>
      <c r="U10" s="1277">
        <f t="shared" si="5"/>
        <v>9763591</v>
      </c>
      <c r="V10" s="1170">
        <v>14257854</v>
      </c>
      <c r="W10" s="1170">
        <v>0</v>
      </c>
      <c r="X10" s="1170">
        <v>0</v>
      </c>
      <c r="Y10" s="1277">
        <f t="shared" si="6"/>
        <v>14257854</v>
      </c>
      <c r="Z10" s="1170">
        <v>65438408</v>
      </c>
      <c r="AA10" s="1170">
        <v>0</v>
      </c>
      <c r="AB10" s="1170">
        <v>0</v>
      </c>
      <c r="AC10" s="1277">
        <f t="shared" si="7"/>
        <v>65438408</v>
      </c>
      <c r="AD10" s="1262">
        <f t="shared" si="8"/>
        <v>301017852</v>
      </c>
      <c r="AE10" s="1170">
        <f t="shared" si="0"/>
        <v>408000</v>
      </c>
      <c r="AF10" s="1191">
        <f t="shared" si="0"/>
        <v>0</v>
      </c>
      <c r="AG10" s="1277">
        <f t="shared" si="9"/>
        <v>301425852</v>
      </c>
    </row>
    <row r="11" spans="1:33" ht="13.8" thickBot="1" x14ac:dyDescent="0.3">
      <c r="A11" s="1251" t="s">
        <v>1420</v>
      </c>
      <c r="B11" s="1275">
        <f>13764056-C11</f>
        <v>10598702</v>
      </c>
      <c r="C11" s="1246">
        <v>3165354</v>
      </c>
      <c r="D11" s="1246">
        <v>0</v>
      </c>
      <c r="E11" s="1278">
        <f t="shared" si="1"/>
        <v>13764056</v>
      </c>
      <c r="F11" s="1273">
        <v>0</v>
      </c>
      <c r="G11" s="1246">
        <v>0</v>
      </c>
      <c r="H11" s="1246">
        <v>0</v>
      </c>
      <c r="I11" s="1278">
        <f t="shared" si="2"/>
        <v>0</v>
      </c>
      <c r="J11" s="1273">
        <v>0</v>
      </c>
      <c r="K11" s="1246">
        <v>0</v>
      </c>
      <c r="L11" s="1246">
        <v>0</v>
      </c>
      <c r="M11" s="1278">
        <f t="shared" si="3"/>
        <v>0</v>
      </c>
      <c r="N11" s="1273">
        <v>0</v>
      </c>
      <c r="O11" s="1246">
        <v>0</v>
      </c>
      <c r="P11" s="1246">
        <v>0</v>
      </c>
      <c r="Q11" s="1278">
        <f t="shared" si="4"/>
        <v>0</v>
      </c>
      <c r="R11" s="1273">
        <v>0</v>
      </c>
      <c r="S11" s="1246">
        <v>0</v>
      </c>
      <c r="T11" s="1246">
        <v>0</v>
      </c>
      <c r="U11" s="1278">
        <f t="shared" si="5"/>
        <v>0</v>
      </c>
      <c r="V11" s="1273">
        <v>0</v>
      </c>
      <c r="W11" s="1246">
        <v>0</v>
      </c>
      <c r="X11" s="1246">
        <v>0</v>
      </c>
      <c r="Y11" s="1278">
        <f t="shared" si="6"/>
        <v>0</v>
      </c>
      <c r="Z11" s="1273">
        <v>0</v>
      </c>
      <c r="AA11" s="1246">
        <v>0</v>
      </c>
      <c r="AB11" s="1246">
        <v>0</v>
      </c>
      <c r="AC11" s="1278">
        <f t="shared" si="7"/>
        <v>0</v>
      </c>
      <c r="AD11" s="1287">
        <f t="shared" si="8"/>
        <v>10598702</v>
      </c>
      <c r="AE11" s="1246">
        <f t="shared" si="0"/>
        <v>3165354</v>
      </c>
      <c r="AF11" s="1288">
        <f t="shared" si="0"/>
        <v>0</v>
      </c>
      <c r="AG11" s="1278">
        <f t="shared" si="9"/>
        <v>13764056</v>
      </c>
    </row>
    <row r="12" spans="1:33" ht="16.5" customHeight="1" x14ac:dyDescent="0.25">
      <c r="A12" s="1249" t="s">
        <v>1421</v>
      </c>
      <c r="B12" s="1262">
        <v>1264732</v>
      </c>
      <c r="C12" s="1165">
        <v>0</v>
      </c>
      <c r="D12" s="1165">
        <v>0</v>
      </c>
      <c r="E12" s="1277">
        <f t="shared" si="1"/>
        <v>1264732</v>
      </c>
      <c r="F12" s="1170">
        <v>0</v>
      </c>
      <c r="G12" s="1165">
        <v>0</v>
      </c>
      <c r="H12" s="1165">
        <v>0</v>
      </c>
      <c r="I12" s="1277">
        <f t="shared" si="2"/>
        <v>0</v>
      </c>
      <c r="J12" s="1170">
        <v>0</v>
      </c>
      <c r="K12" s="1165">
        <v>0</v>
      </c>
      <c r="L12" s="1165">
        <v>0</v>
      </c>
      <c r="M12" s="1277">
        <f t="shared" si="3"/>
        <v>0</v>
      </c>
      <c r="N12" s="1170">
        <v>0</v>
      </c>
      <c r="O12" s="1165">
        <v>0</v>
      </c>
      <c r="P12" s="1165">
        <v>0</v>
      </c>
      <c r="Q12" s="1277">
        <f t="shared" si="4"/>
        <v>0</v>
      </c>
      <c r="R12" s="1170">
        <v>0</v>
      </c>
      <c r="S12" s="1165">
        <v>0</v>
      </c>
      <c r="T12" s="1165">
        <v>0</v>
      </c>
      <c r="U12" s="1277">
        <f t="shared" si="5"/>
        <v>0</v>
      </c>
      <c r="V12" s="1170">
        <v>0</v>
      </c>
      <c r="W12" s="1165">
        <v>0</v>
      </c>
      <c r="X12" s="1165">
        <v>0</v>
      </c>
      <c r="Y12" s="1277">
        <f t="shared" si="6"/>
        <v>0</v>
      </c>
      <c r="Z12" s="1170">
        <v>0</v>
      </c>
      <c r="AA12" s="1165">
        <v>0</v>
      </c>
      <c r="AB12" s="1165">
        <v>0</v>
      </c>
      <c r="AC12" s="1277">
        <f t="shared" si="7"/>
        <v>0</v>
      </c>
      <c r="AD12" s="1286">
        <f t="shared" si="8"/>
        <v>1264732</v>
      </c>
      <c r="AE12" s="1293">
        <f t="shared" si="0"/>
        <v>0</v>
      </c>
      <c r="AF12" s="1289">
        <f t="shared" si="0"/>
        <v>0</v>
      </c>
      <c r="AG12" s="1277">
        <f t="shared" si="9"/>
        <v>1264732</v>
      </c>
    </row>
    <row r="13" spans="1:33" x14ac:dyDescent="0.25">
      <c r="A13" s="1250" t="s">
        <v>1422</v>
      </c>
      <c r="B13" s="1168">
        <v>0</v>
      </c>
      <c r="C13" s="1170">
        <v>1882593</v>
      </c>
      <c r="D13" s="1170">
        <v>0</v>
      </c>
      <c r="E13" s="1277">
        <f t="shared" si="1"/>
        <v>1882593</v>
      </c>
      <c r="F13" s="1169">
        <v>0</v>
      </c>
      <c r="G13" s="1170">
        <v>0</v>
      </c>
      <c r="H13" s="1170">
        <v>0</v>
      </c>
      <c r="I13" s="1277">
        <f t="shared" si="2"/>
        <v>0</v>
      </c>
      <c r="J13" s="1169">
        <v>0</v>
      </c>
      <c r="K13" s="1170">
        <v>0</v>
      </c>
      <c r="L13" s="1170">
        <v>0</v>
      </c>
      <c r="M13" s="1277">
        <f t="shared" si="3"/>
        <v>0</v>
      </c>
      <c r="N13" s="1169">
        <v>0</v>
      </c>
      <c r="O13" s="1170">
        <v>0</v>
      </c>
      <c r="P13" s="1170">
        <v>0</v>
      </c>
      <c r="Q13" s="1277">
        <f t="shared" si="4"/>
        <v>0</v>
      </c>
      <c r="R13" s="1169">
        <v>0</v>
      </c>
      <c r="S13" s="1170">
        <v>0</v>
      </c>
      <c r="T13" s="1170">
        <v>0</v>
      </c>
      <c r="U13" s="1277">
        <f t="shared" si="5"/>
        <v>0</v>
      </c>
      <c r="V13" s="1169">
        <v>0</v>
      </c>
      <c r="W13" s="1170">
        <v>0</v>
      </c>
      <c r="X13" s="1170">
        <v>0</v>
      </c>
      <c r="Y13" s="1277">
        <f t="shared" si="6"/>
        <v>0</v>
      </c>
      <c r="Z13" s="1169">
        <v>0</v>
      </c>
      <c r="AA13" s="1170">
        <v>0</v>
      </c>
      <c r="AB13" s="1170">
        <v>0</v>
      </c>
      <c r="AC13" s="1277">
        <f t="shared" si="7"/>
        <v>0</v>
      </c>
      <c r="AD13" s="1262">
        <f t="shared" si="8"/>
        <v>0</v>
      </c>
      <c r="AE13" s="1170">
        <f t="shared" si="0"/>
        <v>1882593</v>
      </c>
      <c r="AF13" s="1191">
        <f t="shared" si="0"/>
        <v>0</v>
      </c>
      <c r="AG13" s="1277">
        <f t="shared" si="9"/>
        <v>1882593</v>
      </c>
    </row>
    <row r="14" spans="1:33" x14ac:dyDescent="0.25">
      <c r="A14" s="1250" t="s">
        <v>1423</v>
      </c>
      <c r="B14" s="1168">
        <v>0</v>
      </c>
      <c r="C14" s="1170">
        <v>12150640</v>
      </c>
      <c r="D14" s="1170">
        <v>0</v>
      </c>
      <c r="E14" s="1277">
        <f t="shared" si="1"/>
        <v>12150640</v>
      </c>
      <c r="F14" s="1169">
        <v>0</v>
      </c>
      <c r="G14" s="1170">
        <v>0</v>
      </c>
      <c r="H14" s="1170">
        <v>0</v>
      </c>
      <c r="I14" s="1277">
        <f t="shared" si="2"/>
        <v>0</v>
      </c>
      <c r="J14" s="1169">
        <v>0</v>
      </c>
      <c r="K14" s="1170">
        <v>0</v>
      </c>
      <c r="L14" s="1170">
        <v>0</v>
      </c>
      <c r="M14" s="1277">
        <f t="shared" si="3"/>
        <v>0</v>
      </c>
      <c r="N14" s="1169">
        <v>0</v>
      </c>
      <c r="O14" s="1170">
        <v>0</v>
      </c>
      <c r="P14" s="1170">
        <v>0</v>
      </c>
      <c r="Q14" s="1277">
        <f t="shared" si="4"/>
        <v>0</v>
      </c>
      <c r="R14" s="1169">
        <v>0</v>
      </c>
      <c r="S14" s="1170">
        <v>0</v>
      </c>
      <c r="T14" s="1170">
        <v>0</v>
      </c>
      <c r="U14" s="1277">
        <f t="shared" si="5"/>
        <v>0</v>
      </c>
      <c r="V14" s="1169">
        <v>0</v>
      </c>
      <c r="W14" s="1170">
        <v>0</v>
      </c>
      <c r="X14" s="1170">
        <v>0</v>
      </c>
      <c r="Y14" s="1277">
        <f t="shared" si="6"/>
        <v>0</v>
      </c>
      <c r="Z14" s="1169">
        <v>0</v>
      </c>
      <c r="AA14" s="1170">
        <v>0</v>
      </c>
      <c r="AB14" s="1170">
        <v>0</v>
      </c>
      <c r="AC14" s="1277">
        <f t="shared" si="7"/>
        <v>0</v>
      </c>
      <c r="AD14" s="1262">
        <f t="shared" si="8"/>
        <v>0</v>
      </c>
      <c r="AE14" s="1170">
        <f t="shared" si="0"/>
        <v>12150640</v>
      </c>
      <c r="AF14" s="1191">
        <f t="shared" si="0"/>
        <v>0</v>
      </c>
      <c r="AG14" s="1277">
        <f t="shared" si="9"/>
        <v>12150640</v>
      </c>
    </row>
    <row r="15" spans="1:33" ht="17.25" customHeight="1" thickBot="1" x14ac:dyDescent="0.3">
      <c r="A15" s="1251" t="s">
        <v>1424</v>
      </c>
      <c r="B15" s="1244">
        <v>0</v>
      </c>
      <c r="C15" s="1273">
        <v>120719716</v>
      </c>
      <c r="D15" s="1246">
        <v>0</v>
      </c>
      <c r="E15" s="1278">
        <f t="shared" si="1"/>
        <v>120719716</v>
      </c>
      <c r="F15" s="1245">
        <v>0</v>
      </c>
      <c r="G15" s="1273">
        <v>0</v>
      </c>
      <c r="H15" s="1246">
        <v>0</v>
      </c>
      <c r="I15" s="1278">
        <f t="shared" si="2"/>
        <v>0</v>
      </c>
      <c r="J15" s="1245">
        <v>0</v>
      </c>
      <c r="K15" s="1273">
        <v>0</v>
      </c>
      <c r="L15" s="1246">
        <v>0</v>
      </c>
      <c r="M15" s="1278">
        <f t="shared" si="3"/>
        <v>0</v>
      </c>
      <c r="N15" s="1245">
        <v>0</v>
      </c>
      <c r="O15" s="1273">
        <v>0</v>
      </c>
      <c r="P15" s="1246">
        <v>0</v>
      </c>
      <c r="Q15" s="1278">
        <f t="shared" si="4"/>
        <v>0</v>
      </c>
      <c r="R15" s="1245">
        <v>0</v>
      </c>
      <c r="S15" s="1273">
        <v>0</v>
      </c>
      <c r="T15" s="1246">
        <v>0</v>
      </c>
      <c r="U15" s="1278">
        <f t="shared" si="5"/>
        <v>0</v>
      </c>
      <c r="V15" s="1245">
        <v>0</v>
      </c>
      <c r="W15" s="1273">
        <v>0</v>
      </c>
      <c r="X15" s="1246">
        <v>0</v>
      </c>
      <c r="Y15" s="1278">
        <f t="shared" si="6"/>
        <v>0</v>
      </c>
      <c r="Z15" s="1245">
        <v>0</v>
      </c>
      <c r="AA15" s="1273">
        <v>0</v>
      </c>
      <c r="AB15" s="1246">
        <v>0</v>
      </c>
      <c r="AC15" s="1278">
        <f t="shared" si="7"/>
        <v>0</v>
      </c>
      <c r="AD15" s="1287">
        <f t="shared" si="8"/>
        <v>0</v>
      </c>
      <c r="AE15" s="1246">
        <f t="shared" si="0"/>
        <v>120719716</v>
      </c>
      <c r="AF15" s="1288">
        <f t="shared" si="0"/>
        <v>0</v>
      </c>
      <c r="AG15" s="1278">
        <f t="shared" si="9"/>
        <v>120719716</v>
      </c>
    </row>
    <row r="16" spans="1:33" x14ac:dyDescent="0.25">
      <c r="A16" s="1249" t="s">
        <v>1425</v>
      </c>
      <c r="B16" s="1164">
        <v>0</v>
      </c>
      <c r="C16" s="1165">
        <v>0</v>
      </c>
      <c r="D16" s="1165">
        <v>0</v>
      </c>
      <c r="E16" s="1277">
        <f t="shared" si="1"/>
        <v>0</v>
      </c>
      <c r="F16" s="1164">
        <v>0</v>
      </c>
      <c r="G16" s="1165">
        <v>0</v>
      </c>
      <c r="H16" s="1165">
        <v>0</v>
      </c>
      <c r="I16" s="1277">
        <f t="shared" si="2"/>
        <v>0</v>
      </c>
      <c r="J16" s="1164">
        <v>0</v>
      </c>
      <c r="K16" s="1165">
        <v>0</v>
      </c>
      <c r="L16" s="1165">
        <v>0</v>
      </c>
      <c r="M16" s="1277">
        <f t="shared" si="3"/>
        <v>0</v>
      </c>
      <c r="N16" s="1164">
        <v>0</v>
      </c>
      <c r="O16" s="1165">
        <v>0</v>
      </c>
      <c r="P16" s="1165">
        <v>0</v>
      </c>
      <c r="Q16" s="1277">
        <f t="shared" si="4"/>
        <v>0</v>
      </c>
      <c r="R16" s="1164">
        <v>0</v>
      </c>
      <c r="S16" s="1165">
        <v>0</v>
      </c>
      <c r="T16" s="1165">
        <v>0</v>
      </c>
      <c r="U16" s="1277">
        <f t="shared" si="5"/>
        <v>0</v>
      </c>
      <c r="V16" s="1164">
        <v>0</v>
      </c>
      <c r="W16" s="1165">
        <v>0</v>
      </c>
      <c r="X16" s="1165">
        <v>0</v>
      </c>
      <c r="Y16" s="1277">
        <f t="shared" si="6"/>
        <v>0</v>
      </c>
      <c r="Z16" s="1164">
        <v>0</v>
      </c>
      <c r="AA16" s="1165">
        <v>0</v>
      </c>
      <c r="AB16" s="1165">
        <v>0</v>
      </c>
      <c r="AC16" s="1277">
        <f t="shared" si="7"/>
        <v>0</v>
      </c>
      <c r="AD16" s="1286">
        <f t="shared" si="8"/>
        <v>0</v>
      </c>
      <c r="AE16" s="1293">
        <f t="shared" si="0"/>
        <v>0</v>
      </c>
      <c r="AF16" s="1289">
        <f t="shared" si="0"/>
        <v>0</v>
      </c>
      <c r="AG16" s="1277">
        <f t="shared" si="9"/>
        <v>0</v>
      </c>
    </row>
    <row r="17" spans="1:33" x14ac:dyDescent="0.25">
      <c r="A17" s="1250" t="s">
        <v>1426</v>
      </c>
      <c r="B17" s="1168">
        <v>0</v>
      </c>
      <c r="C17" s="1170">
        <v>0</v>
      </c>
      <c r="D17" s="1170">
        <v>0</v>
      </c>
      <c r="E17" s="1277">
        <f t="shared" si="1"/>
        <v>0</v>
      </c>
      <c r="F17" s="1168">
        <v>0</v>
      </c>
      <c r="G17" s="1170">
        <v>0</v>
      </c>
      <c r="H17" s="1170">
        <v>0</v>
      </c>
      <c r="I17" s="1277">
        <f t="shared" si="2"/>
        <v>0</v>
      </c>
      <c r="J17" s="1168">
        <v>0</v>
      </c>
      <c r="K17" s="1170">
        <v>0</v>
      </c>
      <c r="L17" s="1170">
        <v>0</v>
      </c>
      <c r="M17" s="1277">
        <f t="shared" si="3"/>
        <v>0</v>
      </c>
      <c r="N17" s="1168">
        <v>0</v>
      </c>
      <c r="O17" s="1170">
        <v>0</v>
      </c>
      <c r="P17" s="1170">
        <v>0</v>
      </c>
      <c r="Q17" s="1277">
        <f t="shared" si="4"/>
        <v>0</v>
      </c>
      <c r="R17" s="1168">
        <v>0</v>
      </c>
      <c r="S17" s="1170">
        <v>0</v>
      </c>
      <c r="T17" s="1170">
        <v>0</v>
      </c>
      <c r="U17" s="1277">
        <f t="shared" si="5"/>
        <v>0</v>
      </c>
      <c r="V17" s="1168">
        <v>0</v>
      </c>
      <c r="W17" s="1170">
        <v>0</v>
      </c>
      <c r="X17" s="1170">
        <v>0</v>
      </c>
      <c r="Y17" s="1277">
        <f t="shared" si="6"/>
        <v>0</v>
      </c>
      <c r="Z17" s="1168">
        <v>0</v>
      </c>
      <c r="AA17" s="1170">
        <v>0</v>
      </c>
      <c r="AB17" s="1170">
        <v>0</v>
      </c>
      <c r="AC17" s="1277">
        <f t="shared" si="7"/>
        <v>0</v>
      </c>
      <c r="AD17" s="1262">
        <f t="shared" si="8"/>
        <v>0</v>
      </c>
      <c r="AE17" s="1170">
        <f t="shared" si="0"/>
        <v>0</v>
      </c>
      <c r="AF17" s="1191">
        <f t="shared" si="0"/>
        <v>0</v>
      </c>
      <c r="AG17" s="1277">
        <f t="shared" si="9"/>
        <v>0</v>
      </c>
    </row>
    <row r="18" spans="1:33" x14ac:dyDescent="0.25">
      <c r="A18" s="1250" t="s">
        <v>1427</v>
      </c>
      <c r="B18" s="1168">
        <v>0</v>
      </c>
      <c r="C18" s="1170">
        <v>0</v>
      </c>
      <c r="D18" s="1170">
        <v>0</v>
      </c>
      <c r="E18" s="1277">
        <f t="shared" si="1"/>
        <v>0</v>
      </c>
      <c r="F18" s="1168">
        <v>0</v>
      </c>
      <c r="G18" s="1170">
        <v>0</v>
      </c>
      <c r="H18" s="1170">
        <v>0</v>
      </c>
      <c r="I18" s="1277">
        <f t="shared" si="2"/>
        <v>0</v>
      </c>
      <c r="J18" s="1168">
        <v>0</v>
      </c>
      <c r="K18" s="1170">
        <v>0</v>
      </c>
      <c r="L18" s="1170">
        <v>0</v>
      </c>
      <c r="M18" s="1277">
        <f t="shared" si="3"/>
        <v>0</v>
      </c>
      <c r="N18" s="1168">
        <v>0</v>
      </c>
      <c r="O18" s="1170">
        <v>0</v>
      </c>
      <c r="P18" s="1170">
        <v>0</v>
      </c>
      <c r="Q18" s="1277">
        <f t="shared" si="4"/>
        <v>0</v>
      </c>
      <c r="R18" s="1168">
        <v>0</v>
      </c>
      <c r="S18" s="1170">
        <v>0</v>
      </c>
      <c r="T18" s="1170">
        <v>0</v>
      </c>
      <c r="U18" s="1277">
        <f t="shared" si="5"/>
        <v>0</v>
      </c>
      <c r="V18" s="1168">
        <v>0</v>
      </c>
      <c r="W18" s="1170">
        <v>0</v>
      </c>
      <c r="X18" s="1170">
        <v>0</v>
      </c>
      <c r="Y18" s="1277">
        <f t="shared" si="6"/>
        <v>0</v>
      </c>
      <c r="Z18" s="1168">
        <v>0</v>
      </c>
      <c r="AA18" s="1170">
        <v>0</v>
      </c>
      <c r="AB18" s="1170">
        <v>0</v>
      </c>
      <c r="AC18" s="1277">
        <f t="shared" si="7"/>
        <v>0</v>
      </c>
      <c r="AD18" s="1262">
        <f t="shared" si="8"/>
        <v>0</v>
      </c>
      <c r="AE18" s="1170">
        <f t="shared" si="0"/>
        <v>0</v>
      </c>
      <c r="AF18" s="1191">
        <f t="shared" si="0"/>
        <v>0</v>
      </c>
      <c r="AG18" s="1277">
        <f t="shared" si="9"/>
        <v>0</v>
      </c>
    </row>
    <row r="19" spans="1:33" ht="13.8" thickBot="1" x14ac:dyDescent="0.3">
      <c r="A19" s="1252" t="s">
        <v>1428</v>
      </c>
      <c r="B19" s="1260">
        <f>SUM(B8:B18)</f>
        <v>276969229</v>
      </c>
      <c r="C19" s="1173">
        <f>SUM(C8:C18)</f>
        <v>138326303</v>
      </c>
      <c r="D19" s="1173">
        <f>SUM(D17:D18)</f>
        <v>0</v>
      </c>
      <c r="E19" s="1279">
        <f>SUM(E8:E18)</f>
        <v>415295532</v>
      </c>
      <c r="F19" s="1260">
        <f>SUM(F8:F18)</f>
        <v>38696254</v>
      </c>
      <c r="G19" s="1173">
        <f>SUM(G8:G18)</f>
        <v>0</v>
      </c>
      <c r="H19" s="1173">
        <f>SUM(H17:H18)</f>
        <v>0</v>
      </c>
      <c r="I19" s="1279">
        <f>SUM(I8:I18)</f>
        <v>38696254</v>
      </c>
      <c r="J19" s="1260">
        <f>SUM(J8:J18)</f>
        <v>187914021</v>
      </c>
      <c r="K19" s="1173">
        <f>SUM(K8:K18)</f>
        <v>0</v>
      </c>
      <c r="L19" s="1173">
        <f>SUM(L17:L18)</f>
        <v>0</v>
      </c>
      <c r="M19" s="1279">
        <f>SUM(M8:M18)</f>
        <v>187914021</v>
      </c>
      <c r="N19" s="1260">
        <f>SUM(N8:N18)</f>
        <v>62110969</v>
      </c>
      <c r="O19" s="1173">
        <f>SUM(O8:O18)</f>
        <v>0</v>
      </c>
      <c r="P19" s="1173">
        <f>SUM(P17:P18)</f>
        <v>0</v>
      </c>
      <c r="Q19" s="1279">
        <f>SUM(Q8:Q18)</f>
        <v>62110969</v>
      </c>
      <c r="R19" s="1260">
        <f>SUM(R8:R18)</f>
        <v>137287385</v>
      </c>
      <c r="S19" s="1173">
        <f>SUM(S8:S18)</f>
        <v>0</v>
      </c>
      <c r="T19" s="1173">
        <f>SUM(T17:T18)</f>
        <v>0</v>
      </c>
      <c r="U19" s="1279">
        <f>SUM(U8:U18)</f>
        <v>137287385</v>
      </c>
      <c r="V19" s="1260">
        <f>SUM(V8:V18)</f>
        <v>30341366</v>
      </c>
      <c r="W19" s="1173">
        <f>SUM(W8:W18)</f>
        <v>0</v>
      </c>
      <c r="X19" s="1174">
        <f>SUM(X17:X18)</f>
        <v>0</v>
      </c>
      <c r="Y19" s="1175">
        <f>SUM(Y8:Y18)</f>
        <v>30341366</v>
      </c>
      <c r="Z19" s="1260">
        <f>SUM(Z8:Z18)</f>
        <v>102230016</v>
      </c>
      <c r="AA19" s="1173">
        <f>SUM(AA8:AA18)</f>
        <v>0</v>
      </c>
      <c r="AB19" s="1174">
        <f>SUM(AB17:AB18)</f>
        <v>0</v>
      </c>
      <c r="AC19" s="1175">
        <f>SUM(AC8:AC18)</f>
        <v>102230016</v>
      </c>
      <c r="AD19" s="1260">
        <f>SUM(AD8:AD18)</f>
        <v>835549240</v>
      </c>
      <c r="AE19" s="1173">
        <f>SUM(AE8:AE18)</f>
        <v>138326303</v>
      </c>
      <c r="AF19" s="1290">
        <f>SUM(AF17:AF18)</f>
        <v>0</v>
      </c>
      <c r="AG19" s="1279">
        <f>SUM(AG8:AG18)</f>
        <v>973875543</v>
      </c>
    </row>
    <row r="20" spans="1:33" ht="15.6" x14ac:dyDescent="0.3">
      <c r="A20" s="1253" t="s">
        <v>1429</v>
      </c>
      <c r="B20" s="1261"/>
      <c r="C20" s="1178"/>
      <c r="D20" s="1178"/>
      <c r="E20" s="1179"/>
      <c r="F20" s="1261"/>
      <c r="G20" s="1178"/>
      <c r="H20" s="1178"/>
      <c r="I20" s="1280"/>
      <c r="J20" s="1261"/>
      <c r="K20" s="1178"/>
      <c r="L20" s="1178"/>
      <c r="M20" s="1179"/>
      <c r="N20" s="1261"/>
      <c r="O20" s="1178"/>
      <c r="P20" s="1178"/>
      <c r="Q20" s="1179"/>
      <c r="R20" s="1261"/>
      <c r="S20" s="1178"/>
      <c r="T20" s="1178"/>
      <c r="U20" s="1280"/>
      <c r="V20" s="1261"/>
      <c r="W20" s="1178"/>
      <c r="X20" s="1178"/>
      <c r="Y20" s="1179"/>
      <c r="Z20" s="1261"/>
      <c r="AA20" s="1178"/>
      <c r="AB20" s="1178"/>
      <c r="AC20" s="1179"/>
      <c r="AD20" s="1262">
        <f>+B20+F20+J20+N20+R20+V20+Z20</f>
        <v>0</v>
      </c>
      <c r="AE20" s="1170">
        <f t="shared" ref="AE20" si="10">+C20+G20+K20+O20+S20+W20+AA20</f>
        <v>0</v>
      </c>
      <c r="AF20" s="1191">
        <f t="shared" ref="AF20" si="11">+D20+H20+L20+P20+T20+X20+AB20</f>
        <v>0</v>
      </c>
      <c r="AG20" s="1179"/>
    </row>
    <row r="21" spans="1:33" ht="15.6" x14ac:dyDescent="0.3">
      <c r="A21" s="1189" t="s">
        <v>1430</v>
      </c>
      <c r="B21" s="1262">
        <v>0</v>
      </c>
      <c r="C21" s="1170">
        <v>233667739</v>
      </c>
      <c r="D21" s="1170">
        <v>0</v>
      </c>
      <c r="E21" s="1181">
        <f>SUM(B21:D21)</f>
        <v>233667739</v>
      </c>
      <c r="F21" s="1262">
        <v>0</v>
      </c>
      <c r="G21" s="1170">
        <v>0</v>
      </c>
      <c r="H21" s="1170">
        <v>0</v>
      </c>
      <c r="I21" s="1281">
        <f>SUM(F21:H21)</f>
        <v>0</v>
      </c>
      <c r="J21" s="1262">
        <v>0</v>
      </c>
      <c r="K21" s="1170">
        <v>0</v>
      </c>
      <c r="L21" s="1170">
        <v>0</v>
      </c>
      <c r="M21" s="1181">
        <f>SUM(J21:L21)</f>
        <v>0</v>
      </c>
      <c r="N21" s="1262">
        <v>0</v>
      </c>
      <c r="O21" s="1170">
        <v>0</v>
      </c>
      <c r="P21" s="1170">
        <v>0</v>
      </c>
      <c r="Q21" s="1181">
        <f>SUM(N21:P21)</f>
        <v>0</v>
      </c>
      <c r="R21" s="1262">
        <v>0</v>
      </c>
      <c r="S21" s="1170">
        <v>0</v>
      </c>
      <c r="T21" s="1170">
        <v>0</v>
      </c>
      <c r="U21" s="1281">
        <f>SUM(R21:T21)</f>
        <v>0</v>
      </c>
      <c r="V21" s="1262">
        <v>0</v>
      </c>
      <c r="W21" s="1170">
        <v>0</v>
      </c>
      <c r="X21" s="1170">
        <v>0</v>
      </c>
      <c r="Y21" s="1181">
        <f>SUM(V21:X21)</f>
        <v>0</v>
      </c>
      <c r="Z21" s="1262">
        <v>0</v>
      </c>
      <c r="AA21" s="1170">
        <v>0</v>
      </c>
      <c r="AB21" s="1170">
        <v>0</v>
      </c>
      <c r="AC21" s="1181">
        <f>SUM(Z21:AB21)</f>
        <v>0</v>
      </c>
      <c r="AD21" s="1262">
        <f t="shared" ref="AD21:AD22" si="12">+B21+F21+J21+N21+R21+V21+Z21</f>
        <v>0</v>
      </c>
      <c r="AE21" s="1170">
        <f t="shared" ref="AE21:AE22" si="13">+C21+G21+K21+O21+S21+W21+AA21</f>
        <v>233667739</v>
      </c>
      <c r="AF21" s="1191">
        <f t="shared" ref="AF21:AF22" si="14">+D21+H21+L21+P21+T21+X21+AB21</f>
        <v>0</v>
      </c>
      <c r="AG21" s="1181">
        <f>SUM(AD21:AF21)</f>
        <v>233667739</v>
      </c>
    </row>
    <row r="22" spans="1:33" ht="15.6" x14ac:dyDescent="0.3">
      <c r="A22" s="1189" t="s">
        <v>1431</v>
      </c>
      <c r="B22" s="1262">
        <v>0</v>
      </c>
      <c r="C22" s="1170">
        <v>0</v>
      </c>
      <c r="D22" s="1170">
        <v>0</v>
      </c>
      <c r="E22" s="1181">
        <f>SUM(B22:D22)</f>
        <v>0</v>
      </c>
      <c r="F22" s="1262">
        <v>0</v>
      </c>
      <c r="G22" s="1170">
        <v>22200</v>
      </c>
      <c r="H22" s="1170">
        <v>0</v>
      </c>
      <c r="I22" s="1181">
        <f>SUM(F22:H22)</f>
        <v>22200</v>
      </c>
      <c r="J22" s="1262">
        <v>0</v>
      </c>
      <c r="K22" s="1170">
        <v>1452453</v>
      </c>
      <c r="L22" s="1170">
        <v>0</v>
      </c>
      <c r="M22" s="1181">
        <f>SUM(J22:L22)</f>
        <v>1452453</v>
      </c>
      <c r="N22" s="1262">
        <v>0</v>
      </c>
      <c r="O22" s="1170">
        <v>802929</v>
      </c>
      <c r="P22" s="1170">
        <v>0</v>
      </c>
      <c r="Q22" s="1181">
        <f>SUM(N22:P22)</f>
        <v>802929</v>
      </c>
      <c r="R22" s="1262">
        <v>0</v>
      </c>
      <c r="S22" s="1170">
        <v>1606251</v>
      </c>
      <c r="T22" s="1170">
        <v>0</v>
      </c>
      <c r="U22" s="1281">
        <f>SUM(R22:T22)</f>
        <v>1606251</v>
      </c>
      <c r="V22" s="1262">
        <v>0</v>
      </c>
      <c r="W22" s="1170">
        <v>280740</v>
      </c>
      <c r="X22" s="1170">
        <v>0</v>
      </c>
      <c r="Y22" s="1181">
        <f>SUM(V22:X22)</f>
        <v>280740</v>
      </c>
      <c r="Z22" s="1262">
        <v>0</v>
      </c>
      <c r="AA22" s="1170">
        <v>0</v>
      </c>
      <c r="AB22" s="1170">
        <v>0</v>
      </c>
      <c r="AC22" s="1181">
        <f>SUM(Z22:AB22)</f>
        <v>0</v>
      </c>
      <c r="AD22" s="1262">
        <f t="shared" si="12"/>
        <v>0</v>
      </c>
      <c r="AE22" s="1170">
        <f t="shared" si="13"/>
        <v>4164573</v>
      </c>
      <c r="AF22" s="1191">
        <f t="shared" si="14"/>
        <v>0</v>
      </c>
      <c r="AG22" s="1181">
        <f>SUM(AD22:AF22)</f>
        <v>4164573</v>
      </c>
    </row>
    <row r="23" spans="1:33" ht="16.2" thickBot="1" x14ac:dyDescent="0.35">
      <c r="A23" s="1254" t="s">
        <v>1432</v>
      </c>
      <c r="B23" s="1263">
        <f t="shared" ref="B23:AG23" si="15">SUM(B21:B22)</f>
        <v>0</v>
      </c>
      <c r="C23" s="1183">
        <f t="shared" si="15"/>
        <v>233667739</v>
      </c>
      <c r="D23" s="1183">
        <f t="shared" si="15"/>
        <v>0</v>
      </c>
      <c r="E23" s="1184">
        <f t="shared" si="15"/>
        <v>233667739</v>
      </c>
      <c r="F23" s="1263">
        <f t="shared" si="15"/>
        <v>0</v>
      </c>
      <c r="G23" s="1183">
        <f t="shared" si="15"/>
        <v>22200</v>
      </c>
      <c r="H23" s="1183">
        <f t="shared" si="15"/>
        <v>0</v>
      </c>
      <c r="I23" s="1184">
        <f t="shared" si="15"/>
        <v>22200</v>
      </c>
      <c r="J23" s="1263">
        <f t="shared" si="15"/>
        <v>0</v>
      </c>
      <c r="K23" s="1183">
        <f t="shared" si="15"/>
        <v>1452453</v>
      </c>
      <c r="L23" s="1183">
        <f t="shared" si="15"/>
        <v>0</v>
      </c>
      <c r="M23" s="1184">
        <f t="shared" si="15"/>
        <v>1452453</v>
      </c>
      <c r="N23" s="1263">
        <f t="shared" si="15"/>
        <v>0</v>
      </c>
      <c r="O23" s="1183">
        <f t="shared" si="15"/>
        <v>802929</v>
      </c>
      <c r="P23" s="1183">
        <f t="shared" si="15"/>
        <v>0</v>
      </c>
      <c r="Q23" s="1184">
        <f t="shared" si="15"/>
        <v>802929</v>
      </c>
      <c r="R23" s="1263">
        <f t="shared" si="15"/>
        <v>0</v>
      </c>
      <c r="S23" s="1183">
        <f t="shared" si="15"/>
        <v>1606251</v>
      </c>
      <c r="T23" s="1183">
        <f t="shared" si="15"/>
        <v>0</v>
      </c>
      <c r="U23" s="1278">
        <f t="shared" si="15"/>
        <v>1606251</v>
      </c>
      <c r="V23" s="1263">
        <f t="shared" si="15"/>
        <v>0</v>
      </c>
      <c r="W23" s="1183">
        <f t="shared" si="15"/>
        <v>280740</v>
      </c>
      <c r="X23" s="1183">
        <f t="shared" si="15"/>
        <v>0</v>
      </c>
      <c r="Y23" s="1184">
        <f t="shared" si="15"/>
        <v>280740</v>
      </c>
      <c r="Z23" s="1263">
        <f t="shared" si="15"/>
        <v>0</v>
      </c>
      <c r="AA23" s="1183">
        <f t="shared" si="15"/>
        <v>0</v>
      </c>
      <c r="AB23" s="1183">
        <f t="shared" si="15"/>
        <v>0</v>
      </c>
      <c r="AC23" s="1184">
        <f t="shared" si="15"/>
        <v>0</v>
      </c>
      <c r="AD23" s="1263">
        <f t="shared" si="15"/>
        <v>0</v>
      </c>
      <c r="AE23" s="1183">
        <f t="shared" si="15"/>
        <v>237832312</v>
      </c>
      <c r="AF23" s="1291">
        <f t="shared" si="15"/>
        <v>0</v>
      </c>
      <c r="AG23" s="1184">
        <f t="shared" si="15"/>
        <v>237832312</v>
      </c>
    </row>
    <row r="24" spans="1:33" ht="15.6" x14ac:dyDescent="0.3">
      <c r="A24" s="1253" t="s">
        <v>1433</v>
      </c>
      <c r="B24" s="1264"/>
      <c r="C24" s="1185"/>
      <c r="D24" s="1185"/>
      <c r="E24" s="1179"/>
      <c r="F24" s="1264"/>
      <c r="G24" s="1185"/>
      <c r="H24" s="1185"/>
      <c r="I24" s="1179"/>
      <c r="J24" s="1264"/>
      <c r="K24" s="1185"/>
      <c r="L24" s="1185"/>
      <c r="M24" s="1179"/>
      <c r="N24" s="1264"/>
      <c r="O24" s="1185"/>
      <c r="P24" s="1185"/>
      <c r="Q24" s="1179"/>
      <c r="R24" s="1264"/>
      <c r="S24" s="1185"/>
      <c r="T24" s="1185"/>
      <c r="U24" s="1280"/>
      <c r="V24" s="1264"/>
      <c r="W24" s="1185"/>
      <c r="X24" s="1185"/>
      <c r="Y24" s="1179"/>
      <c r="Z24" s="1264"/>
      <c r="AA24" s="1185"/>
      <c r="AB24" s="1185"/>
      <c r="AC24" s="1179"/>
      <c r="AD24" s="1262">
        <f>+B24+F24+J24+N24+R24+V24+Z24</f>
        <v>0</v>
      </c>
      <c r="AE24" s="1170">
        <f t="shared" ref="AE24" si="16">+C24+G24+K24+O24+S24+W24+AA24</f>
        <v>0</v>
      </c>
      <c r="AF24" s="1191">
        <f t="shared" ref="AF24" si="17">+D24+H24+L24+P24+T24+X24+AB24</f>
        <v>0</v>
      </c>
      <c r="AG24" s="1179"/>
    </row>
    <row r="25" spans="1:33" ht="15.6" x14ac:dyDescent="0.3">
      <c r="A25" s="1189" t="s">
        <v>1430</v>
      </c>
      <c r="B25" s="1262">
        <v>0</v>
      </c>
      <c r="C25" s="1170">
        <v>223547903</v>
      </c>
      <c r="D25" s="1170">
        <v>0</v>
      </c>
      <c r="E25" s="1181">
        <f>SUM(B25:D25)</f>
        <v>223547903</v>
      </c>
      <c r="F25" s="1262">
        <v>0</v>
      </c>
      <c r="G25" s="1170">
        <v>0</v>
      </c>
      <c r="H25" s="1170">
        <v>0</v>
      </c>
      <c r="I25" s="1181">
        <f>SUM(F25:H25)</f>
        <v>0</v>
      </c>
      <c r="J25" s="1262">
        <v>0</v>
      </c>
      <c r="K25" s="1170">
        <v>0</v>
      </c>
      <c r="L25" s="1170">
        <v>0</v>
      </c>
      <c r="M25" s="1181">
        <f>SUM(J25:L25)</f>
        <v>0</v>
      </c>
      <c r="N25" s="1262">
        <v>0</v>
      </c>
      <c r="O25" s="1170">
        <v>0</v>
      </c>
      <c r="P25" s="1170">
        <v>0</v>
      </c>
      <c r="Q25" s="1181">
        <f>SUM(N25:P25)</f>
        <v>0</v>
      </c>
      <c r="R25" s="1262">
        <v>0</v>
      </c>
      <c r="S25" s="1170">
        <v>0</v>
      </c>
      <c r="T25" s="1170">
        <v>0</v>
      </c>
      <c r="U25" s="1281">
        <f>SUM(R25:T25)</f>
        <v>0</v>
      </c>
      <c r="V25" s="1262">
        <v>0</v>
      </c>
      <c r="W25" s="1170">
        <v>0</v>
      </c>
      <c r="X25" s="1170">
        <v>0</v>
      </c>
      <c r="Y25" s="1181">
        <f>SUM(V25:X25)</f>
        <v>0</v>
      </c>
      <c r="Z25" s="1262">
        <v>0</v>
      </c>
      <c r="AA25" s="1170">
        <v>0</v>
      </c>
      <c r="AB25" s="1170">
        <v>0</v>
      </c>
      <c r="AC25" s="1181">
        <f>SUM(Z25:AB25)</f>
        <v>0</v>
      </c>
      <c r="AD25" s="1262">
        <f>+B25+F25+J25+N25+R25+V25+Z25</f>
        <v>0</v>
      </c>
      <c r="AE25" s="1170">
        <f t="shared" ref="AE25" si="18">+C25+G25+K25+O25+S25+W25+AA25</f>
        <v>223547903</v>
      </c>
      <c r="AF25" s="1191">
        <f t="shared" ref="AF25" si="19">+D25+H25+L25+P25+T25+X25+AB25</f>
        <v>0</v>
      </c>
      <c r="AG25" s="1181">
        <f>SUM(AD25:AF25)</f>
        <v>223547903</v>
      </c>
    </row>
    <row r="26" spans="1:33" ht="16.2" thickBot="1" x14ac:dyDescent="0.35">
      <c r="A26" s="1254" t="s">
        <v>1434</v>
      </c>
      <c r="B26" s="1263">
        <f t="shared" ref="B26:AG26" si="20">SUM(B25:B25)</f>
        <v>0</v>
      </c>
      <c r="C26" s="1183">
        <f t="shared" si="20"/>
        <v>223547903</v>
      </c>
      <c r="D26" s="1183">
        <f t="shared" si="20"/>
        <v>0</v>
      </c>
      <c r="E26" s="1184">
        <f t="shared" si="20"/>
        <v>223547903</v>
      </c>
      <c r="F26" s="1263">
        <f t="shared" si="20"/>
        <v>0</v>
      </c>
      <c r="G26" s="1183">
        <f t="shared" si="20"/>
        <v>0</v>
      </c>
      <c r="H26" s="1183">
        <f t="shared" si="20"/>
        <v>0</v>
      </c>
      <c r="I26" s="1184">
        <f t="shared" si="20"/>
        <v>0</v>
      </c>
      <c r="J26" s="1263">
        <f t="shared" si="20"/>
        <v>0</v>
      </c>
      <c r="K26" s="1183">
        <f t="shared" si="20"/>
        <v>0</v>
      </c>
      <c r="L26" s="1183">
        <f t="shared" si="20"/>
        <v>0</v>
      </c>
      <c r="M26" s="1184">
        <f t="shared" si="20"/>
        <v>0</v>
      </c>
      <c r="N26" s="1263">
        <f t="shared" si="20"/>
        <v>0</v>
      </c>
      <c r="O26" s="1183">
        <f t="shared" si="20"/>
        <v>0</v>
      </c>
      <c r="P26" s="1183">
        <f t="shared" si="20"/>
        <v>0</v>
      </c>
      <c r="Q26" s="1184">
        <f t="shared" si="20"/>
        <v>0</v>
      </c>
      <c r="R26" s="1263">
        <f t="shared" si="20"/>
        <v>0</v>
      </c>
      <c r="S26" s="1183">
        <f t="shared" si="20"/>
        <v>0</v>
      </c>
      <c r="T26" s="1183">
        <f t="shared" si="20"/>
        <v>0</v>
      </c>
      <c r="U26" s="1278">
        <f t="shared" si="20"/>
        <v>0</v>
      </c>
      <c r="V26" s="1263">
        <f t="shared" si="20"/>
        <v>0</v>
      </c>
      <c r="W26" s="1183">
        <f t="shared" si="20"/>
        <v>0</v>
      </c>
      <c r="X26" s="1183">
        <f t="shared" si="20"/>
        <v>0</v>
      </c>
      <c r="Y26" s="1184">
        <f t="shared" si="20"/>
        <v>0</v>
      </c>
      <c r="Z26" s="1263">
        <f t="shared" si="20"/>
        <v>0</v>
      </c>
      <c r="AA26" s="1183">
        <f t="shared" si="20"/>
        <v>0</v>
      </c>
      <c r="AB26" s="1183">
        <f t="shared" si="20"/>
        <v>0</v>
      </c>
      <c r="AC26" s="1184">
        <f t="shared" si="20"/>
        <v>0</v>
      </c>
      <c r="AD26" s="1263">
        <f t="shared" si="20"/>
        <v>0</v>
      </c>
      <c r="AE26" s="1183">
        <f t="shared" si="20"/>
        <v>223547903</v>
      </c>
      <c r="AF26" s="1183">
        <f t="shared" si="20"/>
        <v>0</v>
      </c>
      <c r="AG26" s="1184">
        <f t="shared" si="20"/>
        <v>223547903</v>
      </c>
    </row>
    <row r="27" spans="1:33" ht="15.6" x14ac:dyDescent="0.3">
      <c r="A27" s="1255" t="s">
        <v>1435</v>
      </c>
      <c r="B27" s="1265"/>
      <c r="C27" s="1187"/>
      <c r="D27" s="1187"/>
      <c r="E27" s="1188"/>
      <c r="F27" s="1265"/>
      <c r="G27" s="1187"/>
      <c r="H27" s="1187"/>
      <c r="I27" s="1188"/>
      <c r="J27" s="1265"/>
      <c r="K27" s="1187"/>
      <c r="L27" s="1187"/>
      <c r="M27" s="1188"/>
      <c r="N27" s="1265"/>
      <c r="O27" s="1187"/>
      <c r="P27" s="1187"/>
      <c r="Q27" s="1188"/>
      <c r="R27" s="1265"/>
      <c r="S27" s="1187"/>
      <c r="T27" s="1187"/>
      <c r="U27" s="1277"/>
      <c r="V27" s="1265"/>
      <c r="W27" s="1187"/>
      <c r="X27" s="1187"/>
      <c r="Y27" s="1188"/>
      <c r="Z27" s="1265"/>
      <c r="AA27" s="1187"/>
      <c r="AB27" s="1187"/>
      <c r="AC27" s="1188"/>
      <c r="AD27" s="1265"/>
      <c r="AE27" s="1187"/>
      <c r="AF27" s="1187"/>
      <c r="AG27" s="1188"/>
    </row>
    <row r="28" spans="1:33" ht="15.6" x14ac:dyDescent="0.3">
      <c r="A28" s="1189" t="s">
        <v>1436</v>
      </c>
      <c r="B28" s="1266">
        <v>0</v>
      </c>
      <c r="C28" s="1191">
        <v>0</v>
      </c>
      <c r="D28" s="1170">
        <v>0</v>
      </c>
      <c r="E28" s="1181">
        <f>SUM(B28:D28)</f>
        <v>0</v>
      </c>
      <c r="F28" s="1266">
        <v>0</v>
      </c>
      <c r="G28" s="1191">
        <v>0</v>
      </c>
      <c r="H28" s="1170">
        <v>0</v>
      </c>
      <c r="I28" s="1181">
        <f>SUM(F28:H28)</f>
        <v>0</v>
      </c>
      <c r="J28" s="1266">
        <v>0</v>
      </c>
      <c r="K28" s="1191">
        <v>0</v>
      </c>
      <c r="L28" s="1170">
        <v>0</v>
      </c>
      <c r="M28" s="1181">
        <f>SUM(J28:L28)</f>
        <v>0</v>
      </c>
      <c r="N28" s="1266">
        <v>0</v>
      </c>
      <c r="O28" s="1191">
        <v>0</v>
      </c>
      <c r="P28" s="1170">
        <v>0</v>
      </c>
      <c r="Q28" s="1181">
        <f>SUM(N28:P28)</f>
        <v>0</v>
      </c>
      <c r="R28" s="1266">
        <v>0</v>
      </c>
      <c r="S28" s="1191">
        <v>0</v>
      </c>
      <c r="T28" s="1170">
        <v>0</v>
      </c>
      <c r="U28" s="1281">
        <f>SUM(R28:T28)</f>
        <v>0</v>
      </c>
      <c r="V28" s="1266">
        <v>0</v>
      </c>
      <c r="W28" s="1191">
        <v>0</v>
      </c>
      <c r="X28" s="1170">
        <v>0</v>
      </c>
      <c r="Y28" s="1181">
        <f>SUM(V28:X28)</f>
        <v>0</v>
      </c>
      <c r="Z28" s="1266">
        <v>0</v>
      </c>
      <c r="AA28" s="1191">
        <v>0</v>
      </c>
      <c r="AB28" s="1170">
        <v>0</v>
      </c>
      <c r="AC28" s="1181">
        <f>SUM(Z28:AB28)</f>
        <v>0</v>
      </c>
      <c r="AD28" s="1262">
        <f t="shared" ref="AD28:AD30" si="21">+B28+F28+J28+N28+R28+V28+Z28</f>
        <v>0</v>
      </c>
      <c r="AE28" s="1170">
        <f t="shared" ref="AE28:AE30" si="22">+C28+G28+K28+O28+S28+W28+AA28</f>
        <v>0</v>
      </c>
      <c r="AF28" s="1191">
        <f t="shared" ref="AF28:AF30" si="23">+D28+H28+L28+P28+T28+X28+AB28</f>
        <v>0</v>
      </c>
      <c r="AG28" s="1181">
        <f>SUM(AD28:AF28)</f>
        <v>0</v>
      </c>
    </row>
    <row r="29" spans="1:33" ht="15.6" x14ac:dyDescent="0.3">
      <c r="A29" s="1189" t="s">
        <v>1437</v>
      </c>
      <c r="B29" s="1266">
        <v>0</v>
      </c>
      <c r="C29" s="1190">
        <v>0</v>
      </c>
      <c r="D29" s="1169">
        <v>0</v>
      </c>
      <c r="E29" s="1181">
        <f>SUM(B29:D29)</f>
        <v>0</v>
      </c>
      <c r="F29" s="1266">
        <v>0</v>
      </c>
      <c r="G29" s="1190">
        <v>0</v>
      </c>
      <c r="H29" s="1169">
        <v>0</v>
      </c>
      <c r="I29" s="1181">
        <f>SUM(F29:H29)</f>
        <v>0</v>
      </c>
      <c r="J29" s="1266">
        <v>0</v>
      </c>
      <c r="K29" s="1190">
        <v>0</v>
      </c>
      <c r="L29" s="1169">
        <v>0</v>
      </c>
      <c r="M29" s="1181">
        <f>SUM(J29:L29)</f>
        <v>0</v>
      </c>
      <c r="N29" s="1266">
        <v>0</v>
      </c>
      <c r="O29" s="1190">
        <v>0</v>
      </c>
      <c r="P29" s="1169">
        <v>0</v>
      </c>
      <c r="Q29" s="1181">
        <f>SUM(N29:P29)</f>
        <v>0</v>
      </c>
      <c r="R29" s="1266">
        <v>0</v>
      </c>
      <c r="S29" s="1190">
        <v>0</v>
      </c>
      <c r="T29" s="1169">
        <v>0</v>
      </c>
      <c r="U29" s="1281">
        <f>SUM(R29:T29)</f>
        <v>0</v>
      </c>
      <c r="V29" s="1266">
        <v>0</v>
      </c>
      <c r="W29" s="1190">
        <v>0</v>
      </c>
      <c r="X29" s="1169">
        <v>0</v>
      </c>
      <c r="Y29" s="1181">
        <f>SUM(V29:X29)</f>
        <v>0</v>
      </c>
      <c r="Z29" s="1266">
        <v>0</v>
      </c>
      <c r="AA29" s="1190">
        <v>0</v>
      </c>
      <c r="AB29" s="1169">
        <v>0</v>
      </c>
      <c r="AC29" s="1181">
        <f>SUM(Z29:AB29)</f>
        <v>0</v>
      </c>
      <c r="AD29" s="1262">
        <f t="shared" si="21"/>
        <v>0</v>
      </c>
      <c r="AE29" s="1170">
        <f t="shared" si="22"/>
        <v>0</v>
      </c>
      <c r="AF29" s="1191">
        <f t="shared" si="23"/>
        <v>0</v>
      </c>
      <c r="AG29" s="1181">
        <f>SUM(AD29:AF29)</f>
        <v>0</v>
      </c>
    </row>
    <row r="30" spans="1:33" ht="15.6" x14ac:dyDescent="0.3">
      <c r="A30" s="1189" t="s">
        <v>1438</v>
      </c>
      <c r="B30" s="1266">
        <v>0</v>
      </c>
      <c r="C30" s="1170">
        <v>0</v>
      </c>
      <c r="D30" s="1169">
        <v>0</v>
      </c>
      <c r="E30" s="1181">
        <f>SUM(B30:D30)</f>
        <v>0</v>
      </c>
      <c r="F30" s="1266">
        <v>0</v>
      </c>
      <c r="G30" s="1170">
        <v>0</v>
      </c>
      <c r="H30" s="1169">
        <v>0</v>
      </c>
      <c r="I30" s="1181">
        <f>SUM(F30:H30)</f>
        <v>0</v>
      </c>
      <c r="J30" s="1266">
        <v>0</v>
      </c>
      <c r="K30" s="1170">
        <v>0</v>
      </c>
      <c r="L30" s="1169">
        <v>0</v>
      </c>
      <c r="M30" s="1181">
        <f>SUM(J30:L30)</f>
        <v>0</v>
      </c>
      <c r="N30" s="1266">
        <v>0</v>
      </c>
      <c r="O30" s="1170">
        <v>0</v>
      </c>
      <c r="P30" s="1169">
        <v>0</v>
      </c>
      <c r="Q30" s="1181">
        <f>SUM(N30:P30)</f>
        <v>0</v>
      </c>
      <c r="R30" s="1266">
        <v>0</v>
      </c>
      <c r="S30" s="1170">
        <v>0</v>
      </c>
      <c r="T30" s="1169">
        <v>0</v>
      </c>
      <c r="U30" s="1281">
        <f>SUM(R30:T30)</f>
        <v>0</v>
      </c>
      <c r="V30" s="1266">
        <v>0</v>
      </c>
      <c r="W30" s="1170">
        <v>0</v>
      </c>
      <c r="X30" s="1169">
        <v>0</v>
      </c>
      <c r="Y30" s="1181">
        <f>SUM(V30:X30)</f>
        <v>0</v>
      </c>
      <c r="Z30" s="1266">
        <v>0</v>
      </c>
      <c r="AA30" s="1170">
        <v>0</v>
      </c>
      <c r="AB30" s="1169">
        <v>0</v>
      </c>
      <c r="AC30" s="1181">
        <f>SUM(Z30:AB30)</f>
        <v>0</v>
      </c>
      <c r="AD30" s="1262">
        <f t="shared" si="21"/>
        <v>0</v>
      </c>
      <c r="AE30" s="1170">
        <f t="shared" si="22"/>
        <v>0</v>
      </c>
      <c r="AF30" s="1191">
        <f t="shared" si="23"/>
        <v>0</v>
      </c>
      <c r="AG30" s="1181">
        <f>SUM(AD30:AF30)</f>
        <v>0</v>
      </c>
    </row>
    <row r="31" spans="1:33" ht="15.6" x14ac:dyDescent="0.3">
      <c r="A31" s="1256" t="s">
        <v>1439</v>
      </c>
      <c r="B31" s="1267">
        <f t="shared" ref="B31:AG31" si="24">SUM(B28:B30)</f>
        <v>0</v>
      </c>
      <c r="C31" s="1193">
        <f t="shared" si="24"/>
        <v>0</v>
      </c>
      <c r="D31" s="1193">
        <f t="shared" si="24"/>
        <v>0</v>
      </c>
      <c r="E31" s="1181">
        <f t="shared" si="24"/>
        <v>0</v>
      </c>
      <c r="F31" s="1267">
        <f t="shared" si="24"/>
        <v>0</v>
      </c>
      <c r="G31" s="1193">
        <f t="shared" si="24"/>
        <v>0</v>
      </c>
      <c r="H31" s="1193">
        <f t="shared" si="24"/>
        <v>0</v>
      </c>
      <c r="I31" s="1181">
        <f t="shared" si="24"/>
        <v>0</v>
      </c>
      <c r="J31" s="1267">
        <f t="shared" si="24"/>
        <v>0</v>
      </c>
      <c r="K31" s="1193">
        <f t="shared" si="24"/>
        <v>0</v>
      </c>
      <c r="L31" s="1193">
        <f t="shared" si="24"/>
        <v>0</v>
      </c>
      <c r="M31" s="1181">
        <f t="shared" si="24"/>
        <v>0</v>
      </c>
      <c r="N31" s="1267">
        <f t="shared" si="24"/>
        <v>0</v>
      </c>
      <c r="O31" s="1193">
        <f t="shared" si="24"/>
        <v>0</v>
      </c>
      <c r="P31" s="1193">
        <f t="shared" si="24"/>
        <v>0</v>
      </c>
      <c r="Q31" s="1181">
        <f t="shared" si="24"/>
        <v>0</v>
      </c>
      <c r="R31" s="1267">
        <f t="shared" si="24"/>
        <v>0</v>
      </c>
      <c r="S31" s="1193">
        <f t="shared" si="24"/>
        <v>0</v>
      </c>
      <c r="T31" s="1193">
        <f t="shared" si="24"/>
        <v>0</v>
      </c>
      <c r="U31" s="1281">
        <f t="shared" si="24"/>
        <v>0</v>
      </c>
      <c r="V31" s="1267">
        <f t="shared" si="24"/>
        <v>0</v>
      </c>
      <c r="W31" s="1193">
        <f t="shared" si="24"/>
        <v>0</v>
      </c>
      <c r="X31" s="1193">
        <f t="shared" si="24"/>
        <v>0</v>
      </c>
      <c r="Y31" s="1181">
        <f t="shared" si="24"/>
        <v>0</v>
      </c>
      <c r="Z31" s="1267">
        <f t="shared" si="24"/>
        <v>0</v>
      </c>
      <c r="AA31" s="1193">
        <f t="shared" si="24"/>
        <v>0</v>
      </c>
      <c r="AB31" s="1193">
        <f t="shared" si="24"/>
        <v>0</v>
      </c>
      <c r="AC31" s="1181">
        <f t="shared" si="24"/>
        <v>0</v>
      </c>
      <c r="AD31" s="1267">
        <f t="shared" si="24"/>
        <v>0</v>
      </c>
      <c r="AE31" s="1193">
        <f t="shared" si="24"/>
        <v>0</v>
      </c>
      <c r="AF31" s="1193">
        <f t="shared" si="24"/>
        <v>0</v>
      </c>
      <c r="AG31" s="1181">
        <f t="shared" si="24"/>
        <v>0</v>
      </c>
    </row>
    <row r="32" spans="1:33" s="1197" customFormat="1" ht="15.6" x14ac:dyDescent="0.3">
      <c r="A32" s="1257" t="s">
        <v>1440</v>
      </c>
      <c r="B32" s="1268">
        <f t="shared" ref="B32:AG32" si="25">SUM(B23,B26,B31)</f>
        <v>0</v>
      </c>
      <c r="C32" s="1195">
        <f t="shared" si="25"/>
        <v>457215642</v>
      </c>
      <c r="D32" s="1195">
        <f t="shared" si="25"/>
        <v>0</v>
      </c>
      <c r="E32" s="1196">
        <f t="shared" si="25"/>
        <v>457215642</v>
      </c>
      <c r="F32" s="1268">
        <f t="shared" si="25"/>
        <v>0</v>
      </c>
      <c r="G32" s="1195">
        <f t="shared" si="25"/>
        <v>22200</v>
      </c>
      <c r="H32" s="1195">
        <f t="shared" si="25"/>
        <v>0</v>
      </c>
      <c r="I32" s="1196">
        <f t="shared" si="25"/>
        <v>22200</v>
      </c>
      <c r="J32" s="1268">
        <f t="shared" si="25"/>
        <v>0</v>
      </c>
      <c r="K32" s="1195">
        <f t="shared" si="25"/>
        <v>1452453</v>
      </c>
      <c r="L32" s="1195">
        <f t="shared" si="25"/>
        <v>0</v>
      </c>
      <c r="M32" s="1196">
        <f t="shared" si="25"/>
        <v>1452453</v>
      </c>
      <c r="N32" s="1268">
        <f t="shared" si="25"/>
        <v>0</v>
      </c>
      <c r="O32" s="1195">
        <f t="shared" si="25"/>
        <v>802929</v>
      </c>
      <c r="P32" s="1195">
        <f t="shared" si="25"/>
        <v>0</v>
      </c>
      <c r="Q32" s="1196">
        <f t="shared" si="25"/>
        <v>802929</v>
      </c>
      <c r="R32" s="1268">
        <f t="shared" si="25"/>
        <v>0</v>
      </c>
      <c r="S32" s="1195">
        <f t="shared" si="25"/>
        <v>1606251</v>
      </c>
      <c r="T32" s="1195">
        <f t="shared" si="25"/>
        <v>0</v>
      </c>
      <c r="U32" s="1282">
        <f t="shared" si="25"/>
        <v>1606251</v>
      </c>
      <c r="V32" s="1268">
        <f t="shared" si="25"/>
        <v>0</v>
      </c>
      <c r="W32" s="1195">
        <f t="shared" si="25"/>
        <v>280740</v>
      </c>
      <c r="X32" s="1195">
        <f t="shared" si="25"/>
        <v>0</v>
      </c>
      <c r="Y32" s="1196">
        <f t="shared" si="25"/>
        <v>280740</v>
      </c>
      <c r="Z32" s="1268">
        <f t="shared" si="25"/>
        <v>0</v>
      </c>
      <c r="AA32" s="1195">
        <f t="shared" si="25"/>
        <v>0</v>
      </c>
      <c r="AB32" s="1195">
        <f t="shared" si="25"/>
        <v>0</v>
      </c>
      <c r="AC32" s="1196">
        <f t="shared" si="25"/>
        <v>0</v>
      </c>
      <c r="AD32" s="1268">
        <f t="shared" si="25"/>
        <v>0</v>
      </c>
      <c r="AE32" s="1195">
        <f t="shared" si="25"/>
        <v>461380215</v>
      </c>
      <c r="AF32" s="1195">
        <f t="shared" si="25"/>
        <v>0</v>
      </c>
      <c r="AG32" s="1196">
        <f t="shared" si="25"/>
        <v>461380215</v>
      </c>
    </row>
    <row r="33" spans="1:33" ht="15.6" x14ac:dyDescent="0.3">
      <c r="A33" s="1258" t="s">
        <v>204</v>
      </c>
      <c r="B33" s="1262">
        <v>0</v>
      </c>
      <c r="C33" s="1169">
        <v>0</v>
      </c>
      <c r="D33" s="1169">
        <v>0</v>
      </c>
      <c r="E33" s="1181">
        <f>SUM(B33:D33)</f>
        <v>0</v>
      </c>
      <c r="F33" s="1262">
        <v>0</v>
      </c>
      <c r="G33" s="1169">
        <v>0</v>
      </c>
      <c r="H33" s="1169">
        <v>0</v>
      </c>
      <c r="I33" s="1181">
        <f>SUM(F33:H33)</f>
        <v>0</v>
      </c>
      <c r="J33" s="1262">
        <v>0</v>
      </c>
      <c r="K33" s="1169">
        <v>0</v>
      </c>
      <c r="L33" s="1169">
        <v>0</v>
      </c>
      <c r="M33" s="1181">
        <f>SUM(J33:L33)</f>
        <v>0</v>
      </c>
      <c r="N33" s="1262">
        <v>0</v>
      </c>
      <c r="O33" s="1169">
        <v>0</v>
      </c>
      <c r="P33" s="1169">
        <v>0</v>
      </c>
      <c r="Q33" s="1181">
        <f>SUM(N33:P33)</f>
        <v>0</v>
      </c>
      <c r="R33" s="1262">
        <v>0</v>
      </c>
      <c r="S33" s="1169">
        <v>0</v>
      </c>
      <c r="T33" s="1169">
        <v>0</v>
      </c>
      <c r="U33" s="1281">
        <f>SUM(R33:T33)</f>
        <v>0</v>
      </c>
      <c r="V33" s="1262">
        <v>0</v>
      </c>
      <c r="W33" s="1169">
        <v>0</v>
      </c>
      <c r="X33" s="1169">
        <v>0</v>
      </c>
      <c r="Y33" s="1181">
        <f>SUM(V33:X33)</f>
        <v>0</v>
      </c>
      <c r="Z33" s="1262">
        <v>0</v>
      </c>
      <c r="AA33" s="1169">
        <v>0</v>
      </c>
      <c r="AB33" s="1169">
        <v>0</v>
      </c>
      <c r="AC33" s="1181">
        <f>SUM(Z33:AB33)</f>
        <v>0</v>
      </c>
      <c r="AD33" s="1262">
        <f t="shared" ref="AD33:AD36" si="26">+B33+F33+J33+N33+R33+V33+Z33</f>
        <v>0</v>
      </c>
      <c r="AE33" s="1170">
        <f t="shared" ref="AE33:AE36" si="27">+C33+G33+K33+O33+S33+W33+AA33</f>
        <v>0</v>
      </c>
      <c r="AF33" s="1191">
        <f t="shared" ref="AF33:AF36" si="28">+D33+H33+L33+P33+T33+X33+AB33</f>
        <v>0</v>
      </c>
      <c r="AG33" s="1181">
        <f>SUM(AD33:AF33)</f>
        <v>0</v>
      </c>
    </row>
    <row r="34" spans="1:33" ht="15.6" x14ac:dyDescent="0.3">
      <c r="A34" s="1202" t="s">
        <v>212</v>
      </c>
      <c r="B34" s="1269">
        <v>0</v>
      </c>
      <c r="C34" s="1200">
        <v>0</v>
      </c>
      <c r="D34" s="1200">
        <v>0</v>
      </c>
      <c r="E34" s="1181">
        <f>SUM(B34:D34)</f>
        <v>0</v>
      </c>
      <c r="F34" s="1269">
        <v>0</v>
      </c>
      <c r="G34" s="1200">
        <v>0</v>
      </c>
      <c r="H34" s="1200">
        <v>0</v>
      </c>
      <c r="I34" s="1181">
        <f>SUM(F34:H34)</f>
        <v>0</v>
      </c>
      <c r="J34" s="1269">
        <v>0</v>
      </c>
      <c r="K34" s="1200">
        <v>0</v>
      </c>
      <c r="L34" s="1200">
        <v>0</v>
      </c>
      <c r="M34" s="1181">
        <f>SUM(J34:L34)</f>
        <v>0</v>
      </c>
      <c r="N34" s="1269">
        <v>0</v>
      </c>
      <c r="O34" s="1200">
        <v>0</v>
      </c>
      <c r="P34" s="1200">
        <v>0</v>
      </c>
      <c r="Q34" s="1181">
        <f>SUM(N34:P34)</f>
        <v>0</v>
      </c>
      <c r="R34" s="1269">
        <v>0</v>
      </c>
      <c r="S34" s="1200">
        <v>0</v>
      </c>
      <c r="T34" s="1200">
        <v>0</v>
      </c>
      <c r="U34" s="1281">
        <f>SUM(R34:T34)</f>
        <v>0</v>
      </c>
      <c r="V34" s="1269">
        <v>0</v>
      </c>
      <c r="W34" s="1200">
        <v>0</v>
      </c>
      <c r="X34" s="1200">
        <v>0</v>
      </c>
      <c r="Y34" s="1181">
        <f>SUM(V34:X34)</f>
        <v>0</v>
      </c>
      <c r="Z34" s="1269">
        <v>0</v>
      </c>
      <c r="AA34" s="1200">
        <v>0</v>
      </c>
      <c r="AB34" s="1200">
        <v>0</v>
      </c>
      <c r="AC34" s="1181">
        <f>SUM(Z34:AB34)</f>
        <v>0</v>
      </c>
      <c r="AD34" s="1262">
        <f t="shared" si="26"/>
        <v>0</v>
      </c>
      <c r="AE34" s="1170">
        <f t="shared" si="27"/>
        <v>0</v>
      </c>
      <c r="AF34" s="1191">
        <f t="shared" si="28"/>
        <v>0</v>
      </c>
      <c r="AG34" s="1181">
        <f>SUM(AD34:AF34)</f>
        <v>0</v>
      </c>
    </row>
    <row r="35" spans="1:33" ht="15.6" x14ac:dyDescent="0.3">
      <c r="A35" s="1202" t="s">
        <v>1441</v>
      </c>
      <c r="B35" s="1270">
        <v>17918748</v>
      </c>
      <c r="C35" s="1201">
        <v>0</v>
      </c>
      <c r="D35" s="1201">
        <v>0</v>
      </c>
      <c r="E35" s="1181">
        <f>SUM(B35:D35)</f>
        <v>17918748</v>
      </c>
      <c r="F35" s="1270">
        <v>0</v>
      </c>
      <c r="G35" s="1201">
        <v>0</v>
      </c>
      <c r="H35" s="1201">
        <v>0</v>
      </c>
      <c r="I35" s="1181">
        <f>SUM(F35:H35)</f>
        <v>0</v>
      </c>
      <c r="J35" s="1270">
        <v>0</v>
      </c>
      <c r="K35" s="1201">
        <v>0</v>
      </c>
      <c r="L35" s="1201">
        <v>0</v>
      </c>
      <c r="M35" s="1181">
        <f>SUM(J35:L35)</f>
        <v>0</v>
      </c>
      <c r="N35" s="1270">
        <v>0</v>
      </c>
      <c r="O35" s="1201">
        <v>0</v>
      </c>
      <c r="P35" s="1201">
        <v>0</v>
      </c>
      <c r="Q35" s="1181">
        <f>SUM(N35:P35)</f>
        <v>0</v>
      </c>
      <c r="R35" s="1270">
        <v>0</v>
      </c>
      <c r="S35" s="1201">
        <v>0</v>
      </c>
      <c r="T35" s="1201">
        <v>0</v>
      </c>
      <c r="U35" s="1281">
        <f>SUM(R35:T35)</f>
        <v>0</v>
      </c>
      <c r="V35" s="1270">
        <v>0</v>
      </c>
      <c r="W35" s="1201">
        <v>0</v>
      </c>
      <c r="X35" s="1201">
        <v>0</v>
      </c>
      <c r="Y35" s="1181">
        <f>SUM(V35:X35)</f>
        <v>0</v>
      </c>
      <c r="Z35" s="1270">
        <v>0</v>
      </c>
      <c r="AA35" s="1201">
        <v>0</v>
      </c>
      <c r="AB35" s="1201">
        <v>0</v>
      </c>
      <c r="AC35" s="1181">
        <f>SUM(Z35:AB35)</f>
        <v>0</v>
      </c>
      <c r="AD35" s="1262">
        <f t="shared" si="26"/>
        <v>17918748</v>
      </c>
      <c r="AE35" s="1170">
        <f t="shared" si="27"/>
        <v>0</v>
      </c>
      <c r="AF35" s="1191">
        <f t="shared" si="28"/>
        <v>0</v>
      </c>
      <c r="AG35" s="1181">
        <f>SUM(AD35:AF35)</f>
        <v>17918748</v>
      </c>
    </row>
    <row r="36" spans="1:33" ht="15.6" x14ac:dyDescent="0.3">
      <c r="A36" s="1202" t="s">
        <v>1442</v>
      </c>
      <c r="B36" s="1270">
        <v>0</v>
      </c>
      <c r="C36" s="1201">
        <v>0</v>
      </c>
      <c r="D36" s="1201">
        <v>0</v>
      </c>
      <c r="E36" s="1203"/>
      <c r="F36" s="1270">
        <v>0</v>
      </c>
      <c r="G36" s="1201">
        <v>0</v>
      </c>
      <c r="H36" s="1201">
        <v>0</v>
      </c>
      <c r="I36" s="1203"/>
      <c r="J36" s="1270">
        <v>0</v>
      </c>
      <c r="K36" s="1201">
        <v>0</v>
      </c>
      <c r="L36" s="1201">
        <v>0</v>
      </c>
      <c r="M36" s="1203"/>
      <c r="N36" s="1270">
        <v>0</v>
      </c>
      <c r="O36" s="1201">
        <v>0</v>
      </c>
      <c r="P36" s="1201">
        <v>0</v>
      </c>
      <c r="Q36" s="1203"/>
      <c r="R36" s="1270">
        <v>0</v>
      </c>
      <c r="S36" s="1201">
        <v>0</v>
      </c>
      <c r="T36" s="1201">
        <v>0</v>
      </c>
      <c r="U36" s="1283"/>
      <c r="V36" s="1270">
        <v>0</v>
      </c>
      <c r="W36" s="1201">
        <v>0</v>
      </c>
      <c r="X36" s="1201">
        <v>0</v>
      </c>
      <c r="Y36" s="1203"/>
      <c r="Z36" s="1270">
        <v>0</v>
      </c>
      <c r="AA36" s="1201">
        <v>0</v>
      </c>
      <c r="AB36" s="1201">
        <v>0</v>
      </c>
      <c r="AC36" s="1203"/>
      <c r="AD36" s="1262">
        <f t="shared" si="26"/>
        <v>0</v>
      </c>
      <c r="AE36" s="1170">
        <f t="shared" si="27"/>
        <v>0</v>
      </c>
      <c r="AF36" s="1191">
        <f t="shared" si="28"/>
        <v>0</v>
      </c>
      <c r="AG36" s="1203"/>
    </row>
    <row r="37" spans="1:33" ht="16.2" thickBot="1" x14ac:dyDescent="0.35">
      <c r="A37" s="1204" t="s">
        <v>1443</v>
      </c>
      <c r="B37" s="1271">
        <f t="shared" ref="B37:AG37" si="29">SUM(B33:B36)</f>
        <v>17918748</v>
      </c>
      <c r="C37" s="1205">
        <f t="shared" si="29"/>
        <v>0</v>
      </c>
      <c r="D37" s="1205">
        <f t="shared" si="29"/>
        <v>0</v>
      </c>
      <c r="E37" s="1206">
        <f t="shared" si="29"/>
        <v>17918748</v>
      </c>
      <c r="F37" s="1271">
        <f t="shared" si="29"/>
        <v>0</v>
      </c>
      <c r="G37" s="1205">
        <f t="shared" si="29"/>
        <v>0</v>
      </c>
      <c r="H37" s="1205">
        <f t="shared" si="29"/>
        <v>0</v>
      </c>
      <c r="I37" s="1206">
        <f t="shared" si="29"/>
        <v>0</v>
      </c>
      <c r="J37" s="1271">
        <f t="shared" si="29"/>
        <v>0</v>
      </c>
      <c r="K37" s="1205">
        <f t="shared" si="29"/>
        <v>0</v>
      </c>
      <c r="L37" s="1205">
        <f t="shared" si="29"/>
        <v>0</v>
      </c>
      <c r="M37" s="1206">
        <f t="shared" si="29"/>
        <v>0</v>
      </c>
      <c r="N37" s="1271">
        <f t="shared" si="29"/>
        <v>0</v>
      </c>
      <c r="O37" s="1205">
        <f t="shared" si="29"/>
        <v>0</v>
      </c>
      <c r="P37" s="1205">
        <f t="shared" si="29"/>
        <v>0</v>
      </c>
      <c r="Q37" s="1206">
        <f t="shared" si="29"/>
        <v>0</v>
      </c>
      <c r="R37" s="1271">
        <f t="shared" si="29"/>
        <v>0</v>
      </c>
      <c r="S37" s="1205">
        <f t="shared" si="29"/>
        <v>0</v>
      </c>
      <c r="T37" s="1205">
        <f t="shared" si="29"/>
        <v>0</v>
      </c>
      <c r="U37" s="1284">
        <f t="shared" si="29"/>
        <v>0</v>
      </c>
      <c r="V37" s="1271">
        <f t="shared" si="29"/>
        <v>0</v>
      </c>
      <c r="W37" s="1205">
        <f t="shared" si="29"/>
        <v>0</v>
      </c>
      <c r="X37" s="1205">
        <f t="shared" si="29"/>
        <v>0</v>
      </c>
      <c r="Y37" s="1206">
        <f t="shared" si="29"/>
        <v>0</v>
      </c>
      <c r="Z37" s="1271">
        <f t="shared" si="29"/>
        <v>0</v>
      </c>
      <c r="AA37" s="1205">
        <f t="shared" si="29"/>
        <v>0</v>
      </c>
      <c r="AB37" s="1205">
        <f t="shared" si="29"/>
        <v>0</v>
      </c>
      <c r="AC37" s="1206">
        <f t="shared" si="29"/>
        <v>0</v>
      </c>
      <c r="AD37" s="1271">
        <f t="shared" si="29"/>
        <v>17918748</v>
      </c>
      <c r="AE37" s="1205">
        <f t="shared" si="29"/>
        <v>0</v>
      </c>
      <c r="AF37" s="1205">
        <f t="shared" si="29"/>
        <v>0</v>
      </c>
      <c r="AG37" s="1206">
        <f t="shared" si="29"/>
        <v>17918748</v>
      </c>
    </row>
    <row r="38" spans="1:33" ht="19.5" customHeight="1" thickBot="1" x14ac:dyDescent="0.4">
      <c r="A38" s="1259" t="s">
        <v>1444</v>
      </c>
      <c r="B38" s="1272">
        <f>+B19+B32+B37</f>
        <v>294887977</v>
      </c>
      <c r="C38" s="1208">
        <f t="shared" ref="C38:E38" si="30">+C19+C32+C37</f>
        <v>595541945</v>
      </c>
      <c r="D38" s="1208">
        <f t="shared" si="30"/>
        <v>0</v>
      </c>
      <c r="E38" s="1209">
        <f t="shared" si="30"/>
        <v>890429922</v>
      </c>
      <c r="F38" s="1272">
        <f>+F19+F32+F37</f>
        <v>38696254</v>
      </c>
      <c r="G38" s="1208">
        <f t="shared" ref="G38:I38" si="31">+G19+G32+G37</f>
        <v>22200</v>
      </c>
      <c r="H38" s="1208">
        <f t="shared" si="31"/>
        <v>0</v>
      </c>
      <c r="I38" s="1209">
        <f t="shared" si="31"/>
        <v>38718454</v>
      </c>
      <c r="J38" s="1272">
        <f>+J19+J32+J37</f>
        <v>187914021</v>
      </c>
      <c r="K38" s="1208">
        <f t="shared" ref="K38:M38" si="32">+K19+K32+K37</f>
        <v>1452453</v>
      </c>
      <c r="L38" s="1208">
        <f t="shared" si="32"/>
        <v>0</v>
      </c>
      <c r="M38" s="1209">
        <f t="shared" si="32"/>
        <v>189366474</v>
      </c>
      <c r="N38" s="1272">
        <f>+N19+N32+N37</f>
        <v>62110969</v>
      </c>
      <c r="O38" s="1208">
        <f t="shared" ref="O38:Q38" si="33">+O19+O32+O37</f>
        <v>802929</v>
      </c>
      <c r="P38" s="1208">
        <f t="shared" si="33"/>
        <v>0</v>
      </c>
      <c r="Q38" s="1209">
        <f t="shared" si="33"/>
        <v>62913898</v>
      </c>
      <c r="R38" s="1272">
        <f>+R19+R32+R37</f>
        <v>137287385</v>
      </c>
      <c r="S38" s="1208">
        <f t="shared" ref="S38:U38" si="34">+S19+S32+S37</f>
        <v>1606251</v>
      </c>
      <c r="T38" s="1208">
        <f t="shared" si="34"/>
        <v>0</v>
      </c>
      <c r="U38" s="1285">
        <f t="shared" si="34"/>
        <v>138893636</v>
      </c>
      <c r="V38" s="1272">
        <f>+V19+V32+V37</f>
        <v>30341366</v>
      </c>
      <c r="W38" s="1208">
        <f t="shared" ref="W38:Y38" si="35">+W19+W32+W37</f>
        <v>280740</v>
      </c>
      <c r="X38" s="1208">
        <f t="shared" si="35"/>
        <v>0</v>
      </c>
      <c r="Y38" s="1209">
        <f t="shared" si="35"/>
        <v>30622106</v>
      </c>
      <c r="Z38" s="1272">
        <f>+Z19+Z32+Z37</f>
        <v>102230016</v>
      </c>
      <c r="AA38" s="1208">
        <f t="shared" ref="AA38:AC38" si="36">+AA19+AA32+AA37</f>
        <v>0</v>
      </c>
      <c r="AB38" s="1208">
        <f t="shared" si="36"/>
        <v>0</v>
      </c>
      <c r="AC38" s="1209">
        <f t="shared" si="36"/>
        <v>102230016</v>
      </c>
      <c r="AD38" s="1272">
        <f>+AD19+AD32+AD37</f>
        <v>853467988</v>
      </c>
      <c r="AE38" s="1208">
        <f t="shared" ref="AE38:AG38" si="37">+AE19+AE32+AE37</f>
        <v>599706518</v>
      </c>
      <c r="AF38" s="1294">
        <f t="shared" si="37"/>
        <v>0</v>
      </c>
      <c r="AG38" s="1296">
        <f t="shared" si="37"/>
        <v>1453174506</v>
      </c>
    </row>
    <row r="39" spans="1:33" ht="15" customHeight="1" x14ac:dyDescent="0.3">
      <c r="A39" s="1210"/>
      <c r="B39" s="1157"/>
      <c r="C39" s="1157"/>
      <c r="D39" s="1157"/>
      <c r="E39" s="1211"/>
      <c r="F39" s="1157"/>
      <c r="G39" s="1157"/>
      <c r="H39" s="1157"/>
      <c r="I39" s="1211"/>
      <c r="J39" s="1157"/>
      <c r="K39" s="1157"/>
      <c r="L39" s="1157"/>
      <c r="M39" s="1211"/>
      <c r="N39" s="1157"/>
      <c r="O39" s="1157"/>
      <c r="P39" s="1157"/>
      <c r="Q39" s="1211"/>
      <c r="R39" s="1157"/>
      <c r="S39" s="1157"/>
      <c r="T39" s="1157"/>
      <c r="U39" s="1211"/>
      <c r="V39" s="1157"/>
      <c r="W39" s="1157"/>
      <c r="X39" s="1157"/>
      <c r="Y39" s="1211"/>
      <c r="Z39" s="1157"/>
      <c r="AA39" s="1157"/>
      <c r="AB39" s="1157"/>
      <c r="AC39" s="1211"/>
      <c r="AD39" s="1157"/>
      <c r="AE39" s="1157"/>
      <c r="AF39" s="1157"/>
      <c r="AG39" s="1211"/>
    </row>
    <row r="40" spans="1:33" ht="15" customHeight="1" thickBot="1" x14ac:dyDescent="0.35">
      <c r="A40" s="1210"/>
      <c r="B40" s="1157"/>
      <c r="C40" s="1157"/>
      <c r="D40" s="1157"/>
      <c r="E40" s="1211"/>
      <c r="F40" s="1157"/>
      <c r="G40" s="1157"/>
      <c r="H40" s="1157"/>
      <c r="I40" s="1211"/>
      <c r="J40" s="1157"/>
      <c r="K40" s="1157"/>
      <c r="L40" s="1157"/>
      <c r="M40" s="1211"/>
      <c r="N40" s="1157"/>
      <c r="O40" s="1157"/>
      <c r="P40" s="1157"/>
      <c r="Q40" s="1211"/>
      <c r="R40" s="1157"/>
      <c r="S40" s="1157"/>
      <c r="T40" s="1157"/>
      <c r="U40" s="1211"/>
      <c r="V40" s="1157"/>
      <c r="W40" s="1157"/>
      <c r="X40" s="1157"/>
      <c r="Y40" s="1211"/>
      <c r="Z40" s="1157"/>
      <c r="AA40" s="1157"/>
      <c r="AB40" s="1157"/>
      <c r="AC40" s="1211"/>
      <c r="AD40" s="1157"/>
      <c r="AE40" s="1157"/>
      <c r="AF40" s="1157"/>
      <c r="AG40" s="1211"/>
    </row>
    <row r="41" spans="1:33" ht="21.6" customHeight="1" thickBot="1" x14ac:dyDescent="0.3">
      <c r="A41" s="1556" t="s">
        <v>1415</v>
      </c>
      <c r="B41" s="1553" t="s">
        <v>467</v>
      </c>
      <c r="C41" s="1554"/>
      <c r="D41" s="1554"/>
      <c r="E41" s="1555"/>
      <c r="F41" s="1553" t="s">
        <v>456</v>
      </c>
      <c r="G41" s="1554"/>
      <c r="H41" s="1554"/>
      <c r="I41" s="1555"/>
      <c r="J41" s="1553" t="s">
        <v>466</v>
      </c>
      <c r="K41" s="1554"/>
      <c r="L41" s="1554"/>
      <c r="M41" s="1555"/>
      <c r="N41" s="1553" t="s">
        <v>449</v>
      </c>
      <c r="O41" s="1554"/>
      <c r="P41" s="1554"/>
      <c r="Q41" s="1555"/>
      <c r="R41" s="1553" t="s">
        <v>448</v>
      </c>
      <c r="S41" s="1554"/>
      <c r="T41" s="1554"/>
      <c r="U41" s="1555"/>
      <c r="V41" s="1553" t="s">
        <v>419</v>
      </c>
      <c r="W41" s="1554"/>
      <c r="X41" s="1554"/>
      <c r="Y41" s="1555"/>
      <c r="Z41" s="1553" t="s">
        <v>420</v>
      </c>
      <c r="AA41" s="1554"/>
      <c r="AB41" s="1554"/>
      <c r="AC41" s="1555"/>
      <c r="AD41" s="1553" t="s">
        <v>1475</v>
      </c>
      <c r="AE41" s="1554"/>
      <c r="AF41" s="1554"/>
      <c r="AG41" s="1555"/>
    </row>
    <row r="42" spans="1:33" s="1163" customFormat="1" ht="49.2" customHeight="1" thickBot="1" x14ac:dyDescent="0.3">
      <c r="A42" s="1557"/>
      <c r="B42" s="1158" t="s">
        <v>1416</v>
      </c>
      <c r="C42" s="1159" t="s">
        <v>1417</v>
      </c>
      <c r="D42" s="1274" t="s">
        <v>1418</v>
      </c>
      <c r="E42" s="1161" t="s">
        <v>437</v>
      </c>
      <c r="F42" s="1158" t="s">
        <v>1416</v>
      </c>
      <c r="G42" s="1159" t="s">
        <v>1417</v>
      </c>
      <c r="H42" s="1160" t="s">
        <v>1418</v>
      </c>
      <c r="I42" s="1161" t="s">
        <v>437</v>
      </c>
      <c r="J42" s="1158" t="s">
        <v>1416</v>
      </c>
      <c r="K42" s="1159" t="s">
        <v>1417</v>
      </c>
      <c r="L42" s="1160" t="s">
        <v>1418</v>
      </c>
      <c r="M42" s="1161" t="s">
        <v>437</v>
      </c>
      <c r="N42" s="1158" t="s">
        <v>1416</v>
      </c>
      <c r="O42" s="1159" t="s">
        <v>1417</v>
      </c>
      <c r="P42" s="1160" t="s">
        <v>1418</v>
      </c>
      <c r="Q42" s="1161" t="s">
        <v>437</v>
      </c>
      <c r="R42" s="1158" t="s">
        <v>1416</v>
      </c>
      <c r="S42" s="1159" t="s">
        <v>1417</v>
      </c>
      <c r="T42" s="1160" t="s">
        <v>1418</v>
      </c>
      <c r="U42" s="1161" t="s">
        <v>437</v>
      </c>
      <c r="V42" s="1158" t="s">
        <v>1416</v>
      </c>
      <c r="W42" s="1159" t="s">
        <v>1417</v>
      </c>
      <c r="X42" s="1160" t="s">
        <v>1418</v>
      </c>
      <c r="Y42" s="1161" t="s">
        <v>437</v>
      </c>
      <c r="Z42" s="1158" t="s">
        <v>1416</v>
      </c>
      <c r="AA42" s="1159" t="s">
        <v>1417</v>
      </c>
      <c r="AB42" s="1160" t="s">
        <v>1418</v>
      </c>
      <c r="AC42" s="1161" t="s">
        <v>437</v>
      </c>
      <c r="AD42" s="1158" t="s">
        <v>1416</v>
      </c>
      <c r="AE42" s="1159" t="s">
        <v>1417</v>
      </c>
      <c r="AF42" s="1160" t="s">
        <v>1418</v>
      </c>
      <c r="AG42" s="1161" t="s">
        <v>437</v>
      </c>
    </row>
    <row r="43" spans="1:33" ht="15.6" x14ac:dyDescent="0.3">
      <c r="A43" s="1217" t="s">
        <v>1446</v>
      </c>
      <c r="B43" s="1270">
        <v>545833966</v>
      </c>
      <c r="C43" s="1169">
        <v>0</v>
      </c>
      <c r="D43" s="1169">
        <v>0</v>
      </c>
      <c r="E43" s="1179">
        <f>+B43+C43+D43</f>
        <v>545833966</v>
      </c>
      <c r="F43" s="1270">
        <v>0</v>
      </c>
      <c r="G43" s="1169">
        <v>0</v>
      </c>
      <c r="H43" s="1169">
        <v>0</v>
      </c>
      <c r="I43" s="1179">
        <f>+F43+G43+H43</f>
        <v>0</v>
      </c>
      <c r="J43" s="1270">
        <v>0</v>
      </c>
      <c r="K43" s="1169">
        <v>0</v>
      </c>
      <c r="L43" s="1169">
        <v>0</v>
      </c>
      <c r="M43" s="1179">
        <f>+J43+K43+L43</f>
        <v>0</v>
      </c>
      <c r="N43" s="1270">
        <v>0</v>
      </c>
      <c r="O43" s="1169">
        <v>0</v>
      </c>
      <c r="P43" s="1169">
        <v>0</v>
      </c>
      <c r="Q43" s="1179">
        <f>+N43+O43+P43</f>
        <v>0</v>
      </c>
      <c r="R43" s="1201">
        <v>0</v>
      </c>
      <c r="S43" s="1201">
        <v>0</v>
      </c>
      <c r="T43" s="1201">
        <v>0</v>
      </c>
      <c r="U43" s="1179">
        <f>+R43+S43+T43</f>
        <v>0</v>
      </c>
      <c r="V43" s="1201">
        <v>0</v>
      </c>
      <c r="W43" s="1201">
        <v>0</v>
      </c>
      <c r="X43" s="1201">
        <v>0</v>
      </c>
      <c r="Y43" s="1179">
        <f>+V43+W43+X43</f>
        <v>0</v>
      </c>
      <c r="Z43" s="1270">
        <v>0</v>
      </c>
      <c r="AA43" s="1169">
        <v>0</v>
      </c>
      <c r="AB43" s="1169">
        <v>0</v>
      </c>
      <c r="AC43" s="1179">
        <f>+Z43+AA43+AB43</f>
        <v>0</v>
      </c>
      <c r="AD43" s="1292">
        <f>+B43+F43+J43+N43+R43+V43+Z43</f>
        <v>545833966</v>
      </c>
      <c r="AE43" s="1228">
        <f t="shared" ref="AE43:AF50" si="38">+C43+G43+K43+O43+S43+W43+AA43</f>
        <v>0</v>
      </c>
      <c r="AF43" s="1295">
        <f t="shared" si="38"/>
        <v>0</v>
      </c>
      <c r="AG43" s="1179">
        <f>+AD43+AE43+AF43</f>
        <v>545833966</v>
      </c>
    </row>
    <row r="44" spans="1:33" ht="15.6" x14ac:dyDescent="0.3">
      <c r="A44" s="1192" t="s">
        <v>250</v>
      </c>
      <c r="B44" s="1270">
        <v>0</v>
      </c>
      <c r="C44" s="1169">
        <v>0</v>
      </c>
      <c r="D44" s="1169">
        <v>0</v>
      </c>
      <c r="E44" s="1181">
        <f t="shared" ref="E44:E50" si="39">+B44+C44+D44</f>
        <v>0</v>
      </c>
      <c r="F44" s="1270">
        <v>0</v>
      </c>
      <c r="G44" s="1169">
        <v>0</v>
      </c>
      <c r="H44" s="1169">
        <v>0</v>
      </c>
      <c r="I44" s="1181">
        <f t="shared" ref="I44:I50" si="40">+F44+G44+H44</f>
        <v>0</v>
      </c>
      <c r="J44" s="1270">
        <v>0</v>
      </c>
      <c r="K44" s="1169">
        <v>0</v>
      </c>
      <c r="L44" s="1169">
        <v>0</v>
      </c>
      <c r="M44" s="1181">
        <f t="shared" ref="M44:M50" si="41">+J44+K44+L44</f>
        <v>0</v>
      </c>
      <c r="N44" s="1270">
        <v>0</v>
      </c>
      <c r="O44" s="1169">
        <v>0</v>
      </c>
      <c r="P44" s="1169">
        <v>0</v>
      </c>
      <c r="Q44" s="1181">
        <f t="shared" ref="Q44:Q50" si="42">+N44+O44+P44</f>
        <v>0</v>
      </c>
      <c r="R44" s="1201">
        <v>0</v>
      </c>
      <c r="S44" s="1201">
        <v>0</v>
      </c>
      <c r="T44" s="1201">
        <v>0</v>
      </c>
      <c r="U44" s="1181">
        <f t="shared" ref="U44:U50" si="43">+R44+S44+T44</f>
        <v>0</v>
      </c>
      <c r="V44" s="1201">
        <v>0</v>
      </c>
      <c r="W44" s="1201">
        <v>0</v>
      </c>
      <c r="X44" s="1201">
        <v>0</v>
      </c>
      <c r="Y44" s="1181">
        <f t="shared" ref="Y44:Y50" si="44">+V44+W44+X44</f>
        <v>0</v>
      </c>
      <c r="Z44" s="1270">
        <v>0</v>
      </c>
      <c r="AA44" s="1169">
        <v>0</v>
      </c>
      <c r="AB44" s="1169">
        <v>0</v>
      </c>
      <c r="AC44" s="1181">
        <f t="shared" ref="AC44:AC50" si="45">+Z44+AA44+AB44</f>
        <v>0</v>
      </c>
      <c r="AD44" s="1262">
        <f t="shared" ref="AD44:AD50" si="46">+B44+F44+J44+N44+R44+V44+Z44</f>
        <v>0</v>
      </c>
      <c r="AE44" s="1170">
        <f t="shared" si="38"/>
        <v>0</v>
      </c>
      <c r="AF44" s="1191">
        <f t="shared" si="38"/>
        <v>0</v>
      </c>
      <c r="AG44" s="1181">
        <f t="shared" ref="AG44:AG50" si="47">+AD44+AE44+AF44</f>
        <v>0</v>
      </c>
    </row>
    <row r="45" spans="1:33" ht="15.6" x14ac:dyDescent="0.3">
      <c r="A45" s="1221" t="s">
        <v>1447</v>
      </c>
      <c r="B45" s="1270">
        <v>59033559</v>
      </c>
      <c r="C45" s="1169">
        <v>0</v>
      </c>
      <c r="D45" s="1169">
        <v>0</v>
      </c>
      <c r="E45" s="1181">
        <f t="shared" si="39"/>
        <v>59033559</v>
      </c>
      <c r="F45" s="1270">
        <v>0</v>
      </c>
      <c r="G45" s="1169">
        <v>0</v>
      </c>
      <c r="H45" s="1169">
        <v>0</v>
      </c>
      <c r="I45" s="1181">
        <f t="shared" si="40"/>
        <v>0</v>
      </c>
      <c r="J45" s="1270">
        <v>0</v>
      </c>
      <c r="K45" s="1169">
        <v>0</v>
      </c>
      <c r="L45" s="1169">
        <v>0</v>
      </c>
      <c r="M45" s="1181">
        <f t="shared" si="41"/>
        <v>0</v>
      </c>
      <c r="N45" s="1270">
        <v>0</v>
      </c>
      <c r="O45" s="1169">
        <v>0</v>
      </c>
      <c r="P45" s="1169">
        <v>0</v>
      </c>
      <c r="Q45" s="1181">
        <f t="shared" si="42"/>
        <v>0</v>
      </c>
      <c r="R45" s="1201">
        <v>4176281</v>
      </c>
      <c r="S45" s="1201">
        <v>0</v>
      </c>
      <c r="T45" s="1201">
        <v>0</v>
      </c>
      <c r="U45" s="1181">
        <f t="shared" si="43"/>
        <v>4176281</v>
      </c>
      <c r="V45" s="1201">
        <v>0</v>
      </c>
      <c r="W45" s="1201">
        <v>0</v>
      </c>
      <c r="X45" s="1201">
        <v>0</v>
      </c>
      <c r="Y45" s="1181">
        <f t="shared" si="44"/>
        <v>0</v>
      </c>
      <c r="Z45" s="1270">
        <v>774080</v>
      </c>
      <c r="AA45" s="1169">
        <v>0</v>
      </c>
      <c r="AB45" s="1169">
        <v>0</v>
      </c>
      <c r="AC45" s="1181">
        <f t="shared" si="45"/>
        <v>774080</v>
      </c>
      <c r="AD45" s="1262">
        <f t="shared" si="46"/>
        <v>63983920</v>
      </c>
      <c r="AE45" s="1170">
        <f t="shared" si="38"/>
        <v>0</v>
      </c>
      <c r="AF45" s="1191">
        <f t="shared" si="38"/>
        <v>0</v>
      </c>
      <c r="AG45" s="1181">
        <f t="shared" si="47"/>
        <v>63983920</v>
      </c>
    </row>
    <row r="46" spans="1:33" ht="15.6" x14ac:dyDescent="0.3">
      <c r="A46" s="1221" t="s">
        <v>1448</v>
      </c>
      <c r="B46" s="1270">
        <v>274433456</v>
      </c>
      <c r="C46" s="1169">
        <v>0</v>
      </c>
      <c r="D46" s="1169">
        <v>0</v>
      </c>
      <c r="E46" s="1181">
        <f t="shared" si="39"/>
        <v>274433456</v>
      </c>
      <c r="F46" s="1270">
        <v>0</v>
      </c>
      <c r="G46" s="1169">
        <v>0</v>
      </c>
      <c r="H46" s="1169">
        <v>0</v>
      </c>
      <c r="I46" s="1181">
        <f t="shared" si="40"/>
        <v>0</v>
      </c>
      <c r="J46" s="1270">
        <v>0</v>
      </c>
      <c r="K46" s="1169">
        <v>0</v>
      </c>
      <c r="L46" s="1169">
        <v>0</v>
      </c>
      <c r="M46" s="1181">
        <f t="shared" si="41"/>
        <v>0</v>
      </c>
      <c r="N46" s="1270">
        <v>0</v>
      </c>
      <c r="O46" s="1169">
        <v>0</v>
      </c>
      <c r="P46" s="1169">
        <v>0</v>
      </c>
      <c r="Q46" s="1181">
        <f t="shared" si="42"/>
        <v>0</v>
      </c>
      <c r="R46" s="1201">
        <v>0</v>
      </c>
      <c r="S46" s="1201">
        <v>0</v>
      </c>
      <c r="T46" s="1201">
        <v>0</v>
      </c>
      <c r="U46" s="1181">
        <f t="shared" si="43"/>
        <v>0</v>
      </c>
      <c r="V46" s="1201">
        <v>0</v>
      </c>
      <c r="W46" s="1201">
        <v>0</v>
      </c>
      <c r="X46" s="1201">
        <v>0</v>
      </c>
      <c r="Y46" s="1181">
        <f t="shared" si="44"/>
        <v>0</v>
      </c>
      <c r="Z46" s="1270">
        <v>0</v>
      </c>
      <c r="AA46" s="1169">
        <v>0</v>
      </c>
      <c r="AB46" s="1169">
        <v>0</v>
      </c>
      <c r="AC46" s="1181">
        <f t="shared" si="45"/>
        <v>0</v>
      </c>
      <c r="AD46" s="1262">
        <f t="shared" si="46"/>
        <v>274433456</v>
      </c>
      <c r="AE46" s="1170">
        <f t="shared" si="38"/>
        <v>0</v>
      </c>
      <c r="AF46" s="1191">
        <f t="shared" si="38"/>
        <v>0</v>
      </c>
      <c r="AG46" s="1181">
        <f t="shared" si="47"/>
        <v>274433456</v>
      </c>
    </row>
    <row r="47" spans="1:33" ht="15.6" x14ac:dyDescent="0.3">
      <c r="A47" s="1221" t="s">
        <v>281</v>
      </c>
      <c r="B47" s="1270">
        <v>323809514</v>
      </c>
      <c r="C47" s="1169">
        <v>0</v>
      </c>
      <c r="D47" s="1169">
        <v>0</v>
      </c>
      <c r="E47" s="1181">
        <f t="shared" si="39"/>
        <v>323809514</v>
      </c>
      <c r="F47" s="1270">
        <v>6351342</v>
      </c>
      <c r="G47" s="1169">
        <v>0</v>
      </c>
      <c r="H47" s="1169">
        <v>0</v>
      </c>
      <c r="I47" s="1181">
        <f t="shared" si="40"/>
        <v>6351342</v>
      </c>
      <c r="J47" s="1270">
        <v>2833</v>
      </c>
      <c r="K47" s="1169">
        <v>0</v>
      </c>
      <c r="L47" s="1169">
        <v>0</v>
      </c>
      <c r="M47" s="1181">
        <f t="shared" si="41"/>
        <v>2833</v>
      </c>
      <c r="N47" s="1270">
        <v>4043485</v>
      </c>
      <c r="O47" s="1169">
        <v>0</v>
      </c>
      <c r="P47" s="1169">
        <v>0</v>
      </c>
      <c r="Q47" s="1181">
        <f t="shared" si="42"/>
        <v>4043485</v>
      </c>
      <c r="R47" s="1201">
        <v>3782</v>
      </c>
      <c r="S47" s="1201">
        <v>0</v>
      </c>
      <c r="T47" s="1201">
        <v>0</v>
      </c>
      <c r="U47" s="1181">
        <f t="shared" si="43"/>
        <v>3782</v>
      </c>
      <c r="V47" s="1201">
        <v>1470701</v>
      </c>
      <c r="W47" s="1201">
        <v>0</v>
      </c>
      <c r="X47" s="1201">
        <v>0</v>
      </c>
      <c r="Y47" s="1181">
        <f t="shared" si="44"/>
        <v>1470701</v>
      </c>
      <c r="Z47" s="1270">
        <v>28625524</v>
      </c>
      <c r="AA47" s="1169">
        <v>0</v>
      </c>
      <c r="AB47" s="1169">
        <v>0</v>
      </c>
      <c r="AC47" s="1181">
        <f t="shared" si="45"/>
        <v>28625524</v>
      </c>
      <c r="AD47" s="1262">
        <f t="shared" si="46"/>
        <v>364307181</v>
      </c>
      <c r="AE47" s="1170">
        <f t="shared" si="38"/>
        <v>0</v>
      </c>
      <c r="AF47" s="1191">
        <f t="shared" si="38"/>
        <v>0</v>
      </c>
      <c r="AG47" s="1181">
        <f t="shared" si="47"/>
        <v>364307181</v>
      </c>
    </row>
    <row r="48" spans="1:33" ht="15.6" x14ac:dyDescent="0.3">
      <c r="A48" s="1192" t="s">
        <v>1449</v>
      </c>
      <c r="B48" s="1270">
        <v>0</v>
      </c>
      <c r="C48" s="1169">
        <v>0</v>
      </c>
      <c r="D48" s="1169">
        <v>0</v>
      </c>
      <c r="E48" s="1181">
        <f t="shared" si="39"/>
        <v>0</v>
      </c>
      <c r="F48" s="1270">
        <v>0</v>
      </c>
      <c r="G48" s="1169">
        <v>0</v>
      </c>
      <c r="H48" s="1169">
        <v>0</v>
      </c>
      <c r="I48" s="1181">
        <f t="shared" si="40"/>
        <v>0</v>
      </c>
      <c r="J48" s="1270">
        <v>0</v>
      </c>
      <c r="K48" s="1169">
        <v>0</v>
      </c>
      <c r="L48" s="1169">
        <v>0</v>
      </c>
      <c r="M48" s="1181">
        <f t="shared" si="41"/>
        <v>0</v>
      </c>
      <c r="N48" s="1270">
        <v>0</v>
      </c>
      <c r="O48" s="1169">
        <v>0</v>
      </c>
      <c r="P48" s="1169">
        <v>0</v>
      </c>
      <c r="Q48" s="1181">
        <f t="shared" si="42"/>
        <v>0</v>
      </c>
      <c r="R48" s="1201">
        <v>0</v>
      </c>
      <c r="S48" s="1201">
        <v>0</v>
      </c>
      <c r="T48" s="1201">
        <v>0</v>
      </c>
      <c r="U48" s="1181">
        <f t="shared" si="43"/>
        <v>0</v>
      </c>
      <c r="V48" s="1201">
        <v>0</v>
      </c>
      <c r="W48" s="1201">
        <v>0</v>
      </c>
      <c r="X48" s="1201">
        <v>0</v>
      </c>
      <c r="Y48" s="1181">
        <f t="shared" si="44"/>
        <v>0</v>
      </c>
      <c r="Z48" s="1270">
        <v>0</v>
      </c>
      <c r="AA48" s="1169">
        <v>0</v>
      </c>
      <c r="AB48" s="1169">
        <v>0</v>
      </c>
      <c r="AC48" s="1181">
        <f t="shared" si="45"/>
        <v>0</v>
      </c>
      <c r="AD48" s="1262">
        <f t="shared" si="46"/>
        <v>0</v>
      </c>
      <c r="AE48" s="1170">
        <f t="shared" si="38"/>
        <v>0</v>
      </c>
      <c r="AF48" s="1191">
        <f t="shared" si="38"/>
        <v>0</v>
      </c>
      <c r="AG48" s="1181">
        <f t="shared" si="47"/>
        <v>0</v>
      </c>
    </row>
    <row r="49" spans="1:33" ht="18.75" customHeight="1" x14ac:dyDescent="0.3">
      <c r="A49" s="1221" t="s">
        <v>1450</v>
      </c>
      <c r="B49" s="1270">
        <v>0</v>
      </c>
      <c r="C49" s="1169">
        <v>0</v>
      </c>
      <c r="D49" s="1169">
        <v>0</v>
      </c>
      <c r="E49" s="1181">
        <f t="shared" si="39"/>
        <v>0</v>
      </c>
      <c r="F49" s="1270">
        <v>0</v>
      </c>
      <c r="G49" s="1169">
        <v>0</v>
      </c>
      <c r="H49" s="1169">
        <v>0</v>
      </c>
      <c r="I49" s="1181">
        <f t="shared" si="40"/>
        <v>0</v>
      </c>
      <c r="J49" s="1270">
        <v>0</v>
      </c>
      <c r="K49" s="1169">
        <v>0</v>
      </c>
      <c r="L49" s="1169">
        <v>0</v>
      </c>
      <c r="M49" s="1181">
        <f t="shared" si="41"/>
        <v>0</v>
      </c>
      <c r="N49" s="1270">
        <v>0</v>
      </c>
      <c r="O49" s="1169">
        <v>0</v>
      </c>
      <c r="P49" s="1169">
        <v>0</v>
      </c>
      <c r="Q49" s="1181">
        <f t="shared" si="42"/>
        <v>0</v>
      </c>
      <c r="R49" s="1201">
        <v>0</v>
      </c>
      <c r="S49" s="1201">
        <v>0</v>
      </c>
      <c r="T49" s="1201">
        <v>0</v>
      </c>
      <c r="U49" s="1181">
        <f t="shared" si="43"/>
        <v>0</v>
      </c>
      <c r="V49" s="1201">
        <v>0</v>
      </c>
      <c r="W49" s="1201">
        <v>0</v>
      </c>
      <c r="X49" s="1201">
        <v>0</v>
      </c>
      <c r="Y49" s="1181">
        <f t="shared" si="44"/>
        <v>0</v>
      </c>
      <c r="Z49" s="1270">
        <v>0</v>
      </c>
      <c r="AA49" s="1169">
        <v>0</v>
      </c>
      <c r="AB49" s="1169">
        <v>0</v>
      </c>
      <c r="AC49" s="1181">
        <f t="shared" si="45"/>
        <v>0</v>
      </c>
      <c r="AD49" s="1262">
        <f t="shared" si="46"/>
        <v>0</v>
      </c>
      <c r="AE49" s="1170">
        <f t="shared" si="38"/>
        <v>0</v>
      </c>
      <c r="AF49" s="1191">
        <f t="shared" si="38"/>
        <v>0</v>
      </c>
      <c r="AG49" s="1181">
        <f t="shared" si="47"/>
        <v>0</v>
      </c>
    </row>
    <row r="50" spans="1:33" ht="18.75" customHeight="1" x14ac:dyDescent="0.3">
      <c r="A50" s="1221" t="s">
        <v>1451</v>
      </c>
      <c r="B50" s="1269">
        <v>0</v>
      </c>
      <c r="C50" s="1169">
        <v>0</v>
      </c>
      <c r="D50" s="1169">
        <v>0</v>
      </c>
      <c r="E50" s="1181">
        <f t="shared" si="39"/>
        <v>0</v>
      </c>
      <c r="F50" s="1269">
        <v>0</v>
      </c>
      <c r="G50" s="1169">
        <v>0</v>
      </c>
      <c r="H50" s="1169">
        <v>0</v>
      </c>
      <c r="I50" s="1181">
        <f t="shared" si="40"/>
        <v>0</v>
      </c>
      <c r="J50" s="1269">
        <v>0</v>
      </c>
      <c r="K50" s="1169">
        <v>0</v>
      </c>
      <c r="L50" s="1169">
        <v>0</v>
      </c>
      <c r="M50" s="1181">
        <f t="shared" si="41"/>
        <v>0</v>
      </c>
      <c r="N50" s="1269">
        <v>0</v>
      </c>
      <c r="O50" s="1169">
        <v>0</v>
      </c>
      <c r="P50" s="1169">
        <v>0</v>
      </c>
      <c r="Q50" s="1181">
        <f t="shared" si="42"/>
        <v>0</v>
      </c>
      <c r="R50" s="1200">
        <v>0</v>
      </c>
      <c r="S50" s="1200">
        <v>0</v>
      </c>
      <c r="T50" s="1200">
        <v>0</v>
      </c>
      <c r="U50" s="1181">
        <f t="shared" si="43"/>
        <v>0</v>
      </c>
      <c r="V50" s="1200">
        <v>0</v>
      </c>
      <c r="W50" s="1200">
        <v>0</v>
      </c>
      <c r="X50" s="1200">
        <v>0</v>
      </c>
      <c r="Y50" s="1181">
        <f t="shared" si="44"/>
        <v>0</v>
      </c>
      <c r="Z50" s="1269">
        <v>0</v>
      </c>
      <c r="AA50" s="1169">
        <v>0</v>
      </c>
      <c r="AB50" s="1169">
        <v>0</v>
      </c>
      <c r="AC50" s="1181">
        <f t="shared" si="45"/>
        <v>0</v>
      </c>
      <c r="AD50" s="1286">
        <f t="shared" si="46"/>
        <v>0</v>
      </c>
      <c r="AE50" s="1293">
        <f t="shared" si="38"/>
        <v>0</v>
      </c>
      <c r="AF50" s="1289">
        <f t="shared" si="38"/>
        <v>0</v>
      </c>
      <c r="AG50" s="1181">
        <f t="shared" si="47"/>
        <v>0</v>
      </c>
    </row>
    <row r="51" spans="1:33" ht="18.75" customHeight="1" thickBot="1" x14ac:dyDescent="0.35">
      <c r="A51" s="1301" t="s">
        <v>1452</v>
      </c>
      <c r="B51" s="1297">
        <f>SUM(B43:B50)</f>
        <v>1203110495</v>
      </c>
      <c r="C51" s="1225">
        <f t="shared" ref="C51:D51" si="48">SUM(C43:C50)</f>
        <v>0</v>
      </c>
      <c r="D51" s="1225">
        <f t="shared" si="48"/>
        <v>0</v>
      </c>
      <c r="E51" s="1226">
        <f>SUM(E43:E50)</f>
        <v>1203110495</v>
      </c>
      <c r="F51" s="1225">
        <f>SUM(F43:F50)</f>
        <v>6351342</v>
      </c>
      <c r="G51" s="1225">
        <f t="shared" ref="G51:H51" si="49">SUM(G43:G50)</f>
        <v>0</v>
      </c>
      <c r="H51" s="1225">
        <f t="shared" si="49"/>
        <v>0</v>
      </c>
      <c r="I51" s="1226">
        <f>SUM(I43:I50)</f>
        <v>6351342</v>
      </c>
      <c r="J51" s="1225">
        <f>SUM(J43:J50)</f>
        <v>2833</v>
      </c>
      <c r="K51" s="1225">
        <f t="shared" ref="K51:L51" si="50">SUM(K43:K50)</f>
        <v>0</v>
      </c>
      <c r="L51" s="1225">
        <f t="shared" si="50"/>
        <v>0</v>
      </c>
      <c r="M51" s="1226">
        <f>SUM(M43:M50)</f>
        <v>2833</v>
      </c>
      <c r="N51" s="1225">
        <f>SUM(N43:N50)</f>
        <v>4043485</v>
      </c>
      <c r="O51" s="1225">
        <f t="shared" ref="O51:P51" si="51">SUM(O43:O50)</f>
        <v>0</v>
      </c>
      <c r="P51" s="1225">
        <f t="shared" si="51"/>
        <v>0</v>
      </c>
      <c r="Q51" s="1226">
        <f>SUM(Q43:Q50)</f>
        <v>4043485</v>
      </c>
      <c r="R51" s="1225">
        <f>SUM(R43:R50)</f>
        <v>4180063</v>
      </c>
      <c r="S51" s="1225">
        <f t="shared" ref="S51:T51" si="52">SUM(S43:S50)</f>
        <v>0</v>
      </c>
      <c r="T51" s="1225">
        <f t="shared" si="52"/>
        <v>0</v>
      </c>
      <c r="U51" s="1226">
        <f>SUM(U43:U50)</f>
        <v>4180063</v>
      </c>
      <c r="V51" s="1225">
        <f>SUM(V43:V50)</f>
        <v>1470701</v>
      </c>
      <c r="W51" s="1225">
        <f t="shared" ref="W51:X51" si="53">SUM(W43:W50)</f>
        <v>0</v>
      </c>
      <c r="X51" s="1225">
        <f t="shared" si="53"/>
        <v>0</v>
      </c>
      <c r="Y51" s="1226">
        <f>SUM(Y43:Y50)</f>
        <v>1470701</v>
      </c>
      <c r="Z51" s="1225">
        <f>SUM(Z43:Z50)</f>
        <v>29399604</v>
      </c>
      <c r="AA51" s="1225">
        <f t="shared" ref="AA51:AB51" si="54">SUM(AA43:AA50)</f>
        <v>0</v>
      </c>
      <c r="AB51" s="1225">
        <f t="shared" si="54"/>
        <v>0</v>
      </c>
      <c r="AC51" s="1226">
        <f>SUM(AC43:AC50)</f>
        <v>29399604</v>
      </c>
      <c r="AD51" s="1225">
        <f>SUM(AD43:AD50)</f>
        <v>1248558523</v>
      </c>
      <c r="AE51" s="1225">
        <f t="shared" ref="AE51:AF51" si="55">SUM(AE43:AE50)</f>
        <v>0</v>
      </c>
      <c r="AF51" s="1225">
        <f t="shared" si="55"/>
        <v>0</v>
      </c>
      <c r="AG51" s="1226">
        <f>SUM(AG43:AG50)</f>
        <v>1248558523</v>
      </c>
    </row>
    <row r="52" spans="1:33" ht="18.75" customHeight="1" x14ac:dyDescent="0.25">
      <c r="A52" s="1302" t="s">
        <v>1453</v>
      </c>
      <c r="B52" s="1295">
        <v>0</v>
      </c>
      <c r="C52" s="1229">
        <v>147169193</v>
      </c>
      <c r="D52" s="1229">
        <v>0</v>
      </c>
      <c r="E52" s="1179">
        <f>+B52+C52+D52</f>
        <v>147169193</v>
      </c>
      <c r="F52" s="1228">
        <v>0</v>
      </c>
      <c r="G52" s="1229">
        <v>0</v>
      </c>
      <c r="H52" s="1229">
        <v>0</v>
      </c>
      <c r="I52" s="1179">
        <f>+F52+G52+H52</f>
        <v>0</v>
      </c>
      <c r="J52" s="1228">
        <v>0</v>
      </c>
      <c r="K52" s="1229">
        <v>0</v>
      </c>
      <c r="L52" s="1229">
        <v>0</v>
      </c>
      <c r="M52" s="1179">
        <f>+J52+K52+L52</f>
        <v>0</v>
      </c>
      <c r="N52" s="1228">
        <v>0</v>
      </c>
      <c r="O52" s="1229">
        <v>0</v>
      </c>
      <c r="P52" s="1229">
        <v>0</v>
      </c>
      <c r="Q52" s="1179">
        <f>+N52+O52+P52</f>
        <v>0</v>
      </c>
      <c r="R52" s="1228">
        <v>0</v>
      </c>
      <c r="S52" s="1229">
        <v>0</v>
      </c>
      <c r="T52" s="1229">
        <v>0</v>
      </c>
      <c r="U52" s="1179">
        <f>+R52+S52+T52</f>
        <v>0</v>
      </c>
      <c r="V52" s="1228">
        <v>0</v>
      </c>
      <c r="W52" s="1229">
        <v>0</v>
      </c>
      <c r="X52" s="1229">
        <v>0</v>
      </c>
      <c r="Y52" s="1179">
        <f>+V52+W52+X52</f>
        <v>0</v>
      </c>
      <c r="Z52" s="1228">
        <v>0</v>
      </c>
      <c r="AA52" s="1229">
        <v>0</v>
      </c>
      <c r="AB52" s="1229">
        <v>0</v>
      </c>
      <c r="AC52" s="1179">
        <f>+Z52+AA52+AB52</f>
        <v>0</v>
      </c>
      <c r="AD52" s="1292">
        <f>+B52+F52+J52+N52+R52+V52+Z52</f>
        <v>0</v>
      </c>
      <c r="AE52" s="1228">
        <f t="shared" ref="AE52" si="56">+C52+G52+K52+O52+S52+W52+AA52</f>
        <v>147169193</v>
      </c>
      <c r="AF52" s="1295">
        <f t="shared" ref="AF52" si="57">+D52+H52+L52+P52+T52+X52+AB52</f>
        <v>0</v>
      </c>
      <c r="AG52" s="1179">
        <f>+AD52+AE52+AF52</f>
        <v>147169193</v>
      </c>
    </row>
    <row r="53" spans="1:33" ht="18.75" customHeight="1" x14ac:dyDescent="0.25">
      <c r="A53" s="1303" t="s">
        <v>1454</v>
      </c>
      <c r="B53" s="1298">
        <v>0</v>
      </c>
      <c r="C53" s="1201">
        <v>0</v>
      </c>
      <c r="D53" s="1201">
        <v>0</v>
      </c>
      <c r="E53" s="1181">
        <f t="shared" ref="E53:E57" si="58">+B53+C53+D53</f>
        <v>0</v>
      </c>
      <c r="F53" s="1200">
        <v>0</v>
      </c>
      <c r="G53" s="1201">
        <v>0</v>
      </c>
      <c r="H53" s="1201">
        <v>0</v>
      </c>
      <c r="I53" s="1181">
        <f t="shared" ref="I53:I57" si="59">+F53+G53+H53</f>
        <v>0</v>
      </c>
      <c r="J53" s="1200">
        <v>0</v>
      </c>
      <c r="K53" s="1201">
        <v>0</v>
      </c>
      <c r="L53" s="1201">
        <v>0</v>
      </c>
      <c r="M53" s="1181">
        <f t="shared" ref="M53:M57" si="60">+J53+K53+L53</f>
        <v>0</v>
      </c>
      <c r="N53" s="1200">
        <v>0</v>
      </c>
      <c r="O53" s="1201">
        <v>0</v>
      </c>
      <c r="P53" s="1201">
        <v>0</v>
      </c>
      <c r="Q53" s="1181">
        <f t="shared" ref="Q53:Q57" si="61">+N53+O53+P53</f>
        <v>0</v>
      </c>
      <c r="R53" s="1200">
        <v>0</v>
      </c>
      <c r="S53" s="1201">
        <v>0</v>
      </c>
      <c r="T53" s="1201">
        <v>0</v>
      </c>
      <c r="U53" s="1181">
        <f t="shared" ref="U53:U57" si="62">+R53+S53+T53</f>
        <v>0</v>
      </c>
      <c r="V53" s="1200">
        <v>0</v>
      </c>
      <c r="W53" s="1201">
        <v>0</v>
      </c>
      <c r="X53" s="1201">
        <v>0</v>
      </c>
      <c r="Y53" s="1181">
        <f t="shared" ref="Y53:Y57" si="63">+V53+W53+X53</f>
        <v>0</v>
      </c>
      <c r="Z53" s="1200">
        <v>0</v>
      </c>
      <c r="AA53" s="1201">
        <v>0</v>
      </c>
      <c r="AB53" s="1201">
        <v>0</v>
      </c>
      <c r="AC53" s="1181">
        <f t="shared" ref="AC53:AC57" si="64">+Z53+AA53+AB53</f>
        <v>0</v>
      </c>
      <c r="AD53" s="1262">
        <f t="shared" ref="AD53:AD57" si="65">+B53+F53+J53+N53+R53+V53+Z53</f>
        <v>0</v>
      </c>
      <c r="AE53" s="1170">
        <f t="shared" ref="AE53:AE57" si="66">+C53+G53+K53+O53+S53+W53+AA53</f>
        <v>0</v>
      </c>
      <c r="AF53" s="1191">
        <f t="shared" ref="AF53:AF57" si="67">+D53+H53+L53+P53+T53+X53+AB53</f>
        <v>0</v>
      </c>
      <c r="AG53" s="1181">
        <f t="shared" ref="AG53:AG57" si="68">+AD53+AE53+AF53</f>
        <v>0</v>
      </c>
    </row>
    <row r="54" spans="1:33" ht="18.75" customHeight="1" x14ac:dyDescent="0.25">
      <c r="A54" s="1304" t="s">
        <v>1455</v>
      </c>
      <c r="B54" s="1299">
        <v>0</v>
      </c>
      <c r="C54" s="1201">
        <v>36042225</v>
      </c>
      <c r="D54" s="1201">
        <v>0</v>
      </c>
      <c r="E54" s="1188">
        <f t="shared" si="58"/>
        <v>36042225</v>
      </c>
      <c r="F54" s="1201">
        <v>0</v>
      </c>
      <c r="G54" s="1201">
        <v>0</v>
      </c>
      <c r="H54" s="1201">
        <v>0</v>
      </c>
      <c r="I54" s="1188">
        <f t="shared" si="59"/>
        <v>0</v>
      </c>
      <c r="J54" s="1201">
        <v>0</v>
      </c>
      <c r="K54" s="1201">
        <v>0</v>
      </c>
      <c r="L54" s="1201">
        <v>0</v>
      </c>
      <c r="M54" s="1188">
        <f t="shared" si="60"/>
        <v>0</v>
      </c>
      <c r="N54" s="1201">
        <v>0</v>
      </c>
      <c r="O54" s="1201">
        <v>0</v>
      </c>
      <c r="P54" s="1201">
        <v>0</v>
      </c>
      <c r="Q54" s="1188">
        <f t="shared" si="61"/>
        <v>0</v>
      </c>
      <c r="R54" s="1201">
        <v>0</v>
      </c>
      <c r="S54" s="1201">
        <v>0</v>
      </c>
      <c r="T54" s="1201">
        <v>0</v>
      </c>
      <c r="U54" s="1188">
        <f t="shared" si="62"/>
        <v>0</v>
      </c>
      <c r="V54" s="1201">
        <v>0</v>
      </c>
      <c r="W54" s="1201">
        <v>0</v>
      </c>
      <c r="X54" s="1201">
        <v>0</v>
      </c>
      <c r="Y54" s="1188">
        <f t="shared" si="63"/>
        <v>0</v>
      </c>
      <c r="Z54" s="1201">
        <v>0</v>
      </c>
      <c r="AA54" s="1201">
        <v>0</v>
      </c>
      <c r="AB54" s="1201">
        <v>0</v>
      </c>
      <c r="AC54" s="1188">
        <f t="shared" si="64"/>
        <v>0</v>
      </c>
      <c r="AD54" s="1262">
        <f t="shared" si="65"/>
        <v>0</v>
      </c>
      <c r="AE54" s="1170">
        <f t="shared" si="66"/>
        <v>36042225</v>
      </c>
      <c r="AF54" s="1191">
        <f t="shared" si="67"/>
        <v>0</v>
      </c>
      <c r="AG54" s="1188">
        <f t="shared" si="68"/>
        <v>36042225</v>
      </c>
    </row>
    <row r="55" spans="1:33" ht="18.75" customHeight="1" x14ac:dyDescent="0.25">
      <c r="A55" s="1304" t="s">
        <v>1456</v>
      </c>
      <c r="B55" s="1299">
        <v>0</v>
      </c>
      <c r="C55" s="1201">
        <v>0</v>
      </c>
      <c r="D55" s="1201">
        <v>0</v>
      </c>
      <c r="E55" s="1181">
        <f t="shared" si="58"/>
        <v>0</v>
      </c>
      <c r="F55" s="1201">
        <v>0</v>
      </c>
      <c r="G55" s="1201">
        <v>0</v>
      </c>
      <c r="H55" s="1201">
        <v>0</v>
      </c>
      <c r="I55" s="1181">
        <f t="shared" si="59"/>
        <v>0</v>
      </c>
      <c r="J55" s="1201">
        <v>0</v>
      </c>
      <c r="K55" s="1201">
        <v>0</v>
      </c>
      <c r="L55" s="1201">
        <v>0</v>
      </c>
      <c r="M55" s="1181">
        <f t="shared" si="60"/>
        <v>0</v>
      </c>
      <c r="N55" s="1201">
        <v>0</v>
      </c>
      <c r="O55" s="1201">
        <v>0</v>
      </c>
      <c r="P55" s="1201">
        <v>0</v>
      </c>
      <c r="Q55" s="1181">
        <f t="shared" si="61"/>
        <v>0</v>
      </c>
      <c r="R55" s="1201">
        <v>0</v>
      </c>
      <c r="S55" s="1201">
        <v>0</v>
      </c>
      <c r="T55" s="1201">
        <v>0</v>
      </c>
      <c r="U55" s="1181">
        <f t="shared" si="62"/>
        <v>0</v>
      </c>
      <c r="V55" s="1201">
        <v>0</v>
      </c>
      <c r="W55" s="1201">
        <v>0</v>
      </c>
      <c r="X55" s="1201">
        <v>0</v>
      </c>
      <c r="Y55" s="1181">
        <f t="shared" si="63"/>
        <v>0</v>
      </c>
      <c r="Z55" s="1201">
        <v>0</v>
      </c>
      <c r="AA55" s="1201">
        <v>0</v>
      </c>
      <c r="AB55" s="1201">
        <v>0</v>
      </c>
      <c r="AC55" s="1181">
        <f t="shared" si="64"/>
        <v>0</v>
      </c>
      <c r="AD55" s="1262">
        <f t="shared" si="65"/>
        <v>0</v>
      </c>
      <c r="AE55" s="1170">
        <f t="shared" si="66"/>
        <v>0</v>
      </c>
      <c r="AF55" s="1191">
        <f t="shared" si="67"/>
        <v>0</v>
      </c>
      <c r="AG55" s="1181">
        <f t="shared" si="68"/>
        <v>0</v>
      </c>
    </row>
    <row r="56" spans="1:33" ht="18.75" customHeight="1" x14ac:dyDescent="0.25">
      <c r="A56" s="1304" t="s">
        <v>1457</v>
      </c>
      <c r="B56" s="1299">
        <v>0</v>
      </c>
      <c r="C56" s="1201">
        <v>939676</v>
      </c>
      <c r="D56" s="1201">
        <v>0</v>
      </c>
      <c r="E56" s="1181">
        <f t="shared" si="58"/>
        <v>939676</v>
      </c>
      <c r="F56" s="1201">
        <v>0</v>
      </c>
      <c r="G56" s="1201"/>
      <c r="H56" s="1201">
        <v>0</v>
      </c>
      <c r="I56" s="1181">
        <f t="shared" si="59"/>
        <v>0</v>
      </c>
      <c r="J56" s="1201">
        <v>0</v>
      </c>
      <c r="K56" s="1201"/>
      <c r="L56" s="1201">
        <v>0</v>
      </c>
      <c r="M56" s="1181">
        <f t="shared" si="60"/>
        <v>0</v>
      </c>
      <c r="N56" s="1201">
        <v>0</v>
      </c>
      <c r="O56" s="1201"/>
      <c r="P56" s="1201">
        <v>0</v>
      </c>
      <c r="Q56" s="1181">
        <f t="shared" si="61"/>
        <v>0</v>
      </c>
      <c r="R56" s="1201">
        <v>0</v>
      </c>
      <c r="S56" s="1201"/>
      <c r="T56" s="1201">
        <v>0</v>
      </c>
      <c r="U56" s="1181">
        <f t="shared" si="62"/>
        <v>0</v>
      </c>
      <c r="V56" s="1201">
        <v>0</v>
      </c>
      <c r="W56" s="1201"/>
      <c r="X56" s="1201">
        <v>0</v>
      </c>
      <c r="Y56" s="1181">
        <f t="shared" si="63"/>
        <v>0</v>
      </c>
      <c r="Z56" s="1201">
        <v>0</v>
      </c>
      <c r="AA56" s="1201"/>
      <c r="AB56" s="1201">
        <v>0</v>
      </c>
      <c r="AC56" s="1181">
        <f t="shared" si="64"/>
        <v>0</v>
      </c>
      <c r="AD56" s="1262">
        <f t="shared" si="65"/>
        <v>0</v>
      </c>
      <c r="AE56" s="1170">
        <f t="shared" si="66"/>
        <v>939676</v>
      </c>
      <c r="AF56" s="1191">
        <f t="shared" si="67"/>
        <v>0</v>
      </c>
      <c r="AG56" s="1181">
        <f t="shared" si="68"/>
        <v>939676</v>
      </c>
    </row>
    <row r="57" spans="1:33" ht="18.75" customHeight="1" x14ac:dyDescent="0.25">
      <c r="A57" s="1304" t="s">
        <v>1458</v>
      </c>
      <c r="B57" s="1299">
        <v>0</v>
      </c>
      <c r="C57" s="1201">
        <v>0</v>
      </c>
      <c r="D57" s="1201">
        <v>0</v>
      </c>
      <c r="E57" s="1188">
        <f t="shared" si="58"/>
        <v>0</v>
      </c>
      <c r="F57" s="1201">
        <v>0</v>
      </c>
      <c r="G57" s="1201">
        <v>0</v>
      </c>
      <c r="H57" s="1201">
        <v>0</v>
      </c>
      <c r="I57" s="1188">
        <f t="shared" si="59"/>
        <v>0</v>
      </c>
      <c r="J57" s="1201">
        <v>0</v>
      </c>
      <c r="K57" s="1201">
        <v>0</v>
      </c>
      <c r="L57" s="1201">
        <v>0</v>
      </c>
      <c r="M57" s="1188">
        <f t="shared" si="60"/>
        <v>0</v>
      </c>
      <c r="N57" s="1201">
        <v>0</v>
      </c>
      <c r="O57" s="1201">
        <v>0</v>
      </c>
      <c r="P57" s="1201">
        <v>0</v>
      </c>
      <c r="Q57" s="1188">
        <f t="shared" si="61"/>
        <v>0</v>
      </c>
      <c r="R57" s="1201">
        <v>0</v>
      </c>
      <c r="S57" s="1201">
        <v>0</v>
      </c>
      <c r="T57" s="1201">
        <v>0</v>
      </c>
      <c r="U57" s="1188">
        <f t="shared" si="62"/>
        <v>0</v>
      </c>
      <c r="V57" s="1201">
        <v>0</v>
      </c>
      <c r="W57" s="1201">
        <v>0</v>
      </c>
      <c r="X57" s="1201">
        <v>0</v>
      </c>
      <c r="Y57" s="1188">
        <f t="shared" si="63"/>
        <v>0</v>
      </c>
      <c r="Z57" s="1201">
        <v>0</v>
      </c>
      <c r="AA57" s="1201">
        <v>0</v>
      </c>
      <c r="AB57" s="1201">
        <v>0</v>
      </c>
      <c r="AC57" s="1188">
        <f t="shared" si="64"/>
        <v>0</v>
      </c>
      <c r="AD57" s="1286">
        <f t="shared" si="65"/>
        <v>0</v>
      </c>
      <c r="AE57" s="1293">
        <f t="shared" si="66"/>
        <v>0</v>
      </c>
      <c r="AF57" s="1289">
        <f t="shared" si="67"/>
        <v>0</v>
      </c>
      <c r="AG57" s="1188">
        <f t="shared" si="68"/>
        <v>0</v>
      </c>
    </row>
    <row r="58" spans="1:33" ht="18.75" customHeight="1" thickBot="1" x14ac:dyDescent="0.35">
      <c r="A58" s="1301" t="s">
        <v>1459</v>
      </c>
      <c r="B58" s="1290">
        <f>SUM(B52:B57)</f>
        <v>0</v>
      </c>
      <c r="C58" s="1173">
        <f t="shared" ref="C58:D58" si="69">SUM(C52:C57)</f>
        <v>184151094</v>
      </c>
      <c r="D58" s="1173">
        <f t="shared" si="69"/>
        <v>0</v>
      </c>
      <c r="E58" s="1233">
        <f>SUM(E52:E57)</f>
        <v>184151094</v>
      </c>
      <c r="F58" s="1173">
        <f>SUM(F52:F57)</f>
        <v>0</v>
      </c>
      <c r="G58" s="1173">
        <f t="shared" ref="G58:H58" si="70">SUM(G52:G57)</f>
        <v>0</v>
      </c>
      <c r="H58" s="1173">
        <f t="shared" si="70"/>
        <v>0</v>
      </c>
      <c r="I58" s="1233">
        <f>SUM(I52:I57)</f>
        <v>0</v>
      </c>
      <c r="J58" s="1173">
        <f>SUM(J52:J57)</f>
        <v>0</v>
      </c>
      <c r="K58" s="1173">
        <f t="shared" ref="K58:L58" si="71">SUM(K52:K57)</f>
        <v>0</v>
      </c>
      <c r="L58" s="1173">
        <f t="shared" si="71"/>
        <v>0</v>
      </c>
      <c r="M58" s="1233">
        <f>SUM(M52:M57)</f>
        <v>0</v>
      </c>
      <c r="N58" s="1173">
        <f>SUM(N52:N57)</f>
        <v>0</v>
      </c>
      <c r="O58" s="1173">
        <f t="shared" ref="O58:P58" si="72">SUM(O52:O57)</f>
        <v>0</v>
      </c>
      <c r="P58" s="1173">
        <f t="shared" si="72"/>
        <v>0</v>
      </c>
      <c r="Q58" s="1233">
        <f>SUM(Q52:Q57)</f>
        <v>0</v>
      </c>
      <c r="R58" s="1173">
        <f>SUM(R52:R57)</f>
        <v>0</v>
      </c>
      <c r="S58" s="1173">
        <f t="shared" ref="S58:T58" si="73">SUM(S52:S57)</f>
        <v>0</v>
      </c>
      <c r="T58" s="1173">
        <f t="shared" si="73"/>
        <v>0</v>
      </c>
      <c r="U58" s="1233">
        <f>SUM(U52:U57)</f>
        <v>0</v>
      </c>
      <c r="V58" s="1173">
        <f>SUM(V52:V57)</f>
        <v>0</v>
      </c>
      <c r="W58" s="1173">
        <f t="shared" ref="W58:X58" si="74">SUM(W52:W57)</f>
        <v>0</v>
      </c>
      <c r="X58" s="1173">
        <f t="shared" si="74"/>
        <v>0</v>
      </c>
      <c r="Y58" s="1233">
        <f>SUM(Y52:Y57)</f>
        <v>0</v>
      </c>
      <c r="Z58" s="1173">
        <f>SUM(Z52:Z57)</f>
        <v>0</v>
      </c>
      <c r="AA58" s="1173">
        <f t="shared" ref="AA58:AB58" si="75">SUM(AA52:AA57)</f>
        <v>0</v>
      </c>
      <c r="AB58" s="1173">
        <f t="shared" si="75"/>
        <v>0</v>
      </c>
      <c r="AC58" s="1233">
        <f>SUM(AC52:AC57)</f>
        <v>0</v>
      </c>
      <c r="AD58" s="1173">
        <f>SUM(AD52:AD57)</f>
        <v>0</v>
      </c>
      <c r="AE58" s="1173">
        <f t="shared" ref="AE58:AF58" si="76">SUM(AE52:AE57)</f>
        <v>184151094</v>
      </c>
      <c r="AF58" s="1173">
        <f t="shared" si="76"/>
        <v>0</v>
      </c>
      <c r="AG58" s="1233">
        <f>SUM(AG52:AG57)</f>
        <v>184151094</v>
      </c>
    </row>
    <row r="59" spans="1:33" x14ac:dyDescent="0.25">
      <c r="A59" s="1302" t="s">
        <v>1460</v>
      </c>
      <c r="B59" s="1295">
        <v>0</v>
      </c>
      <c r="C59" s="1178">
        <v>0</v>
      </c>
      <c r="D59" s="1178">
        <v>0</v>
      </c>
      <c r="E59" s="1179">
        <f>+B59+C59+D59</f>
        <v>0</v>
      </c>
      <c r="F59" s="1228">
        <v>0</v>
      </c>
      <c r="G59" s="1178">
        <v>0</v>
      </c>
      <c r="H59" s="1178">
        <v>0</v>
      </c>
      <c r="I59" s="1179">
        <f>+F59+G59+H59</f>
        <v>0</v>
      </c>
      <c r="J59" s="1228">
        <v>0</v>
      </c>
      <c r="K59" s="1178">
        <v>0</v>
      </c>
      <c r="L59" s="1178">
        <v>0</v>
      </c>
      <c r="M59" s="1179">
        <f>+J59+K59+L59</f>
        <v>0</v>
      </c>
      <c r="N59" s="1228">
        <v>0</v>
      </c>
      <c r="O59" s="1178">
        <v>0</v>
      </c>
      <c r="P59" s="1178">
        <v>0</v>
      </c>
      <c r="Q59" s="1179">
        <f>+N59+O59+P59</f>
        <v>0</v>
      </c>
      <c r="R59" s="1228">
        <v>0</v>
      </c>
      <c r="S59" s="1178">
        <v>0</v>
      </c>
      <c r="T59" s="1178">
        <v>0</v>
      </c>
      <c r="U59" s="1179">
        <f>+R59+S59+T59</f>
        <v>0</v>
      </c>
      <c r="V59" s="1228">
        <v>0</v>
      </c>
      <c r="W59" s="1178">
        <v>0</v>
      </c>
      <c r="X59" s="1178">
        <v>0</v>
      </c>
      <c r="Y59" s="1179">
        <f>+V59+W59+X59</f>
        <v>0</v>
      </c>
      <c r="Z59" s="1228">
        <v>0</v>
      </c>
      <c r="AA59" s="1178">
        <v>0</v>
      </c>
      <c r="AB59" s="1178">
        <v>0</v>
      </c>
      <c r="AC59" s="1179">
        <f>+Z59+AA59+AB59</f>
        <v>0</v>
      </c>
      <c r="AD59" s="1292">
        <f>+B59+F59+J59+N59+R59+V59+Z59</f>
        <v>0</v>
      </c>
      <c r="AE59" s="1228">
        <f t="shared" ref="AE59:AE60" si="77">+C59+G59+K59+O59+S59+W59+AA59</f>
        <v>0</v>
      </c>
      <c r="AF59" s="1295">
        <f t="shared" ref="AF59:AF60" si="78">+D59+H59+L59+P59+T59+X59+AB59</f>
        <v>0</v>
      </c>
      <c r="AG59" s="1179">
        <f>+AD59+AE59+AF59</f>
        <v>0</v>
      </c>
    </row>
    <row r="60" spans="1:33" x14ac:dyDescent="0.25">
      <c r="A60" s="1303" t="s">
        <v>1461</v>
      </c>
      <c r="B60" s="1191">
        <v>410956549</v>
      </c>
      <c r="C60" s="1169">
        <v>0</v>
      </c>
      <c r="D60" s="1169">
        <f>SUM(D45,D49,D54,D58,D59,)</f>
        <v>0</v>
      </c>
      <c r="E60" s="1181">
        <f t="shared" ref="E60:E64" si="79">+B60+C60+D60</f>
        <v>410956549</v>
      </c>
      <c r="F60" s="1170">
        <v>1338822</v>
      </c>
      <c r="G60" s="1169">
        <v>0</v>
      </c>
      <c r="H60" s="1169">
        <f>SUM(H45,H49,H54,H58,H59,)</f>
        <v>0</v>
      </c>
      <c r="I60" s="1181">
        <f t="shared" ref="I60:I64" si="80">+F60+G60+H60</f>
        <v>1338822</v>
      </c>
      <c r="J60" s="1170">
        <v>1562141</v>
      </c>
      <c r="K60" s="1169">
        <v>0</v>
      </c>
      <c r="L60" s="1169">
        <f>SUM(L45,L49,L54,L58,L59,)</f>
        <v>0</v>
      </c>
      <c r="M60" s="1181">
        <f t="shared" ref="M60:M64" si="81">+J60+K60+L60</f>
        <v>1562141</v>
      </c>
      <c r="N60" s="1170">
        <v>2656361</v>
      </c>
      <c r="O60" s="1169">
        <v>0</v>
      </c>
      <c r="P60" s="1169">
        <f>SUM(P45,P49,P54,P58,P59,)</f>
        <v>0</v>
      </c>
      <c r="Q60" s="1181">
        <f t="shared" ref="Q60:Q64" si="82">+N60+O60+P60</f>
        <v>2656361</v>
      </c>
      <c r="R60" s="1170">
        <v>2430883</v>
      </c>
      <c r="S60" s="1169">
        <v>0</v>
      </c>
      <c r="T60" s="1169">
        <f>SUM(T45,T49,T54,T58,T59,)</f>
        <v>0</v>
      </c>
      <c r="U60" s="1181">
        <f t="shared" ref="U60:U64" si="83">+R60+S60+T60</f>
        <v>2430883</v>
      </c>
      <c r="V60" s="1170">
        <v>706412</v>
      </c>
      <c r="W60" s="1169">
        <v>0</v>
      </c>
      <c r="X60" s="1169">
        <f>SUM(X45,X49,X54,X58,X59,)</f>
        <v>0</v>
      </c>
      <c r="Y60" s="1181">
        <f t="shared" ref="Y60:Y64" si="84">+V60+W60+X60</f>
        <v>706412</v>
      </c>
      <c r="Z60" s="1170">
        <v>4809254</v>
      </c>
      <c r="AA60" s="1169">
        <v>0</v>
      </c>
      <c r="AB60" s="1169">
        <f>SUM(AB45,AB49,AB54,AB58,AB59,)</f>
        <v>0</v>
      </c>
      <c r="AC60" s="1181">
        <f t="shared" ref="AC60:AC64" si="85">+Z60+AA60+AB60</f>
        <v>4809254</v>
      </c>
      <c r="AD60" s="1262">
        <f t="shared" ref="AD60" si="86">+B60+F60+J60+N60+R60+V60+Z60</f>
        <v>424460422</v>
      </c>
      <c r="AE60" s="1170">
        <f t="shared" si="77"/>
        <v>0</v>
      </c>
      <c r="AF60" s="1191">
        <f t="shared" si="78"/>
        <v>0</v>
      </c>
      <c r="AG60" s="1181">
        <f t="shared" ref="AG60:AG64" si="87">+AD60+AE60+AF60</f>
        <v>424460422</v>
      </c>
    </row>
    <row r="61" spans="1:33" x14ac:dyDescent="0.25">
      <c r="A61" s="1303" t="s">
        <v>1462</v>
      </c>
      <c r="B61" s="1191">
        <v>0</v>
      </c>
      <c r="C61" s="1169">
        <v>0</v>
      </c>
      <c r="D61" s="1169">
        <v>0</v>
      </c>
      <c r="E61" s="1181">
        <f t="shared" si="79"/>
        <v>0</v>
      </c>
      <c r="F61" s="1170">
        <v>0</v>
      </c>
      <c r="G61" s="1169">
        <v>0</v>
      </c>
      <c r="H61" s="1169">
        <v>0</v>
      </c>
      <c r="I61" s="1181">
        <f t="shared" si="80"/>
        <v>0</v>
      </c>
      <c r="J61" s="1170">
        <v>0</v>
      </c>
      <c r="K61" s="1169">
        <v>0</v>
      </c>
      <c r="L61" s="1169">
        <v>0</v>
      </c>
      <c r="M61" s="1181">
        <f t="shared" si="81"/>
        <v>0</v>
      </c>
      <c r="N61" s="1170">
        <v>0</v>
      </c>
      <c r="O61" s="1169">
        <v>0</v>
      </c>
      <c r="P61" s="1169">
        <v>0</v>
      </c>
      <c r="Q61" s="1181">
        <f t="shared" si="82"/>
        <v>0</v>
      </c>
      <c r="R61" s="1170">
        <v>0</v>
      </c>
      <c r="S61" s="1169">
        <v>0</v>
      </c>
      <c r="T61" s="1169">
        <v>0</v>
      </c>
      <c r="U61" s="1181">
        <f t="shared" si="83"/>
        <v>0</v>
      </c>
      <c r="V61" s="1170">
        <v>0</v>
      </c>
      <c r="W61" s="1169">
        <v>0</v>
      </c>
      <c r="X61" s="1169">
        <v>0</v>
      </c>
      <c r="Y61" s="1181">
        <f t="shared" si="84"/>
        <v>0</v>
      </c>
      <c r="Z61" s="1170">
        <v>0</v>
      </c>
      <c r="AA61" s="1169">
        <v>0</v>
      </c>
      <c r="AB61" s="1169">
        <v>0</v>
      </c>
      <c r="AC61" s="1181">
        <f t="shared" si="85"/>
        <v>0</v>
      </c>
      <c r="AD61" s="1262">
        <f t="shared" ref="AD61:AD64" si="88">+B61+F61+J61+N61+R61+V61+Z61</f>
        <v>0</v>
      </c>
      <c r="AE61" s="1170">
        <f t="shared" ref="AE61:AE64" si="89">+C61+G61+K61+O61+S61+W61+AA61</f>
        <v>0</v>
      </c>
      <c r="AF61" s="1191">
        <f t="shared" ref="AF61:AF64" si="90">+D61+H61+L61+P61+T61+X61+AB61</f>
        <v>0</v>
      </c>
      <c r="AG61" s="1181">
        <f t="shared" si="87"/>
        <v>0</v>
      </c>
    </row>
    <row r="62" spans="1:33" x14ac:dyDescent="0.25">
      <c r="A62" s="1303" t="s">
        <v>1463</v>
      </c>
      <c r="B62" s="1191">
        <v>21292624</v>
      </c>
      <c r="C62" s="1169">
        <v>0</v>
      </c>
      <c r="D62" s="1169">
        <v>0</v>
      </c>
      <c r="E62" s="1181">
        <f t="shared" si="79"/>
        <v>21292624</v>
      </c>
      <c r="F62" s="1170">
        <v>0</v>
      </c>
      <c r="G62" s="1169">
        <v>0</v>
      </c>
      <c r="H62" s="1169">
        <v>0</v>
      </c>
      <c r="I62" s="1181">
        <f t="shared" si="80"/>
        <v>0</v>
      </c>
      <c r="J62" s="1170">
        <v>0</v>
      </c>
      <c r="K62" s="1169">
        <v>0</v>
      </c>
      <c r="L62" s="1169">
        <v>0</v>
      </c>
      <c r="M62" s="1181">
        <f t="shared" si="81"/>
        <v>0</v>
      </c>
      <c r="N62" s="1170">
        <v>0</v>
      </c>
      <c r="O62" s="1169">
        <v>0</v>
      </c>
      <c r="P62" s="1169">
        <v>0</v>
      </c>
      <c r="Q62" s="1181">
        <f t="shared" si="82"/>
        <v>0</v>
      </c>
      <c r="R62" s="1170">
        <v>0</v>
      </c>
      <c r="S62" s="1169">
        <v>0</v>
      </c>
      <c r="T62" s="1169">
        <v>0</v>
      </c>
      <c r="U62" s="1181">
        <f t="shared" si="83"/>
        <v>0</v>
      </c>
      <c r="V62" s="1170">
        <v>0</v>
      </c>
      <c r="W62" s="1169">
        <v>0</v>
      </c>
      <c r="X62" s="1169">
        <v>0</v>
      </c>
      <c r="Y62" s="1181">
        <f t="shared" si="84"/>
        <v>0</v>
      </c>
      <c r="Z62" s="1170">
        <v>0</v>
      </c>
      <c r="AA62" s="1169">
        <v>0</v>
      </c>
      <c r="AB62" s="1169">
        <v>0</v>
      </c>
      <c r="AC62" s="1181">
        <f t="shared" si="85"/>
        <v>0</v>
      </c>
      <c r="AD62" s="1262">
        <f t="shared" si="88"/>
        <v>21292624</v>
      </c>
      <c r="AE62" s="1170">
        <f t="shared" si="89"/>
        <v>0</v>
      </c>
      <c r="AF62" s="1191">
        <f t="shared" si="90"/>
        <v>0</v>
      </c>
      <c r="AG62" s="1181">
        <f t="shared" si="87"/>
        <v>21292624</v>
      </c>
    </row>
    <row r="63" spans="1:33" x14ac:dyDescent="0.25">
      <c r="A63" s="1303" t="s">
        <v>1464</v>
      </c>
      <c r="B63" s="1191">
        <v>0</v>
      </c>
      <c r="C63" s="1169">
        <v>0</v>
      </c>
      <c r="D63" s="1169">
        <v>0</v>
      </c>
      <c r="E63" s="1181">
        <f t="shared" si="79"/>
        <v>0</v>
      </c>
      <c r="F63" s="1170">
        <v>0</v>
      </c>
      <c r="G63" s="1169">
        <v>0</v>
      </c>
      <c r="H63" s="1169">
        <v>0</v>
      </c>
      <c r="I63" s="1181">
        <f t="shared" si="80"/>
        <v>0</v>
      </c>
      <c r="J63" s="1170">
        <v>0</v>
      </c>
      <c r="K63" s="1169">
        <v>0</v>
      </c>
      <c r="L63" s="1169">
        <v>0</v>
      </c>
      <c r="M63" s="1181">
        <f t="shared" si="81"/>
        <v>0</v>
      </c>
      <c r="N63" s="1170">
        <v>0</v>
      </c>
      <c r="O63" s="1169">
        <v>0</v>
      </c>
      <c r="P63" s="1169">
        <v>0</v>
      </c>
      <c r="Q63" s="1181">
        <f t="shared" si="82"/>
        <v>0</v>
      </c>
      <c r="R63" s="1170">
        <v>0</v>
      </c>
      <c r="S63" s="1169">
        <v>0</v>
      </c>
      <c r="T63" s="1169">
        <v>0</v>
      </c>
      <c r="U63" s="1181">
        <f t="shared" si="83"/>
        <v>0</v>
      </c>
      <c r="V63" s="1170">
        <v>0</v>
      </c>
      <c r="W63" s="1169">
        <v>0</v>
      </c>
      <c r="X63" s="1169">
        <v>0</v>
      </c>
      <c r="Y63" s="1181">
        <f t="shared" si="84"/>
        <v>0</v>
      </c>
      <c r="Z63" s="1170">
        <v>0</v>
      </c>
      <c r="AA63" s="1169">
        <v>0</v>
      </c>
      <c r="AB63" s="1169">
        <v>0</v>
      </c>
      <c r="AC63" s="1181">
        <f t="shared" si="85"/>
        <v>0</v>
      </c>
      <c r="AD63" s="1262">
        <f t="shared" si="88"/>
        <v>0</v>
      </c>
      <c r="AE63" s="1170">
        <f t="shared" si="89"/>
        <v>0</v>
      </c>
      <c r="AF63" s="1191">
        <f t="shared" si="90"/>
        <v>0</v>
      </c>
      <c r="AG63" s="1181">
        <f t="shared" si="87"/>
        <v>0</v>
      </c>
    </row>
    <row r="64" spans="1:33" x14ac:dyDescent="0.25">
      <c r="A64" s="1303" t="s">
        <v>1465</v>
      </c>
      <c r="B64" s="1191">
        <v>0</v>
      </c>
      <c r="C64" s="1169">
        <v>0</v>
      </c>
      <c r="D64" s="1169">
        <v>0</v>
      </c>
      <c r="E64" s="1181">
        <f t="shared" si="79"/>
        <v>0</v>
      </c>
      <c r="F64" s="1170">
        <v>0</v>
      </c>
      <c r="G64" s="1169">
        <v>0</v>
      </c>
      <c r="H64" s="1169">
        <v>0</v>
      </c>
      <c r="I64" s="1181">
        <f t="shared" si="80"/>
        <v>0</v>
      </c>
      <c r="J64" s="1170">
        <v>0</v>
      </c>
      <c r="K64" s="1169">
        <v>0</v>
      </c>
      <c r="L64" s="1169">
        <v>0</v>
      </c>
      <c r="M64" s="1181">
        <f t="shared" si="81"/>
        <v>0</v>
      </c>
      <c r="N64" s="1170">
        <v>0</v>
      </c>
      <c r="O64" s="1169">
        <v>0</v>
      </c>
      <c r="P64" s="1169">
        <v>0</v>
      </c>
      <c r="Q64" s="1181">
        <f t="shared" si="82"/>
        <v>0</v>
      </c>
      <c r="R64" s="1170">
        <v>0</v>
      </c>
      <c r="S64" s="1169">
        <v>0</v>
      </c>
      <c r="T64" s="1169">
        <v>0</v>
      </c>
      <c r="U64" s="1181">
        <f t="shared" si="83"/>
        <v>0</v>
      </c>
      <c r="V64" s="1170">
        <v>0</v>
      </c>
      <c r="W64" s="1169">
        <v>0</v>
      </c>
      <c r="X64" s="1169">
        <v>0</v>
      </c>
      <c r="Y64" s="1181">
        <f t="shared" si="84"/>
        <v>0</v>
      </c>
      <c r="Z64" s="1170">
        <v>0</v>
      </c>
      <c r="AA64" s="1169">
        <v>0</v>
      </c>
      <c r="AB64" s="1169">
        <v>0</v>
      </c>
      <c r="AC64" s="1181">
        <f t="shared" si="85"/>
        <v>0</v>
      </c>
      <c r="AD64" s="1262">
        <f t="shared" si="88"/>
        <v>0</v>
      </c>
      <c r="AE64" s="1170">
        <f t="shared" si="89"/>
        <v>0</v>
      </c>
      <c r="AF64" s="1191">
        <f t="shared" si="90"/>
        <v>0</v>
      </c>
      <c r="AG64" s="1181">
        <f t="shared" si="87"/>
        <v>0</v>
      </c>
    </row>
    <row r="65" spans="1:33" ht="18.75" customHeight="1" thickBot="1" x14ac:dyDescent="0.35">
      <c r="A65" s="1301" t="s">
        <v>1466</v>
      </c>
      <c r="B65" s="1297">
        <f>SUM(B59:B64)</f>
        <v>432249173</v>
      </c>
      <c r="C65" s="1173"/>
      <c r="D65" s="1173"/>
      <c r="E65" s="1233">
        <f>SUM(B65:D65)</f>
        <v>432249173</v>
      </c>
      <c r="F65" s="1225">
        <f>SUM(F59:F64)</f>
        <v>1338822</v>
      </c>
      <c r="G65" s="1173"/>
      <c r="H65" s="1173"/>
      <c r="I65" s="1233">
        <f>SUM(F65:H65)</f>
        <v>1338822</v>
      </c>
      <c r="J65" s="1225">
        <f>SUM(J59:J64)</f>
        <v>1562141</v>
      </c>
      <c r="K65" s="1173"/>
      <c r="L65" s="1173"/>
      <c r="M65" s="1233">
        <f>SUM(J65:L65)</f>
        <v>1562141</v>
      </c>
      <c r="N65" s="1225">
        <f>SUM(N59:N64)</f>
        <v>2656361</v>
      </c>
      <c r="O65" s="1173"/>
      <c r="P65" s="1173"/>
      <c r="Q65" s="1233">
        <f>SUM(N65:P65)</f>
        <v>2656361</v>
      </c>
      <c r="R65" s="1225">
        <f>SUM(R59:R64)</f>
        <v>2430883</v>
      </c>
      <c r="S65" s="1173"/>
      <c r="T65" s="1173"/>
      <c r="U65" s="1233">
        <f>SUM(R65:T65)</f>
        <v>2430883</v>
      </c>
      <c r="V65" s="1225">
        <f>SUM(V59:V64)</f>
        <v>706412</v>
      </c>
      <c r="W65" s="1173"/>
      <c r="X65" s="1173"/>
      <c r="Y65" s="1233">
        <f>SUM(V65:X65)</f>
        <v>706412</v>
      </c>
      <c r="Z65" s="1225">
        <f>SUM(Z59:Z64)</f>
        <v>4809254</v>
      </c>
      <c r="AA65" s="1173"/>
      <c r="AB65" s="1173"/>
      <c r="AC65" s="1233">
        <f>SUM(Z65:AB65)</f>
        <v>4809254</v>
      </c>
      <c r="AD65" s="1225">
        <f>SUM(AD59:AD64)</f>
        <v>445753046</v>
      </c>
      <c r="AE65" s="1173"/>
      <c r="AF65" s="1173"/>
      <c r="AG65" s="1233">
        <f>SUM(AD65:AF65)</f>
        <v>445753046</v>
      </c>
    </row>
    <row r="66" spans="1:33" ht="15.6" x14ac:dyDescent="0.3">
      <c r="A66" s="1305" t="s">
        <v>1467</v>
      </c>
      <c r="B66" s="1295">
        <v>0</v>
      </c>
      <c r="C66" s="1178">
        <v>0</v>
      </c>
      <c r="D66" s="1178">
        <v>0</v>
      </c>
      <c r="E66" s="1179">
        <f>+B66+C66+D66</f>
        <v>0</v>
      </c>
      <c r="F66" s="1228">
        <v>0</v>
      </c>
      <c r="G66" s="1178">
        <v>0</v>
      </c>
      <c r="H66" s="1178">
        <v>0</v>
      </c>
      <c r="I66" s="1179">
        <f>+F66+G66+H66</f>
        <v>0</v>
      </c>
      <c r="J66" s="1228">
        <v>0</v>
      </c>
      <c r="K66" s="1178">
        <v>0</v>
      </c>
      <c r="L66" s="1178">
        <v>0</v>
      </c>
      <c r="M66" s="1179">
        <f>+J66+K66+L66</f>
        <v>0</v>
      </c>
      <c r="N66" s="1228">
        <v>0</v>
      </c>
      <c r="O66" s="1178">
        <v>0</v>
      </c>
      <c r="P66" s="1178">
        <v>0</v>
      </c>
      <c r="Q66" s="1179">
        <f>+N66+O66+P66</f>
        <v>0</v>
      </c>
      <c r="R66" s="1228">
        <v>0</v>
      </c>
      <c r="S66" s="1178">
        <v>0</v>
      </c>
      <c r="T66" s="1178">
        <v>0</v>
      </c>
      <c r="U66" s="1179">
        <f>+R66+S66+T66</f>
        <v>0</v>
      </c>
      <c r="V66" s="1228">
        <v>0</v>
      </c>
      <c r="W66" s="1178">
        <v>0</v>
      </c>
      <c r="X66" s="1178">
        <v>0</v>
      </c>
      <c r="Y66" s="1179">
        <f>+V66+W66+X66</f>
        <v>0</v>
      </c>
      <c r="Z66" s="1228">
        <v>0</v>
      </c>
      <c r="AA66" s="1178">
        <v>0</v>
      </c>
      <c r="AB66" s="1178">
        <v>0</v>
      </c>
      <c r="AC66" s="1179">
        <f>+Z66+AA66+AB66</f>
        <v>0</v>
      </c>
      <c r="AD66" s="1292">
        <f>+B66+F66+J66+N66+R66+V66+Z66</f>
        <v>0</v>
      </c>
      <c r="AE66" s="1228">
        <f t="shared" ref="AE66:AE67" si="91">+C66+G66+K66+O66+S66+W66+AA66</f>
        <v>0</v>
      </c>
      <c r="AF66" s="1295">
        <f t="shared" ref="AF66:AF67" si="92">+D66+H66+L66+P66+T66+X66+AB66</f>
        <v>0</v>
      </c>
      <c r="AG66" s="1179">
        <f>+AD66+AE66+AF66</f>
        <v>0</v>
      </c>
    </row>
    <row r="67" spans="1:33" ht="15.6" x14ac:dyDescent="0.3">
      <c r="A67" s="1306" t="s">
        <v>1468</v>
      </c>
      <c r="B67" s="1191">
        <v>0</v>
      </c>
      <c r="C67" s="1169">
        <v>0</v>
      </c>
      <c r="D67" s="1169">
        <v>0</v>
      </c>
      <c r="E67" s="1181">
        <f t="shared" ref="E67:E70" si="93">+B67+C67+D67</f>
        <v>0</v>
      </c>
      <c r="F67" s="1170">
        <v>0</v>
      </c>
      <c r="G67" s="1169">
        <v>0</v>
      </c>
      <c r="H67" s="1169">
        <v>0</v>
      </c>
      <c r="I67" s="1181">
        <f t="shared" ref="I67:I70" si="94">+F67+G67+H67</f>
        <v>0</v>
      </c>
      <c r="J67" s="1170">
        <v>0</v>
      </c>
      <c r="K67" s="1169">
        <v>0</v>
      </c>
      <c r="L67" s="1169">
        <v>0</v>
      </c>
      <c r="M67" s="1181">
        <f t="shared" ref="M67:M70" si="95">+J67+K67+L67</f>
        <v>0</v>
      </c>
      <c r="N67" s="1170">
        <v>0</v>
      </c>
      <c r="O67" s="1169">
        <v>0</v>
      </c>
      <c r="P67" s="1169">
        <v>0</v>
      </c>
      <c r="Q67" s="1181">
        <f t="shared" ref="Q67:Q70" si="96">+N67+O67+P67</f>
        <v>0</v>
      </c>
      <c r="R67" s="1170">
        <v>0</v>
      </c>
      <c r="S67" s="1169">
        <v>0</v>
      </c>
      <c r="T67" s="1169">
        <v>0</v>
      </c>
      <c r="U67" s="1181">
        <f t="shared" ref="U67:U70" si="97">+R67+S67+T67</f>
        <v>0</v>
      </c>
      <c r="V67" s="1170">
        <v>0</v>
      </c>
      <c r="W67" s="1169">
        <v>0</v>
      </c>
      <c r="X67" s="1169">
        <v>0</v>
      </c>
      <c r="Y67" s="1181">
        <f t="shared" ref="Y67:Y70" si="98">+V67+W67+X67</f>
        <v>0</v>
      </c>
      <c r="Z67" s="1170">
        <v>0</v>
      </c>
      <c r="AA67" s="1169">
        <v>0</v>
      </c>
      <c r="AB67" s="1169">
        <v>0</v>
      </c>
      <c r="AC67" s="1181">
        <f t="shared" ref="AC67:AC70" si="99">+Z67+AA67+AB67</f>
        <v>0</v>
      </c>
      <c r="AD67" s="1262">
        <f t="shared" ref="AD67" si="100">+B67+F67+J67+N67+R67+V67+Z67</f>
        <v>0</v>
      </c>
      <c r="AE67" s="1170">
        <f t="shared" si="91"/>
        <v>0</v>
      </c>
      <c r="AF67" s="1191">
        <f t="shared" si="92"/>
        <v>0</v>
      </c>
      <c r="AG67" s="1181">
        <f t="shared" ref="AG67:AG70" si="101">+AD67+AE67+AF67</f>
        <v>0</v>
      </c>
    </row>
    <row r="68" spans="1:33" ht="15.6" x14ac:dyDescent="0.3">
      <c r="A68" s="1306" t="s">
        <v>1469</v>
      </c>
      <c r="B68" s="1191">
        <v>0</v>
      </c>
      <c r="C68" s="1169">
        <v>0</v>
      </c>
      <c r="D68" s="1169">
        <v>0</v>
      </c>
      <c r="E68" s="1181">
        <f t="shared" si="93"/>
        <v>0</v>
      </c>
      <c r="F68" s="1170">
        <v>0</v>
      </c>
      <c r="G68" s="1169">
        <v>0</v>
      </c>
      <c r="H68" s="1169">
        <v>0</v>
      </c>
      <c r="I68" s="1181">
        <f t="shared" si="94"/>
        <v>0</v>
      </c>
      <c r="J68" s="1170">
        <v>0</v>
      </c>
      <c r="K68" s="1169">
        <v>0</v>
      </c>
      <c r="L68" s="1169">
        <v>0</v>
      </c>
      <c r="M68" s="1181">
        <f t="shared" si="95"/>
        <v>0</v>
      </c>
      <c r="N68" s="1170">
        <v>0</v>
      </c>
      <c r="O68" s="1169">
        <v>0</v>
      </c>
      <c r="P68" s="1169">
        <v>0</v>
      </c>
      <c r="Q68" s="1181">
        <f t="shared" si="96"/>
        <v>0</v>
      </c>
      <c r="R68" s="1170">
        <v>0</v>
      </c>
      <c r="S68" s="1169">
        <v>0</v>
      </c>
      <c r="T68" s="1169">
        <v>0</v>
      </c>
      <c r="U68" s="1181">
        <f t="shared" si="97"/>
        <v>0</v>
      </c>
      <c r="V68" s="1170">
        <v>0</v>
      </c>
      <c r="W68" s="1169">
        <v>0</v>
      </c>
      <c r="X68" s="1169">
        <v>0</v>
      </c>
      <c r="Y68" s="1181">
        <f t="shared" si="98"/>
        <v>0</v>
      </c>
      <c r="Z68" s="1170">
        <v>0</v>
      </c>
      <c r="AA68" s="1169">
        <v>0</v>
      </c>
      <c r="AB68" s="1169">
        <v>0</v>
      </c>
      <c r="AC68" s="1181">
        <f t="shared" si="99"/>
        <v>0</v>
      </c>
      <c r="AD68" s="1262">
        <f t="shared" ref="AD68:AD70" si="102">+B68+F68+J68+N68+R68+V68+Z68</f>
        <v>0</v>
      </c>
      <c r="AE68" s="1170">
        <f t="shared" ref="AE68:AE70" si="103">+C68+G68+K68+O68+S68+W68+AA68</f>
        <v>0</v>
      </c>
      <c r="AF68" s="1191">
        <f t="shared" ref="AF68:AF70" si="104">+D68+H68+L68+P68+T68+X68+AB68</f>
        <v>0</v>
      </c>
      <c r="AG68" s="1181">
        <f t="shared" si="101"/>
        <v>0</v>
      </c>
    </row>
    <row r="69" spans="1:33" ht="15.6" x14ac:dyDescent="0.3">
      <c r="A69" s="1306" t="s">
        <v>357</v>
      </c>
      <c r="B69" s="1191">
        <v>0</v>
      </c>
      <c r="C69" s="1169">
        <v>0</v>
      </c>
      <c r="D69" s="1169">
        <v>0</v>
      </c>
      <c r="E69" s="1181">
        <f t="shared" si="93"/>
        <v>0</v>
      </c>
      <c r="F69" s="1170">
        <v>0</v>
      </c>
      <c r="G69" s="1169">
        <v>0</v>
      </c>
      <c r="H69" s="1169">
        <v>0</v>
      </c>
      <c r="I69" s="1181">
        <f t="shared" si="94"/>
        <v>0</v>
      </c>
      <c r="J69" s="1170">
        <v>0</v>
      </c>
      <c r="K69" s="1169">
        <v>0</v>
      </c>
      <c r="L69" s="1169">
        <v>0</v>
      </c>
      <c r="M69" s="1181">
        <f t="shared" si="95"/>
        <v>0</v>
      </c>
      <c r="N69" s="1170">
        <v>0</v>
      </c>
      <c r="O69" s="1169">
        <v>0</v>
      </c>
      <c r="P69" s="1169">
        <v>0</v>
      </c>
      <c r="Q69" s="1181">
        <f t="shared" si="96"/>
        <v>0</v>
      </c>
      <c r="R69" s="1170">
        <v>0</v>
      </c>
      <c r="S69" s="1169">
        <v>0</v>
      </c>
      <c r="T69" s="1169">
        <v>0</v>
      </c>
      <c r="U69" s="1181">
        <f t="shared" si="97"/>
        <v>0</v>
      </c>
      <c r="V69" s="1170">
        <v>0</v>
      </c>
      <c r="W69" s="1169">
        <v>0</v>
      </c>
      <c r="X69" s="1169">
        <v>0</v>
      </c>
      <c r="Y69" s="1181">
        <f t="shared" si="98"/>
        <v>0</v>
      </c>
      <c r="Z69" s="1170">
        <v>0</v>
      </c>
      <c r="AA69" s="1169">
        <v>0</v>
      </c>
      <c r="AB69" s="1169">
        <v>0</v>
      </c>
      <c r="AC69" s="1181">
        <f t="shared" si="99"/>
        <v>0</v>
      </c>
      <c r="AD69" s="1262">
        <f t="shared" si="102"/>
        <v>0</v>
      </c>
      <c r="AE69" s="1170">
        <f t="shared" si="103"/>
        <v>0</v>
      </c>
      <c r="AF69" s="1191">
        <f t="shared" si="104"/>
        <v>0</v>
      </c>
      <c r="AG69" s="1181">
        <f t="shared" si="101"/>
        <v>0</v>
      </c>
    </row>
    <row r="70" spans="1:33" ht="15.6" x14ac:dyDescent="0.3">
      <c r="A70" s="1306" t="s">
        <v>1465</v>
      </c>
      <c r="B70" s="1191">
        <v>0</v>
      </c>
      <c r="C70" s="1169">
        <v>0</v>
      </c>
      <c r="D70" s="1169">
        <v>0</v>
      </c>
      <c r="E70" s="1181">
        <f t="shared" si="93"/>
        <v>0</v>
      </c>
      <c r="F70" s="1170">
        <v>0</v>
      </c>
      <c r="G70" s="1169">
        <v>0</v>
      </c>
      <c r="H70" s="1169">
        <v>0</v>
      </c>
      <c r="I70" s="1181">
        <f t="shared" si="94"/>
        <v>0</v>
      </c>
      <c r="J70" s="1170">
        <v>0</v>
      </c>
      <c r="K70" s="1169">
        <v>0</v>
      </c>
      <c r="L70" s="1169">
        <v>0</v>
      </c>
      <c r="M70" s="1181">
        <f t="shared" si="95"/>
        <v>0</v>
      </c>
      <c r="N70" s="1170">
        <v>0</v>
      </c>
      <c r="O70" s="1169">
        <v>0</v>
      </c>
      <c r="P70" s="1169">
        <v>0</v>
      </c>
      <c r="Q70" s="1181">
        <f t="shared" si="96"/>
        <v>0</v>
      </c>
      <c r="R70" s="1170">
        <v>0</v>
      </c>
      <c r="S70" s="1169">
        <v>0</v>
      </c>
      <c r="T70" s="1169">
        <v>0</v>
      </c>
      <c r="U70" s="1181">
        <f t="shared" si="97"/>
        <v>0</v>
      </c>
      <c r="V70" s="1170">
        <v>0</v>
      </c>
      <c r="W70" s="1169">
        <v>0</v>
      </c>
      <c r="X70" s="1169">
        <v>0</v>
      </c>
      <c r="Y70" s="1181">
        <f t="shared" si="98"/>
        <v>0</v>
      </c>
      <c r="Z70" s="1170">
        <v>0</v>
      </c>
      <c r="AA70" s="1169">
        <v>0</v>
      </c>
      <c r="AB70" s="1169">
        <v>0</v>
      </c>
      <c r="AC70" s="1181">
        <f t="shared" si="99"/>
        <v>0</v>
      </c>
      <c r="AD70" s="1262">
        <f t="shared" si="102"/>
        <v>0</v>
      </c>
      <c r="AE70" s="1170">
        <f t="shared" si="103"/>
        <v>0</v>
      </c>
      <c r="AF70" s="1191">
        <f t="shared" si="104"/>
        <v>0</v>
      </c>
      <c r="AG70" s="1181">
        <f t="shared" si="101"/>
        <v>0</v>
      </c>
    </row>
    <row r="71" spans="1:33" ht="18.75" customHeight="1" thickBot="1" x14ac:dyDescent="0.35">
      <c r="A71" s="1301" t="s">
        <v>1470</v>
      </c>
      <c r="B71" s="1297">
        <f>SUM(B66:B70)</f>
        <v>0</v>
      </c>
      <c r="C71" s="1225">
        <f t="shared" ref="C71:E71" si="105">SUM(C66:C70)</f>
        <v>0</v>
      </c>
      <c r="D71" s="1225">
        <f t="shared" si="105"/>
        <v>0</v>
      </c>
      <c r="E71" s="1233">
        <f t="shared" si="105"/>
        <v>0</v>
      </c>
      <c r="F71" s="1225">
        <f>SUM(F66:F70)</f>
        <v>0</v>
      </c>
      <c r="G71" s="1225">
        <f t="shared" ref="G71:I71" si="106">SUM(G66:G70)</f>
        <v>0</v>
      </c>
      <c r="H71" s="1225">
        <f t="shared" si="106"/>
        <v>0</v>
      </c>
      <c r="I71" s="1234">
        <f t="shared" si="106"/>
        <v>0</v>
      </c>
      <c r="J71" s="1225">
        <f>SUM(J66:J70)</f>
        <v>0</v>
      </c>
      <c r="K71" s="1225">
        <f t="shared" ref="K71:M71" si="107">SUM(K66:K70)</f>
        <v>0</v>
      </c>
      <c r="L71" s="1225">
        <f t="shared" si="107"/>
        <v>0</v>
      </c>
      <c r="M71" s="1234">
        <f t="shared" si="107"/>
        <v>0</v>
      </c>
      <c r="N71" s="1225">
        <f>SUM(N66:N70)</f>
        <v>0</v>
      </c>
      <c r="O71" s="1225">
        <f t="shared" ref="O71:Q71" si="108">SUM(O66:O70)</f>
        <v>0</v>
      </c>
      <c r="P71" s="1225">
        <f t="shared" si="108"/>
        <v>0</v>
      </c>
      <c r="Q71" s="1234">
        <f t="shared" si="108"/>
        <v>0</v>
      </c>
      <c r="R71" s="1225">
        <f>SUM(R66:R70)</f>
        <v>0</v>
      </c>
      <c r="S71" s="1225">
        <f t="shared" ref="S71:U71" si="109">SUM(S66:S70)</f>
        <v>0</v>
      </c>
      <c r="T71" s="1225">
        <f t="shared" si="109"/>
        <v>0</v>
      </c>
      <c r="U71" s="1234">
        <f t="shared" si="109"/>
        <v>0</v>
      </c>
      <c r="V71" s="1225">
        <f>SUM(V66:V70)</f>
        <v>0</v>
      </c>
      <c r="W71" s="1225">
        <f t="shared" ref="W71:Y71" si="110">SUM(W66:W70)</f>
        <v>0</v>
      </c>
      <c r="X71" s="1225">
        <f t="shared" si="110"/>
        <v>0</v>
      </c>
      <c r="Y71" s="1234">
        <f t="shared" si="110"/>
        <v>0</v>
      </c>
      <c r="Z71" s="1225">
        <f>SUM(Z66:Z70)</f>
        <v>0</v>
      </c>
      <c r="AA71" s="1225">
        <f t="shared" ref="AA71:AC71" si="111">SUM(AA66:AA70)</f>
        <v>0</v>
      </c>
      <c r="AB71" s="1225">
        <f t="shared" si="111"/>
        <v>0</v>
      </c>
      <c r="AC71" s="1234">
        <f t="shared" si="111"/>
        <v>0</v>
      </c>
      <c r="AD71" s="1225">
        <f>SUM(AD66:AD70)</f>
        <v>0</v>
      </c>
      <c r="AE71" s="1225">
        <f t="shared" ref="AE71:AG71" si="112">SUM(AE66:AE70)</f>
        <v>0</v>
      </c>
      <c r="AF71" s="1225">
        <f t="shared" si="112"/>
        <v>0</v>
      </c>
      <c r="AG71" s="1233">
        <f t="shared" si="112"/>
        <v>0</v>
      </c>
    </row>
    <row r="72" spans="1:33" ht="19.5" customHeight="1" thickBot="1" x14ac:dyDescent="0.4">
      <c r="A72" s="1307" t="s">
        <v>1471</v>
      </c>
      <c r="B72" s="1300">
        <f>+B51+B58+B65+B71</f>
        <v>1635359668</v>
      </c>
      <c r="C72" s="1208">
        <f t="shared" ref="C72:E72" si="113">+C51+C58+C65+C71</f>
        <v>184151094</v>
      </c>
      <c r="D72" s="1208">
        <f t="shared" si="113"/>
        <v>0</v>
      </c>
      <c r="E72" s="1209">
        <f t="shared" si="113"/>
        <v>1819510762</v>
      </c>
      <c r="F72" s="1208">
        <f>+F51+F58+F65+F71</f>
        <v>7690164</v>
      </c>
      <c r="G72" s="1208">
        <f t="shared" ref="G72:I72" si="114">+G51+G58+G65+G71</f>
        <v>0</v>
      </c>
      <c r="H72" s="1208">
        <f t="shared" si="114"/>
        <v>0</v>
      </c>
      <c r="I72" s="1209">
        <f t="shared" si="114"/>
        <v>7690164</v>
      </c>
      <c r="J72" s="1208">
        <f>+J51+J58+J65+J71</f>
        <v>1564974</v>
      </c>
      <c r="K72" s="1208">
        <f t="shared" ref="K72:M72" si="115">+K51+K58+K65+K71</f>
        <v>0</v>
      </c>
      <c r="L72" s="1208">
        <f t="shared" si="115"/>
        <v>0</v>
      </c>
      <c r="M72" s="1209">
        <f t="shared" si="115"/>
        <v>1564974</v>
      </c>
      <c r="N72" s="1208">
        <f>+N51+N58+N65+N71</f>
        <v>6699846</v>
      </c>
      <c r="O72" s="1208">
        <f t="shared" ref="O72:Q72" si="116">+O51+O58+O65+O71</f>
        <v>0</v>
      </c>
      <c r="P72" s="1208">
        <f t="shared" si="116"/>
        <v>0</v>
      </c>
      <c r="Q72" s="1209">
        <f t="shared" si="116"/>
        <v>6699846</v>
      </c>
      <c r="R72" s="1208">
        <f>+R51+R58+R65+R71</f>
        <v>6610946</v>
      </c>
      <c r="S72" s="1208">
        <f t="shared" ref="S72:U72" si="117">+S51+S58+S65+S71</f>
        <v>0</v>
      </c>
      <c r="T72" s="1208">
        <f t="shared" si="117"/>
        <v>0</v>
      </c>
      <c r="U72" s="1209">
        <f t="shared" si="117"/>
        <v>6610946</v>
      </c>
      <c r="V72" s="1208">
        <f>+V51+V58+V65+V71</f>
        <v>2177113</v>
      </c>
      <c r="W72" s="1208">
        <f t="shared" ref="W72:Y72" si="118">+W51+W58+W65+W71</f>
        <v>0</v>
      </c>
      <c r="X72" s="1208">
        <f t="shared" si="118"/>
        <v>0</v>
      </c>
      <c r="Y72" s="1209">
        <f t="shared" si="118"/>
        <v>2177113</v>
      </c>
      <c r="Z72" s="1208">
        <f>+Z51+Z58+Z65+Z71</f>
        <v>34208858</v>
      </c>
      <c r="AA72" s="1208">
        <f t="shared" ref="AA72:AC72" si="119">+AA51+AA58+AA65+AA71</f>
        <v>0</v>
      </c>
      <c r="AB72" s="1208">
        <f t="shared" si="119"/>
        <v>0</v>
      </c>
      <c r="AC72" s="1209">
        <f t="shared" si="119"/>
        <v>34208858</v>
      </c>
      <c r="AD72" s="1208">
        <f>+AD51+AD58+AD65+AD71</f>
        <v>1694311569</v>
      </c>
      <c r="AE72" s="1208">
        <f t="shared" ref="AE72:AG72" si="120">+AE51+AE58+AE65+AE71</f>
        <v>184151094</v>
      </c>
      <c r="AF72" s="1208">
        <f t="shared" si="120"/>
        <v>0</v>
      </c>
      <c r="AG72" s="1296">
        <f t="shared" si="120"/>
        <v>1878462663</v>
      </c>
    </row>
    <row r="73" spans="1:33" x14ac:dyDescent="0.25">
      <c r="A73" s="1157"/>
      <c r="B73" s="1157"/>
      <c r="C73" s="1157"/>
      <c r="D73" s="1157"/>
      <c r="E73" s="1211"/>
      <c r="F73" s="1157"/>
      <c r="G73" s="1157"/>
      <c r="H73" s="1157"/>
      <c r="I73" s="1211"/>
      <c r="J73" s="1157"/>
      <c r="K73" s="1157"/>
      <c r="L73" s="1157"/>
      <c r="M73" s="1211"/>
      <c r="N73" s="1157"/>
      <c r="O73" s="1157"/>
      <c r="P73" s="1157"/>
      <c r="Q73" s="1211"/>
      <c r="R73" s="1157"/>
      <c r="S73" s="1157"/>
      <c r="T73" s="1157"/>
      <c r="U73" s="1211"/>
      <c r="V73" s="1157"/>
      <c r="W73" s="1157"/>
      <c r="X73" s="1157"/>
      <c r="Y73" s="1211"/>
      <c r="Z73" s="1157"/>
      <c r="AA73" s="1157"/>
      <c r="AB73" s="1157"/>
      <c r="AC73" s="1211"/>
      <c r="AD73" s="1157"/>
      <c r="AE73" s="1157"/>
      <c r="AF73" s="1157"/>
      <c r="AG73" s="1211"/>
    </row>
    <row r="74" spans="1:33" ht="15.6" x14ac:dyDescent="0.3">
      <c r="A74" s="1235"/>
      <c r="B74" s="1157"/>
      <c r="C74" s="1157"/>
      <c r="D74" s="1157"/>
      <c r="E74" s="1211"/>
      <c r="F74" s="1157"/>
      <c r="G74" s="1157"/>
      <c r="H74" s="1157"/>
      <c r="I74" s="1211"/>
      <c r="J74" s="1157"/>
      <c r="K74" s="1157"/>
      <c r="L74" s="1157"/>
      <c r="M74" s="1211"/>
      <c r="N74" s="1157"/>
      <c r="O74" s="1157"/>
      <c r="P74" s="1157"/>
      <c r="Q74" s="1211"/>
      <c r="R74" s="1157"/>
      <c r="S74" s="1157"/>
      <c r="T74" s="1157"/>
      <c r="U74" s="1211"/>
      <c r="V74" s="1157"/>
      <c r="W74" s="1157"/>
      <c r="X74" s="1157"/>
      <c r="Y74" s="1211"/>
      <c r="Z74" s="1157"/>
      <c r="AA74" s="1157"/>
      <c r="AB74" s="1157"/>
      <c r="AC74" s="1211"/>
      <c r="AD74" s="1157"/>
      <c r="AE74" s="1157"/>
      <c r="AF74" s="1157"/>
      <c r="AG74" s="1211"/>
    </row>
    <row r="75" spans="1:33" ht="15.6" x14ac:dyDescent="0.3">
      <c r="A75" s="1236"/>
      <c r="B75" s="1220"/>
      <c r="C75" s="1220"/>
      <c r="D75" s="1220"/>
      <c r="E75" s="1237"/>
      <c r="F75" s="1220"/>
      <c r="G75" s="1220"/>
      <c r="H75" s="1220"/>
      <c r="I75" s="1237"/>
      <c r="J75" s="1220"/>
      <c r="K75" s="1220"/>
      <c r="L75" s="1220"/>
      <c r="M75" s="1237"/>
      <c r="N75" s="1220"/>
      <c r="O75" s="1220"/>
      <c r="P75" s="1220"/>
      <c r="Q75" s="1237"/>
      <c r="R75" s="1220"/>
      <c r="S75" s="1220"/>
      <c r="T75" s="1220"/>
      <c r="U75" s="1237"/>
      <c r="V75" s="1220"/>
      <c r="W75" s="1220"/>
      <c r="X75" s="1220"/>
      <c r="Y75" s="1237"/>
      <c r="Z75" s="1220"/>
      <c r="AA75" s="1220"/>
      <c r="AB75" s="1220"/>
      <c r="AC75" s="1237"/>
      <c r="AD75" s="1220"/>
      <c r="AE75" s="1220"/>
      <c r="AF75" s="1220"/>
      <c r="AG75" s="1237"/>
    </row>
    <row r="76" spans="1:33" ht="15.6" x14ac:dyDescent="0.3">
      <c r="A76" s="1238"/>
      <c r="B76" s="1239"/>
      <c r="C76" s="1220"/>
      <c r="D76" s="1220"/>
      <c r="E76" s="1237"/>
      <c r="F76" s="1239"/>
      <c r="G76" s="1220"/>
      <c r="H76" s="1220"/>
      <c r="I76" s="1237"/>
      <c r="J76" s="1239"/>
      <c r="K76" s="1220"/>
      <c r="L76" s="1220"/>
      <c r="M76" s="1237"/>
      <c r="N76" s="1239"/>
      <c r="O76" s="1220"/>
      <c r="P76" s="1220"/>
      <c r="Q76" s="1237"/>
      <c r="R76" s="1239"/>
      <c r="S76" s="1220"/>
      <c r="T76" s="1220"/>
      <c r="U76" s="1237"/>
      <c r="V76" s="1239"/>
      <c r="W76" s="1220"/>
      <c r="X76" s="1220"/>
      <c r="Y76" s="1237"/>
      <c r="Z76" s="1239"/>
      <c r="AA76" s="1220"/>
      <c r="AB76" s="1220"/>
      <c r="AC76" s="1237"/>
      <c r="AD76" s="1239"/>
      <c r="AE76" s="1220"/>
      <c r="AF76" s="1220"/>
      <c r="AG76" s="1237"/>
    </row>
    <row r="77" spans="1:33" ht="15.6" x14ac:dyDescent="0.3">
      <c r="A77" s="1238"/>
      <c r="B77" s="1239"/>
      <c r="C77" s="1220"/>
      <c r="D77" s="1220"/>
      <c r="E77" s="1237"/>
      <c r="F77" s="1239"/>
      <c r="G77" s="1220"/>
      <c r="H77" s="1220"/>
      <c r="I77" s="1237"/>
      <c r="J77" s="1239"/>
      <c r="K77" s="1220"/>
      <c r="L77" s="1220"/>
      <c r="M77" s="1237"/>
      <c r="N77" s="1239"/>
      <c r="O77" s="1220"/>
      <c r="P77" s="1220"/>
      <c r="Q77" s="1237"/>
      <c r="R77" s="1239"/>
      <c r="S77" s="1220"/>
      <c r="T77" s="1220"/>
      <c r="U77" s="1237"/>
      <c r="V77" s="1239"/>
      <c r="W77" s="1220"/>
      <c r="X77" s="1220"/>
      <c r="Y77" s="1237"/>
      <c r="Z77" s="1239"/>
      <c r="AA77" s="1220"/>
      <c r="AB77" s="1220"/>
      <c r="AC77" s="1237"/>
      <c r="AD77" s="1239"/>
      <c r="AE77" s="1220"/>
      <c r="AF77" s="1220"/>
      <c r="AG77" s="1237"/>
    </row>
    <row r="78" spans="1:33" s="42" customFormat="1" ht="15.6" x14ac:dyDescent="0.3">
      <c r="A78" s="1236"/>
      <c r="B78" s="1220"/>
      <c r="C78" s="1220"/>
      <c r="D78" s="1220"/>
      <c r="E78" s="1237"/>
      <c r="F78" s="1220"/>
      <c r="G78" s="1220"/>
      <c r="H78" s="1220"/>
      <c r="I78" s="1237"/>
      <c r="J78" s="1220"/>
      <c r="K78" s="1220"/>
      <c r="L78" s="1220"/>
      <c r="M78" s="1237"/>
      <c r="N78" s="1220"/>
      <c r="O78" s="1220"/>
      <c r="P78" s="1220"/>
      <c r="Q78" s="1237"/>
      <c r="R78" s="1220"/>
      <c r="S78" s="1220"/>
      <c r="T78" s="1220"/>
      <c r="U78" s="1237"/>
      <c r="V78" s="1220"/>
      <c r="W78" s="1220"/>
      <c r="X78" s="1220"/>
      <c r="Y78" s="1237"/>
      <c r="Z78" s="1220"/>
      <c r="AA78" s="1220"/>
      <c r="AB78" s="1220"/>
      <c r="AC78" s="1237"/>
      <c r="AD78" s="1220"/>
      <c r="AE78" s="1220"/>
      <c r="AF78" s="1220"/>
      <c r="AG78" s="1237"/>
    </row>
    <row r="79" spans="1:33" ht="15.6" x14ac:dyDescent="0.3">
      <c r="A79" s="1238"/>
      <c r="B79" s="1239"/>
      <c r="C79" s="1239"/>
      <c r="D79" s="1239"/>
      <c r="E79" s="1242"/>
      <c r="F79" s="1239"/>
      <c r="G79" s="1239"/>
      <c r="H79" s="1239"/>
      <c r="I79" s="1242"/>
      <c r="J79" s="1239"/>
      <c r="K79" s="1239"/>
      <c r="L79" s="1239"/>
      <c r="M79" s="1242"/>
      <c r="N79" s="1239"/>
      <c r="O79" s="1239"/>
      <c r="P79" s="1239"/>
      <c r="Q79" s="1242"/>
      <c r="R79" s="1239"/>
      <c r="S79" s="1239"/>
      <c r="T79" s="1239"/>
      <c r="U79" s="1242"/>
      <c r="V79" s="1239"/>
      <c r="W79" s="1239"/>
      <c r="X79" s="1239"/>
      <c r="Y79" s="1242"/>
      <c r="Z79" s="1239"/>
      <c r="AA79" s="1239"/>
      <c r="AB79" s="1239"/>
      <c r="AC79" s="1242"/>
      <c r="AD79" s="1239"/>
      <c r="AE79" s="1239"/>
      <c r="AF79" s="1239"/>
      <c r="AG79" s="1242"/>
    </row>
    <row r="80" spans="1:33" s="42" customFormat="1" ht="15.6" x14ac:dyDescent="0.3">
      <c r="A80" s="1236"/>
      <c r="B80" s="1220"/>
      <c r="C80" s="1220"/>
      <c r="D80" s="1220"/>
      <c r="E80" s="1237"/>
      <c r="F80" s="1220"/>
      <c r="G80" s="1220"/>
      <c r="H80" s="1220"/>
      <c r="I80" s="1237"/>
      <c r="J80" s="1220"/>
      <c r="K80" s="1220"/>
      <c r="L80" s="1220"/>
      <c r="M80" s="1237"/>
      <c r="N80" s="1220"/>
      <c r="O80" s="1220"/>
      <c r="P80" s="1220"/>
      <c r="Q80" s="1237"/>
      <c r="R80" s="1220"/>
      <c r="S80" s="1220"/>
      <c r="T80" s="1220"/>
      <c r="U80" s="1237"/>
      <c r="V80" s="1220"/>
      <c r="W80" s="1220"/>
      <c r="X80" s="1220"/>
      <c r="Y80" s="1237"/>
      <c r="Z80" s="1220"/>
      <c r="AA80" s="1220"/>
      <c r="AB80" s="1220"/>
      <c r="AC80" s="1237"/>
      <c r="AD80" s="1220"/>
      <c r="AE80" s="1220"/>
      <c r="AF80" s="1220"/>
      <c r="AG80" s="1237"/>
    </row>
    <row r="81" spans="1:33" ht="15.6" x14ac:dyDescent="0.3">
      <c r="A81" s="1236"/>
      <c r="B81" s="1220"/>
      <c r="C81" s="1220"/>
      <c r="D81" s="1220"/>
      <c r="E81" s="1237"/>
      <c r="F81" s="1220"/>
      <c r="G81" s="1220"/>
      <c r="H81" s="1220"/>
      <c r="I81" s="1237"/>
      <c r="J81" s="1220"/>
      <c r="K81" s="1220"/>
      <c r="L81" s="1220"/>
      <c r="M81" s="1237"/>
      <c r="N81" s="1220"/>
      <c r="O81" s="1220"/>
      <c r="P81" s="1220"/>
      <c r="Q81" s="1237"/>
      <c r="R81" s="1220"/>
      <c r="S81" s="1220"/>
      <c r="T81" s="1220"/>
      <c r="U81" s="1237"/>
      <c r="V81" s="1220"/>
      <c r="W81" s="1220"/>
      <c r="X81" s="1220"/>
      <c r="Y81" s="1237"/>
      <c r="Z81" s="1220"/>
      <c r="AA81" s="1220"/>
      <c r="AB81" s="1220"/>
      <c r="AC81" s="1237"/>
      <c r="AD81" s="1220"/>
      <c r="AE81" s="1220"/>
      <c r="AF81" s="1220"/>
      <c r="AG81" s="1237"/>
    </row>
    <row r="82" spans="1:33" ht="15.6" x14ac:dyDescent="0.3">
      <c r="A82" s="1219"/>
      <c r="B82" s="1220"/>
      <c r="C82" s="1220"/>
      <c r="D82" s="1220"/>
      <c r="E82" s="1237"/>
      <c r="F82" s="1220"/>
      <c r="G82" s="1220"/>
      <c r="H82" s="1220"/>
      <c r="I82" s="1237"/>
      <c r="J82" s="1220"/>
      <c r="K82" s="1220"/>
      <c r="L82" s="1220"/>
      <c r="M82" s="1237"/>
      <c r="N82" s="1220"/>
      <c r="O82" s="1220"/>
      <c r="P82" s="1220"/>
      <c r="Q82" s="1237"/>
      <c r="R82" s="1220"/>
      <c r="S82" s="1220"/>
      <c r="T82" s="1220"/>
      <c r="U82" s="1237"/>
      <c r="V82" s="1220"/>
      <c r="W82" s="1220"/>
      <c r="X82" s="1220"/>
      <c r="Y82" s="1237"/>
      <c r="Z82" s="1220"/>
      <c r="AA82" s="1220"/>
      <c r="AB82" s="1220"/>
      <c r="AC82" s="1237"/>
      <c r="AD82" s="1220"/>
      <c r="AE82" s="1220"/>
      <c r="AF82" s="1220"/>
      <c r="AG82" s="1237"/>
    </row>
    <row r="83" spans="1:33" x14ac:dyDescent="0.25">
      <c r="A83" s="1157"/>
      <c r="B83" s="1157"/>
      <c r="C83" s="1157"/>
      <c r="D83" s="1157"/>
      <c r="E83" s="1211"/>
      <c r="F83" s="1157"/>
      <c r="G83" s="1157"/>
      <c r="H83" s="1157"/>
      <c r="I83" s="1211"/>
      <c r="J83" s="1157"/>
      <c r="K83" s="1157"/>
      <c r="L83" s="1157"/>
      <c r="M83" s="1211"/>
      <c r="N83" s="1157"/>
      <c r="O83" s="1157"/>
      <c r="P83" s="1157"/>
      <c r="Q83" s="1211"/>
      <c r="R83" s="1157"/>
      <c r="S83" s="1157"/>
      <c r="T83" s="1157"/>
      <c r="U83" s="1211"/>
      <c r="V83" s="1157"/>
      <c r="W83" s="1157"/>
      <c r="X83" s="1157"/>
      <c r="Y83" s="1211"/>
      <c r="Z83" s="1157"/>
      <c r="AA83" s="1157"/>
      <c r="AB83" s="1157"/>
      <c r="AC83" s="1211"/>
      <c r="AD83" s="1157"/>
      <c r="AE83" s="1157"/>
      <c r="AF83" s="1157"/>
      <c r="AG83" s="1211"/>
    </row>
    <row r="84" spans="1:33" x14ac:dyDescent="0.25">
      <c r="A84" s="1157"/>
      <c r="B84" s="1157"/>
      <c r="C84" s="1157"/>
      <c r="D84" s="1157"/>
      <c r="E84" s="1211"/>
      <c r="F84" s="1157"/>
      <c r="G84" s="1157"/>
      <c r="H84" s="1157"/>
      <c r="I84" s="1211"/>
      <c r="J84" s="1157"/>
      <c r="K84" s="1157"/>
      <c r="L84" s="1157"/>
      <c r="M84" s="1211"/>
      <c r="N84" s="1157"/>
      <c r="O84" s="1157"/>
      <c r="P84" s="1157"/>
      <c r="Q84" s="1211"/>
      <c r="R84" s="1157"/>
      <c r="S84" s="1157"/>
      <c r="T84" s="1157"/>
      <c r="U84" s="1211"/>
      <c r="V84" s="1157"/>
      <c r="W84" s="1157"/>
      <c r="X84" s="1157"/>
      <c r="Y84" s="1211"/>
      <c r="Z84" s="1157"/>
      <c r="AA84" s="1157"/>
      <c r="AB84" s="1157"/>
      <c r="AC84" s="1211"/>
      <c r="AD84" s="1157"/>
      <c r="AE84" s="1157"/>
      <c r="AF84" s="1157"/>
      <c r="AG84" s="1211"/>
    </row>
    <row r="85" spans="1:33" x14ac:dyDescent="0.25">
      <c r="A85" s="1157"/>
      <c r="B85" s="1157"/>
      <c r="C85" s="1157"/>
      <c r="D85" s="1157"/>
      <c r="E85" s="1211"/>
      <c r="F85" s="1157"/>
      <c r="G85" s="1157"/>
      <c r="H85" s="1157"/>
      <c r="I85" s="1211"/>
      <c r="J85" s="1157"/>
      <c r="K85" s="1157"/>
      <c r="L85" s="1157"/>
      <c r="M85" s="1211"/>
      <c r="N85" s="1157"/>
      <c r="O85" s="1157"/>
      <c r="P85" s="1157"/>
      <c r="Q85" s="1211"/>
      <c r="R85" s="1157"/>
      <c r="S85" s="1157"/>
      <c r="T85" s="1157"/>
      <c r="U85" s="1211"/>
      <c r="V85" s="1157"/>
      <c r="W85" s="1157"/>
      <c r="X85" s="1157"/>
      <c r="Y85" s="1211"/>
      <c r="Z85" s="1157"/>
      <c r="AA85" s="1157"/>
      <c r="AB85" s="1157"/>
      <c r="AC85" s="1211"/>
      <c r="AD85" s="1157"/>
      <c r="AE85" s="1157"/>
      <c r="AF85" s="1157"/>
      <c r="AG85" s="1211"/>
    </row>
    <row r="86" spans="1:33" x14ac:dyDescent="0.25">
      <c r="A86" s="1157"/>
      <c r="B86" s="1157"/>
      <c r="C86" s="1157"/>
      <c r="D86" s="1157"/>
      <c r="E86" s="1211"/>
      <c r="F86" s="1157"/>
      <c r="G86" s="1157"/>
      <c r="H86" s="1157"/>
      <c r="I86" s="1211"/>
      <c r="J86" s="1157"/>
      <c r="K86" s="1157"/>
      <c r="L86" s="1157"/>
      <c r="M86" s="1211"/>
      <c r="N86" s="1157"/>
      <c r="O86" s="1157"/>
      <c r="P86" s="1157"/>
      <c r="Q86" s="1211"/>
      <c r="R86" s="1157"/>
      <c r="S86" s="1157"/>
      <c r="T86" s="1157"/>
      <c r="U86" s="1211"/>
      <c r="V86" s="1157"/>
      <c r="W86" s="1157"/>
      <c r="X86" s="1157"/>
      <c r="Y86" s="1211"/>
      <c r="Z86" s="1157"/>
      <c r="AA86" s="1157"/>
      <c r="AB86" s="1157"/>
      <c r="AC86" s="1211"/>
      <c r="AD86" s="1157"/>
      <c r="AE86" s="1157"/>
      <c r="AF86" s="1157"/>
      <c r="AG86" s="1211"/>
    </row>
    <row r="87" spans="1:33" x14ac:dyDescent="0.25">
      <c r="A87" s="1157"/>
      <c r="B87" s="1157"/>
      <c r="C87" s="1157"/>
      <c r="D87" s="1157"/>
      <c r="E87" s="1211"/>
      <c r="F87" s="1157"/>
      <c r="G87" s="1157"/>
      <c r="H87" s="1157"/>
      <c r="I87" s="1211"/>
      <c r="J87" s="1157"/>
      <c r="K87" s="1157"/>
      <c r="L87" s="1157"/>
      <c r="M87" s="1211"/>
      <c r="N87" s="1157"/>
      <c r="O87" s="1157"/>
      <c r="P87" s="1157"/>
      <c r="Q87" s="1211"/>
      <c r="R87" s="1157"/>
      <c r="S87" s="1157"/>
      <c r="T87" s="1157"/>
      <c r="U87" s="1211"/>
      <c r="V87" s="1157"/>
      <c r="W87" s="1157"/>
      <c r="X87" s="1157"/>
      <c r="Y87" s="1211"/>
      <c r="Z87" s="1157"/>
      <c r="AA87" s="1157"/>
      <c r="AB87" s="1157"/>
      <c r="AC87" s="1211"/>
      <c r="AD87" s="1157"/>
      <c r="AE87" s="1157"/>
      <c r="AF87" s="1157"/>
      <c r="AG87" s="1211"/>
    </row>
    <row r="88" spans="1:33" x14ac:dyDescent="0.25">
      <c r="A88" s="1157"/>
      <c r="B88" s="1157"/>
      <c r="C88" s="1157"/>
      <c r="D88" s="1157"/>
      <c r="E88" s="1211"/>
      <c r="F88" s="1157"/>
      <c r="G88" s="1157"/>
      <c r="H88" s="1157"/>
      <c r="I88" s="1211"/>
      <c r="J88" s="1157"/>
      <c r="K88" s="1157"/>
      <c r="L88" s="1157"/>
      <c r="M88" s="1211"/>
      <c r="N88" s="1157"/>
      <c r="O88" s="1157"/>
      <c r="P88" s="1157"/>
      <c r="Q88" s="1211"/>
      <c r="R88" s="1157"/>
      <c r="S88" s="1157"/>
      <c r="T88" s="1157"/>
      <c r="U88" s="1211"/>
      <c r="V88" s="1157"/>
      <c r="W88" s="1157"/>
      <c r="X88" s="1157"/>
      <c r="Y88" s="1211"/>
      <c r="Z88" s="1157"/>
      <c r="AA88" s="1157"/>
      <c r="AB88" s="1157"/>
      <c r="AC88" s="1211"/>
      <c r="AD88" s="1157"/>
      <c r="AE88" s="1157"/>
      <c r="AF88" s="1157"/>
      <c r="AG88" s="1211"/>
    </row>
    <row r="89" spans="1:33" x14ac:dyDescent="0.25">
      <c r="A89" s="1157"/>
      <c r="B89" s="1157"/>
      <c r="C89" s="1157"/>
      <c r="D89" s="1157"/>
      <c r="E89" s="1211"/>
      <c r="F89" s="1157"/>
      <c r="G89" s="1157"/>
      <c r="H89" s="1157"/>
      <c r="I89" s="1211"/>
      <c r="J89" s="1157"/>
      <c r="K89" s="1157"/>
      <c r="L89" s="1157"/>
      <c r="M89" s="1211"/>
      <c r="N89" s="1157"/>
      <c r="O89" s="1157"/>
      <c r="P89" s="1157"/>
      <c r="Q89" s="1211"/>
      <c r="R89" s="1157"/>
      <c r="S89" s="1157"/>
      <c r="T89" s="1157"/>
      <c r="U89" s="1211"/>
      <c r="V89" s="1157"/>
      <c r="W89" s="1157"/>
      <c r="X89" s="1157"/>
      <c r="Y89" s="1211"/>
      <c r="Z89" s="1157"/>
      <c r="AA89" s="1157"/>
      <c r="AB89" s="1157"/>
      <c r="AC89" s="1211"/>
      <c r="AD89" s="1157"/>
      <c r="AE89" s="1157"/>
      <c r="AF89" s="1157"/>
      <c r="AG89" s="1211"/>
    </row>
    <row r="90" spans="1:33" x14ac:dyDescent="0.25">
      <c r="A90" s="1157"/>
      <c r="B90" s="1157"/>
      <c r="C90" s="1157"/>
      <c r="D90" s="1157"/>
      <c r="E90" s="1211"/>
      <c r="F90" s="1157"/>
      <c r="G90" s="1157"/>
      <c r="H90" s="1157"/>
      <c r="I90" s="1211"/>
      <c r="J90" s="1157"/>
      <c r="K90" s="1157"/>
      <c r="L90" s="1157"/>
      <c r="M90" s="1211"/>
      <c r="N90" s="1157"/>
      <c r="O90" s="1157"/>
      <c r="P90" s="1157"/>
      <c r="Q90" s="1211"/>
      <c r="R90" s="1157"/>
      <c r="S90" s="1157"/>
      <c r="T90" s="1157"/>
      <c r="U90" s="1211"/>
      <c r="V90" s="1157"/>
      <c r="W90" s="1157"/>
      <c r="X90" s="1157"/>
      <c r="Y90" s="1211"/>
      <c r="Z90" s="1157"/>
      <c r="AA90" s="1157"/>
      <c r="AB90" s="1157"/>
      <c r="AC90" s="1211"/>
      <c r="AD90" s="1157"/>
      <c r="AE90" s="1157"/>
      <c r="AF90" s="1157"/>
      <c r="AG90" s="1211"/>
    </row>
    <row r="91" spans="1:33" x14ac:dyDescent="0.25">
      <c r="A91" s="1157"/>
      <c r="B91" s="1157"/>
      <c r="C91" s="1157"/>
      <c r="D91" s="1157"/>
      <c r="E91" s="1211"/>
      <c r="F91" s="1157"/>
      <c r="G91" s="1157"/>
      <c r="H91" s="1157"/>
      <c r="I91" s="1211"/>
      <c r="J91" s="1157"/>
      <c r="K91" s="1157"/>
      <c r="L91" s="1157"/>
      <c r="M91" s="1211"/>
      <c r="N91" s="1157"/>
      <c r="O91" s="1157"/>
      <c r="P91" s="1157"/>
      <c r="Q91" s="1211"/>
      <c r="R91" s="1157"/>
      <c r="S91" s="1157"/>
      <c r="T91" s="1157"/>
      <c r="U91" s="1211"/>
      <c r="V91" s="1157"/>
      <c r="W91" s="1157"/>
      <c r="X91" s="1157"/>
      <c r="Y91" s="1211"/>
      <c r="Z91" s="1157"/>
      <c r="AA91" s="1157"/>
      <c r="AB91" s="1157"/>
      <c r="AC91" s="1211"/>
      <c r="AD91" s="1157"/>
      <c r="AE91" s="1157"/>
      <c r="AF91" s="1157"/>
      <c r="AG91" s="1211"/>
    </row>
    <row r="92" spans="1:33" x14ac:dyDescent="0.25">
      <c r="A92" s="1157"/>
      <c r="B92" s="1157"/>
      <c r="C92" s="1157"/>
      <c r="D92" s="1157"/>
      <c r="E92" s="1211"/>
      <c r="F92" s="1157"/>
      <c r="G92" s="1157"/>
      <c r="H92" s="1157"/>
      <c r="I92" s="1211"/>
      <c r="J92" s="1157"/>
      <c r="K92" s="1157"/>
      <c r="L92" s="1157"/>
      <c r="M92" s="1211"/>
      <c r="N92" s="1157"/>
      <c r="O92" s="1157"/>
      <c r="P92" s="1157"/>
      <c r="Q92" s="1211"/>
      <c r="R92" s="1157"/>
      <c r="S92" s="1157"/>
      <c r="T92" s="1157"/>
      <c r="U92" s="1211"/>
      <c r="V92" s="1157"/>
      <c r="W92" s="1157"/>
      <c r="X92" s="1157"/>
      <c r="Y92" s="1211"/>
      <c r="Z92" s="1157"/>
      <c r="AA92" s="1157"/>
      <c r="AB92" s="1157"/>
      <c r="AC92" s="1211"/>
      <c r="AD92" s="1157"/>
      <c r="AE92" s="1157"/>
      <c r="AF92" s="1157"/>
      <c r="AG92" s="1211"/>
    </row>
    <row r="93" spans="1:33" x14ac:dyDescent="0.25">
      <c r="A93" s="1157"/>
      <c r="B93" s="1157"/>
      <c r="C93" s="1157"/>
      <c r="D93" s="1157"/>
      <c r="E93" s="1211"/>
      <c r="F93" s="1157"/>
      <c r="G93" s="1157"/>
      <c r="H93" s="1157"/>
      <c r="I93" s="1211"/>
      <c r="J93" s="1157"/>
      <c r="K93" s="1157"/>
      <c r="L93" s="1157"/>
      <c r="M93" s="1211"/>
      <c r="N93" s="1157"/>
      <c r="O93" s="1157"/>
      <c r="P93" s="1157"/>
      <c r="Q93" s="1211"/>
      <c r="R93" s="1157"/>
      <c r="S93" s="1157"/>
      <c r="T93" s="1157"/>
      <c r="U93" s="1211"/>
      <c r="V93" s="1157"/>
      <c r="W93" s="1157"/>
      <c r="X93" s="1157"/>
      <c r="Y93" s="1211"/>
      <c r="Z93" s="1157"/>
      <c r="AA93" s="1157"/>
      <c r="AB93" s="1157"/>
      <c r="AC93" s="1211"/>
      <c r="AD93" s="1157"/>
      <c r="AE93" s="1157"/>
      <c r="AF93" s="1157"/>
      <c r="AG93" s="1211"/>
    </row>
    <row r="94" spans="1:33" x14ac:dyDescent="0.25">
      <c r="A94" s="1157"/>
      <c r="B94" s="1157"/>
      <c r="C94" s="1157"/>
      <c r="D94" s="1157"/>
      <c r="E94" s="1211"/>
      <c r="F94" s="1157"/>
      <c r="G94" s="1157"/>
      <c r="H94" s="1157"/>
      <c r="I94" s="1211"/>
      <c r="J94" s="1157"/>
      <c r="K94" s="1157"/>
      <c r="L94" s="1157"/>
      <c r="M94" s="1211"/>
      <c r="N94" s="1157"/>
      <c r="O94" s="1157"/>
      <c r="P94" s="1157"/>
      <c r="Q94" s="1211"/>
      <c r="R94" s="1157"/>
      <c r="S94" s="1157"/>
      <c r="T94" s="1157"/>
      <c r="U94" s="1211"/>
      <c r="V94" s="1157"/>
      <c r="W94" s="1157"/>
      <c r="X94" s="1157"/>
      <c r="Y94" s="1211"/>
      <c r="Z94" s="1157"/>
      <c r="AA94" s="1157"/>
      <c r="AB94" s="1157"/>
      <c r="AC94" s="1211"/>
      <c r="AD94" s="1157"/>
      <c r="AE94" s="1157"/>
      <c r="AF94" s="1157"/>
      <c r="AG94" s="1211"/>
    </row>
    <row r="95" spans="1:33" x14ac:dyDescent="0.25">
      <c r="A95" s="1157"/>
      <c r="B95" s="1157"/>
      <c r="C95" s="1157"/>
      <c r="D95" s="1157"/>
      <c r="E95" s="1211"/>
      <c r="F95" s="1157"/>
      <c r="G95" s="1157"/>
      <c r="H95" s="1157"/>
      <c r="I95" s="1211"/>
      <c r="J95" s="1157"/>
      <c r="K95" s="1157"/>
      <c r="L95" s="1157"/>
      <c r="M95" s="1211"/>
      <c r="N95" s="1157"/>
      <c r="O95" s="1157"/>
      <c r="P95" s="1157"/>
      <c r="Q95" s="1211"/>
      <c r="R95" s="1157"/>
      <c r="S95" s="1157"/>
      <c r="T95" s="1157"/>
      <c r="U95" s="1211"/>
      <c r="V95" s="1157"/>
      <c r="W95" s="1157"/>
      <c r="X95" s="1157"/>
      <c r="Y95" s="1211"/>
      <c r="Z95" s="1157"/>
      <c r="AA95" s="1157"/>
      <c r="AB95" s="1157"/>
      <c r="AC95" s="1211"/>
      <c r="AD95" s="1157"/>
      <c r="AE95" s="1157"/>
      <c r="AF95" s="1157"/>
      <c r="AG95" s="1211"/>
    </row>
    <row r="96" spans="1:33" x14ac:dyDescent="0.25">
      <c r="A96" s="1157"/>
      <c r="B96" s="1157"/>
      <c r="C96" s="1157"/>
      <c r="D96" s="1157"/>
      <c r="E96" s="1211"/>
      <c r="F96" s="1157"/>
      <c r="G96" s="1157"/>
      <c r="H96" s="1157"/>
      <c r="I96" s="1211"/>
      <c r="J96" s="1157"/>
      <c r="K96" s="1157"/>
      <c r="L96" s="1157"/>
      <c r="M96" s="1211"/>
      <c r="N96" s="1157"/>
      <c r="O96" s="1157"/>
      <c r="P96" s="1157"/>
      <c r="Q96" s="1211"/>
      <c r="R96" s="1157"/>
      <c r="S96" s="1157"/>
      <c r="T96" s="1157"/>
      <c r="U96" s="1211"/>
      <c r="V96" s="1157"/>
      <c r="W96" s="1157"/>
      <c r="X96" s="1157"/>
      <c r="Y96" s="1211"/>
      <c r="Z96" s="1157"/>
      <c r="AA96" s="1157"/>
      <c r="AB96" s="1157"/>
      <c r="AC96" s="1211"/>
      <c r="AD96" s="1157"/>
      <c r="AE96" s="1157"/>
      <c r="AF96" s="1157"/>
      <c r="AG96" s="1211"/>
    </row>
    <row r="97" spans="1:33" x14ac:dyDescent="0.25">
      <c r="A97" s="1157"/>
      <c r="B97" s="1157"/>
      <c r="C97" s="1157"/>
      <c r="D97" s="1157"/>
      <c r="E97" s="1211"/>
      <c r="F97" s="1157"/>
      <c r="G97" s="1157"/>
      <c r="H97" s="1157"/>
      <c r="I97" s="1211"/>
      <c r="J97" s="1157"/>
      <c r="K97" s="1157"/>
      <c r="L97" s="1157"/>
      <c r="M97" s="1211"/>
      <c r="N97" s="1157"/>
      <c r="O97" s="1157"/>
      <c r="P97" s="1157"/>
      <c r="Q97" s="1211"/>
      <c r="R97" s="1157"/>
      <c r="S97" s="1157"/>
      <c r="T97" s="1157"/>
      <c r="U97" s="1211"/>
      <c r="V97" s="1157"/>
      <c r="W97" s="1157"/>
      <c r="X97" s="1157"/>
      <c r="Y97" s="1211"/>
      <c r="Z97" s="1157"/>
      <c r="AA97" s="1157"/>
      <c r="AB97" s="1157"/>
      <c r="AC97" s="1211"/>
      <c r="AD97" s="1157"/>
      <c r="AE97" s="1157"/>
      <c r="AF97" s="1157"/>
      <c r="AG97" s="1211"/>
    </row>
    <row r="98" spans="1:33" x14ac:dyDescent="0.25">
      <c r="A98" s="1157"/>
      <c r="B98" s="1157"/>
      <c r="C98" s="1157"/>
      <c r="D98" s="1157"/>
      <c r="E98" s="1211"/>
      <c r="F98" s="1157"/>
      <c r="G98" s="1157"/>
      <c r="H98" s="1157"/>
      <c r="I98" s="1211"/>
      <c r="J98" s="1157"/>
      <c r="K98" s="1157"/>
      <c r="L98" s="1157"/>
      <c r="M98" s="1211"/>
      <c r="N98" s="1157"/>
      <c r="O98" s="1157"/>
      <c r="P98" s="1157"/>
      <c r="Q98" s="1211"/>
      <c r="R98" s="1157"/>
      <c r="S98" s="1157"/>
      <c r="T98" s="1157"/>
      <c r="U98" s="1211"/>
      <c r="V98" s="1157"/>
      <c r="W98" s="1157"/>
      <c r="X98" s="1157"/>
      <c r="Y98" s="1211"/>
      <c r="Z98" s="1157"/>
      <c r="AA98" s="1157"/>
      <c r="AB98" s="1157"/>
      <c r="AC98" s="1211"/>
      <c r="AD98" s="1157"/>
      <c r="AE98" s="1157"/>
      <c r="AF98" s="1157"/>
      <c r="AG98" s="1211"/>
    </row>
    <row r="99" spans="1:33" x14ac:dyDescent="0.25">
      <c r="A99" s="1157"/>
      <c r="B99" s="1157"/>
      <c r="C99" s="1157"/>
      <c r="D99" s="1157"/>
      <c r="E99" s="1211"/>
      <c r="F99" s="1157"/>
      <c r="G99" s="1157"/>
      <c r="H99" s="1157"/>
      <c r="I99" s="1211"/>
      <c r="J99" s="1157"/>
      <c r="K99" s="1157"/>
      <c r="L99" s="1157"/>
      <c r="M99" s="1211"/>
      <c r="N99" s="1157"/>
      <c r="O99" s="1157"/>
      <c r="P99" s="1157"/>
      <c r="Q99" s="1211"/>
      <c r="R99" s="1157"/>
      <c r="S99" s="1157"/>
      <c r="T99" s="1157"/>
      <c r="U99" s="1211"/>
      <c r="V99" s="1157"/>
      <c r="W99" s="1157"/>
      <c r="X99" s="1157"/>
      <c r="Y99" s="1211"/>
      <c r="Z99" s="1157"/>
      <c r="AA99" s="1157"/>
      <c r="AB99" s="1157"/>
      <c r="AC99" s="1211"/>
      <c r="AD99" s="1157"/>
      <c r="AE99" s="1157"/>
      <c r="AF99" s="1157"/>
      <c r="AG99" s="1211"/>
    </row>
    <row r="100" spans="1:33" x14ac:dyDescent="0.25">
      <c r="A100" s="1157"/>
      <c r="B100" s="1157"/>
      <c r="C100" s="1157"/>
      <c r="D100" s="1157"/>
      <c r="E100" s="1211"/>
      <c r="F100" s="1157"/>
      <c r="G100" s="1157"/>
      <c r="H100" s="1157"/>
      <c r="I100" s="1211"/>
      <c r="J100" s="1157"/>
      <c r="K100" s="1157"/>
      <c r="L100" s="1157"/>
      <c r="M100" s="1211"/>
      <c r="N100" s="1157"/>
      <c r="O100" s="1157"/>
      <c r="P100" s="1157"/>
      <c r="Q100" s="1211"/>
      <c r="R100" s="1157"/>
      <c r="S100" s="1157"/>
      <c r="T100" s="1157"/>
      <c r="U100" s="1211"/>
      <c r="V100" s="1157"/>
      <c r="W100" s="1157"/>
      <c r="X100" s="1157"/>
      <c r="Y100" s="1211"/>
      <c r="Z100" s="1157"/>
      <c r="AA100" s="1157"/>
      <c r="AB100" s="1157"/>
      <c r="AC100" s="1211"/>
      <c r="AD100" s="1157"/>
      <c r="AE100" s="1157"/>
      <c r="AF100" s="1157"/>
      <c r="AG100" s="1211"/>
    </row>
    <row r="101" spans="1:33" x14ac:dyDescent="0.25">
      <c r="A101" s="1157"/>
      <c r="B101" s="1157"/>
      <c r="C101" s="1157"/>
      <c r="D101" s="1157"/>
      <c r="E101" s="1211"/>
      <c r="F101" s="1157"/>
      <c r="G101" s="1157"/>
      <c r="H101" s="1157"/>
      <c r="I101" s="1211"/>
      <c r="J101" s="1157"/>
      <c r="K101" s="1157"/>
      <c r="L101" s="1157"/>
      <c r="M101" s="1211"/>
      <c r="N101" s="1157"/>
      <c r="O101" s="1157"/>
      <c r="P101" s="1157"/>
      <c r="Q101" s="1211"/>
      <c r="R101" s="1157"/>
      <c r="S101" s="1157"/>
      <c r="T101" s="1157"/>
      <c r="U101" s="1211"/>
      <c r="V101" s="1157"/>
      <c r="W101" s="1157"/>
      <c r="X101" s="1157"/>
      <c r="Y101" s="1211"/>
      <c r="Z101" s="1157"/>
      <c r="AA101" s="1157"/>
      <c r="AB101" s="1157"/>
      <c r="AC101" s="1211"/>
      <c r="AD101" s="1157"/>
      <c r="AE101" s="1157"/>
      <c r="AF101" s="1157"/>
      <c r="AG101" s="1211"/>
    </row>
    <row r="102" spans="1:33" x14ac:dyDescent="0.25">
      <c r="A102" s="1157"/>
      <c r="B102" s="1157"/>
      <c r="C102" s="1157"/>
      <c r="D102" s="1157"/>
      <c r="E102" s="1211"/>
      <c r="F102" s="1157"/>
      <c r="G102" s="1157"/>
      <c r="H102" s="1157"/>
      <c r="I102" s="1211"/>
      <c r="J102" s="1157"/>
      <c r="K102" s="1157"/>
      <c r="L102" s="1157"/>
      <c r="M102" s="1211"/>
      <c r="N102" s="1157"/>
      <c r="O102" s="1157"/>
      <c r="P102" s="1157"/>
      <c r="Q102" s="1211"/>
      <c r="R102" s="1157"/>
      <c r="S102" s="1157"/>
      <c r="T102" s="1157"/>
      <c r="U102" s="1211"/>
      <c r="V102" s="1157"/>
      <c r="W102" s="1157"/>
      <c r="X102" s="1157"/>
      <c r="Y102" s="1211"/>
      <c r="Z102" s="1157"/>
      <c r="AA102" s="1157"/>
      <c r="AB102" s="1157"/>
      <c r="AC102" s="1211"/>
      <c r="AD102" s="1157"/>
      <c r="AE102" s="1157"/>
      <c r="AF102" s="1157"/>
      <c r="AG102" s="1211"/>
    </row>
    <row r="103" spans="1:33" x14ac:dyDescent="0.25">
      <c r="A103" s="1157"/>
      <c r="B103" s="1157"/>
      <c r="C103" s="1157"/>
      <c r="D103" s="1157"/>
      <c r="E103" s="1211"/>
      <c r="F103" s="1157"/>
      <c r="G103" s="1157"/>
      <c r="H103" s="1157"/>
      <c r="I103" s="1211"/>
      <c r="J103" s="1157"/>
      <c r="K103" s="1157"/>
      <c r="L103" s="1157"/>
      <c r="M103" s="1211"/>
      <c r="N103" s="1157"/>
      <c r="O103" s="1157"/>
      <c r="P103" s="1157"/>
      <c r="Q103" s="1211"/>
      <c r="R103" s="1157"/>
      <c r="S103" s="1157"/>
      <c r="T103" s="1157"/>
      <c r="U103" s="1211"/>
      <c r="V103" s="1157"/>
      <c r="W103" s="1157"/>
      <c r="X103" s="1157"/>
      <c r="Y103" s="1211"/>
      <c r="Z103" s="1157"/>
      <c r="AA103" s="1157"/>
      <c r="AB103" s="1157"/>
      <c r="AC103" s="1211"/>
      <c r="AD103" s="1157"/>
      <c r="AE103" s="1157"/>
      <c r="AF103" s="1157"/>
      <c r="AG103" s="1211"/>
    </row>
    <row r="104" spans="1:33" x14ac:dyDescent="0.25">
      <c r="A104" s="1157"/>
      <c r="B104" s="1157"/>
      <c r="C104" s="1157"/>
      <c r="D104" s="1157"/>
      <c r="E104" s="1211"/>
      <c r="F104" s="1157"/>
      <c r="G104" s="1157"/>
      <c r="H104" s="1157"/>
      <c r="I104" s="1211"/>
      <c r="J104" s="1157"/>
      <c r="K104" s="1157"/>
      <c r="L104" s="1157"/>
      <c r="M104" s="1211"/>
      <c r="N104" s="1157"/>
      <c r="O104" s="1157"/>
      <c r="P104" s="1157"/>
      <c r="Q104" s="1211"/>
      <c r="R104" s="1157"/>
      <c r="S104" s="1157"/>
      <c r="T104" s="1157"/>
      <c r="U104" s="1211"/>
      <c r="V104" s="1157"/>
      <c r="W104" s="1157"/>
      <c r="X104" s="1157"/>
      <c r="Y104" s="1211"/>
      <c r="Z104" s="1157"/>
      <c r="AA104" s="1157"/>
      <c r="AB104" s="1157"/>
      <c r="AC104" s="1211"/>
      <c r="AD104" s="1157"/>
      <c r="AE104" s="1157"/>
      <c r="AF104" s="1157"/>
      <c r="AG104" s="1211"/>
    </row>
    <row r="105" spans="1:33" x14ac:dyDescent="0.25">
      <c r="A105" s="1157"/>
      <c r="B105" s="1157"/>
      <c r="C105" s="1157"/>
      <c r="D105" s="1157"/>
      <c r="E105" s="1211"/>
      <c r="F105" s="1157"/>
      <c r="G105" s="1157"/>
      <c r="H105" s="1157"/>
      <c r="I105" s="1211"/>
      <c r="J105" s="1157"/>
      <c r="K105" s="1157"/>
      <c r="L105" s="1157"/>
      <c r="M105" s="1211"/>
      <c r="N105" s="1157"/>
      <c r="O105" s="1157"/>
      <c r="P105" s="1157"/>
      <c r="Q105" s="1211"/>
      <c r="R105" s="1157"/>
      <c r="S105" s="1157"/>
      <c r="T105" s="1157"/>
      <c r="U105" s="1211"/>
      <c r="V105" s="1157"/>
      <c r="W105" s="1157"/>
      <c r="X105" s="1157"/>
      <c r="Y105" s="1211"/>
      <c r="Z105" s="1157"/>
      <c r="AA105" s="1157"/>
      <c r="AB105" s="1157"/>
      <c r="AC105" s="1211"/>
      <c r="AD105" s="1157"/>
      <c r="AE105" s="1157"/>
      <c r="AF105" s="1157"/>
      <c r="AG105" s="1211"/>
    </row>
    <row r="106" spans="1:33" x14ac:dyDescent="0.25">
      <c r="A106" s="1157"/>
      <c r="B106" s="1157"/>
      <c r="C106" s="1157"/>
      <c r="D106" s="1157"/>
      <c r="E106" s="1211"/>
      <c r="F106" s="1157"/>
      <c r="G106" s="1157"/>
      <c r="H106" s="1157"/>
      <c r="I106" s="1211"/>
      <c r="J106" s="1157"/>
      <c r="K106" s="1157"/>
      <c r="L106" s="1157"/>
      <c r="M106" s="1211"/>
      <c r="N106" s="1157"/>
      <c r="O106" s="1157"/>
      <c r="P106" s="1157"/>
      <c r="Q106" s="1211"/>
      <c r="R106" s="1157"/>
      <c r="S106" s="1157"/>
      <c r="T106" s="1157"/>
      <c r="U106" s="1211"/>
      <c r="V106" s="1157"/>
      <c r="W106" s="1157"/>
      <c r="X106" s="1157"/>
      <c r="Y106" s="1211"/>
      <c r="Z106" s="1157"/>
      <c r="AA106" s="1157"/>
      <c r="AB106" s="1157"/>
      <c r="AC106" s="1211"/>
      <c r="AD106" s="1157"/>
      <c r="AE106" s="1157"/>
      <c r="AF106" s="1157"/>
      <c r="AG106" s="1211"/>
    </row>
    <row r="107" spans="1:33" x14ac:dyDescent="0.25">
      <c r="A107" s="1157"/>
      <c r="B107" s="1157"/>
      <c r="C107" s="1157"/>
      <c r="D107" s="1157"/>
      <c r="E107" s="1211"/>
      <c r="F107" s="1157"/>
      <c r="G107" s="1157"/>
      <c r="H107" s="1157"/>
      <c r="I107" s="1211"/>
      <c r="J107" s="1157"/>
      <c r="K107" s="1157"/>
      <c r="L107" s="1157"/>
      <c r="M107" s="1211"/>
      <c r="N107" s="1157"/>
      <c r="O107" s="1157"/>
      <c r="P107" s="1157"/>
      <c r="Q107" s="1211"/>
      <c r="R107" s="1157"/>
      <c r="S107" s="1157"/>
      <c r="T107" s="1157"/>
      <c r="U107" s="1211"/>
      <c r="V107" s="1157"/>
      <c r="W107" s="1157"/>
      <c r="X107" s="1157"/>
      <c r="Y107" s="1211"/>
      <c r="Z107" s="1157"/>
      <c r="AA107" s="1157"/>
      <c r="AB107" s="1157"/>
      <c r="AC107" s="1211"/>
      <c r="AD107" s="1157"/>
      <c r="AE107" s="1157"/>
      <c r="AF107" s="1157"/>
      <c r="AG107" s="1211"/>
    </row>
    <row r="108" spans="1:33" x14ac:dyDescent="0.25">
      <c r="A108" s="1157"/>
      <c r="B108" s="1157"/>
      <c r="C108" s="1157"/>
      <c r="D108" s="1157"/>
      <c r="E108" s="1211"/>
      <c r="F108" s="1157"/>
      <c r="G108" s="1157"/>
      <c r="H108" s="1157"/>
      <c r="I108" s="1211"/>
      <c r="J108" s="1157"/>
      <c r="K108" s="1157"/>
      <c r="L108" s="1157"/>
      <c r="M108" s="1211"/>
      <c r="N108" s="1157"/>
      <c r="O108" s="1157"/>
      <c r="P108" s="1157"/>
      <c r="Q108" s="1211"/>
      <c r="R108" s="1157"/>
      <c r="S108" s="1157"/>
      <c r="T108" s="1157"/>
      <c r="U108" s="1211"/>
      <c r="V108" s="1157"/>
      <c r="W108" s="1157"/>
      <c r="X108" s="1157"/>
      <c r="Y108" s="1211"/>
      <c r="Z108" s="1157"/>
      <c r="AA108" s="1157"/>
      <c r="AB108" s="1157"/>
      <c r="AC108" s="1211"/>
      <c r="AD108" s="1157"/>
      <c r="AE108" s="1157"/>
      <c r="AF108" s="1157"/>
      <c r="AG108" s="1211"/>
    </row>
    <row r="109" spans="1:33" x14ac:dyDescent="0.25">
      <c r="A109" s="1157"/>
      <c r="B109" s="1157"/>
      <c r="C109" s="1157"/>
      <c r="D109" s="1157"/>
      <c r="E109" s="1211"/>
      <c r="F109" s="1157"/>
      <c r="G109" s="1157"/>
      <c r="H109" s="1157"/>
      <c r="I109" s="1211"/>
      <c r="J109" s="1157"/>
      <c r="K109" s="1157"/>
      <c r="L109" s="1157"/>
      <c r="M109" s="1211"/>
      <c r="N109" s="1157"/>
      <c r="O109" s="1157"/>
      <c r="P109" s="1157"/>
      <c r="Q109" s="1211"/>
      <c r="R109" s="1157"/>
      <c r="S109" s="1157"/>
      <c r="T109" s="1157"/>
      <c r="U109" s="1211"/>
      <c r="V109" s="1157"/>
      <c r="W109" s="1157"/>
      <c r="X109" s="1157"/>
      <c r="Y109" s="1211"/>
      <c r="Z109" s="1157"/>
      <c r="AA109" s="1157"/>
      <c r="AB109" s="1157"/>
      <c r="AC109" s="1211"/>
      <c r="AD109" s="1157"/>
      <c r="AE109" s="1157"/>
      <c r="AF109" s="1157"/>
      <c r="AG109" s="1211"/>
    </row>
    <row r="110" spans="1:33" x14ac:dyDescent="0.25">
      <c r="A110" s="1157"/>
      <c r="B110" s="1157"/>
      <c r="C110" s="1157"/>
      <c r="D110" s="1157"/>
      <c r="E110" s="1211"/>
      <c r="F110" s="1157"/>
      <c r="G110" s="1157"/>
      <c r="H110" s="1157"/>
      <c r="I110" s="1211"/>
      <c r="J110" s="1157"/>
      <c r="K110" s="1157"/>
      <c r="L110" s="1157"/>
      <c r="M110" s="1211"/>
      <c r="N110" s="1157"/>
      <c r="O110" s="1157"/>
      <c r="P110" s="1157"/>
      <c r="Q110" s="1211"/>
      <c r="R110" s="1157"/>
      <c r="S110" s="1157"/>
      <c r="T110" s="1157"/>
      <c r="U110" s="1211"/>
      <c r="V110" s="1157"/>
      <c r="W110" s="1157"/>
      <c r="X110" s="1157"/>
      <c r="Y110" s="1211"/>
      <c r="Z110" s="1157"/>
      <c r="AA110" s="1157"/>
      <c r="AB110" s="1157"/>
      <c r="AC110" s="1211"/>
      <c r="AD110" s="1157"/>
      <c r="AE110" s="1157"/>
      <c r="AF110" s="1157"/>
      <c r="AG110" s="1211"/>
    </row>
    <row r="111" spans="1:33" x14ac:dyDescent="0.25">
      <c r="A111" s="1157"/>
      <c r="B111" s="1157"/>
      <c r="C111" s="1157"/>
      <c r="D111" s="1157"/>
      <c r="E111" s="1211"/>
      <c r="F111" s="1157"/>
      <c r="G111" s="1157"/>
      <c r="H111" s="1157"/>
      <c r="I111" s="1211"/>
      <c r="J111" s="1157"/>
      <c r="K111" s="1157"/>
      <c r="L111" s="1157"/>
      <c r="M111" s="1211"/>
      <c r="N111" s="1157"/>
      <c r="O111" s="1157"/>
      <c r="P111" s="1157"/>
      <c r="Q111" s="1211"/>
      <c r="R111" s="1157"/>
      <c r="S111" s="1157"/>
      <c r="T111" s="1157"/>
      <c r="U111" s="1211"/>
      <c r="V111" s="1157"/>
      <c r="W111" s="1157"/>
      <c r="X111" s="1157"/>
      <c r="Y111" s="1211"/>
      <c r="Z111" s="1157"/>
      <c r="AA111" s="1157"/>
      <c r="AB111" s="1157"/>
      <c r="AC111" s="1211"/>
      <c r="AD111" s="1157"/>
      <c r="AE111" s="1157"/>
      <c r="AF111" s="1157"/>
      <c r="AG111" s="1211"/>
    </row>
    <row r="112" spans="1:33" x14ac:dyDescent="0.25">
      <c r="A112" s="1157"/>
      <c r="B112" s="1157"/>
      <c r="C112" s="1157"/>
      <c r="D112" s="1157"/>
      <c r="E112" s="1211"/>
      <c r="F112" s="1157"/>
      <c r="G112" s="1157"/>
      <c r="H112" s="1157"/>
      <c r="I112" s="1211"/>
      <c r="J112" s="1157"/>
      <c r="K112" s="1157"/>
      <c r="L112" s="1157"/>
      <c r="M112" s="1211"/>
      <c r="N112" s="1157"/>
      <c r="O112" s="1157"/>
      <c r="P112" s="1157"/>
      <c r="Q112" s="1211"/>
      <c r="R112" s="1157"/>
      <c r="S112" s="1157"/>
      <c r="T112" s="1157"/>
      <c r="U112" s="1211"/>
      <c r="V112" s="1157"/>
      <c r="W112" s="1157"/>
      <c r="X112" s="1157"/>
      <c r="Y112" s="1211"/>
      <c r="Z112" s="1157"/>
      <c r="AA112" s="1157"/>
      <c r="AB112" s="1157"/>
      <c r="AC112" s="1211"/>
      <c r="AD112" s="1157"/>
      <c r="AE112" s="1157"/>
      <c r="AF112" s="1157"/>
      <c r="AG112" s="1211"/>
    </row>
    <row r="113" spans="1:33" x14ac:dyDescent="0.25">
      <c r="A113" s="1157"/>
      <c r="B113" s="1157"/>
      <c r="C113" s="1157"/>
      <c r="D113" s="1157"/>
      <c r="E113" s="1211"/>
      <c r="F113" s="1157"/>
      <c r="G113" s="1157"/>
      <c r="H113" s="1157"/>
      <c r="I113" s="1211"/>
      <c r="J113" s="1157"/>
      <c r="K113" s="1157"/>
      <c r="L113" s="1157"/>
      <c r="M113" s="1211"/>
      <c r="N113" s="1157"/>
      <c r="O113" s="1157"/>
      <c r="P113" s="1157"/>
      <c r="Q113" s="1211"/>
      <c r="R113" s="1157"/>
      <c r="S113" s="1157"/>
      <c r="T113" s="1157"/>
      <c r="U113" s="1211"/>
      <c r="V113" s="1157"/>
      <c r="W113" s="1157"/>
      <c r="X113" s="1157"/>
      <c r="Y113" s="1211"/>
      <c r="Z113" s="1157"/>
      <c r="AA113" s="1157"/>
      <c r="AB113" s="1157"/>
      <c r="AC113" s="1211"/>
      <c r="AD113" s="1157"/>
      <c r="AE113" s="1157"/>
      <c r="AF113" s="1157"/>
      <c r="AG113" s="1211"/>
    </row>
    <row r="114" spans="1:33" x14ac:dyDescent="0.25">
      <c r="A114" s="1157"/>
      <c r="B114" s="1157"/>
      <c r="C114" s="1157"/>
      <c r="D114" s="1157"/>
      <c r="E114" s="1211"/>
      <c r="F114" s="1157"/>
      <c r="G114" s="1157"/>
      <c r="H114" s="1157"/>
      <c r="I114" s="1211"/>
      <c r="J114" s="1157"/>
      <c r="K114" s="1157"/>
      <c r="L114" s="1157"/>
      <c r="M114" s="1211"/>
      <c r="N114" s="1157"/>
      <c r="O114" s="1157"/>
      <c r="P114" s="1157"/>
      <c r="Q114" s="1211"/>
      <c r="R114" s="1157"/>
      <c r="S114" s="1157"/>
      <c r="T114" s="1157"/>
      <c r="U114" s="1211"/>
      <c r="V114" s="1157"/>
      <c r="W114" s="1157"/>
      <c r="X114" s="1157"/>
      <c r="Y114" s="1211"/>
      <c r="Z114" s="1157"/>
      <c r="AA114" s="1157"/>
      <c r="AB114" s="1157"/>
      <c r="AC114" s="1211"/>
      <c r="AD114" s="1157"/>
      <c r="AE114" s="1157"/>
      <c r="AF114" s="1157"/>
      <c r="AG114" s="1211"/>
    </row>
    <row r="115" spans="1:33" x14ac:dyDescent="0.25">
      <c r="A115" s="1157"/>
      <c r="B115" s="1157"/>
      <c r="C115" s="1157"/>
      <c r="D115" s="1157"/>
      <c r="E115" s="1211"/>
      <c r="F115" s="1157"/>
      <c r="G115" s="1157"/>
      <c r="H115" s="1157"/>
      <c r="I115" s="1211"/>
      <c r="J115" s="1157"/>
      <c r="K115" s="1157"/>
      <c r="L115" s="1157"/>
      <c r="M115" s="1211"/>
      <c r="N115" s="1157"/>
      <c r="O115" s="1157"/>
      <c r="P115" s="1157"/>
      <c r="Q115" s="1211"/>
      <c r="R115" s="1157"/>
      <c r="S115" s="1157"/>
      <c r="T115" s="1157"/>
      <c r="U115" s="1211"/>
      <c r="V115" s="1157"/>
      <c r="W115" s="1157"/>
      <c r="X115" s="1157"/>
      <c r="Y115" s="1211"/>
      <c r="Z115" s="1157"/>
      <c r="AA115" s="1157"/>
      <c r="AB115" s="1157"/>
      <c r="AC115" s="1211"/>
      <c r="AD115" s="1157"/>
      <c r="AE115" s="1157"/>
      <c r="AF115" s="1157"/>
      <c r="AG115" s="1211"/>
    </row>
    <row r="116" spans="1:33" x14ac:dyDescent="0.25">
      <c r="A116" s="1157"/>
      <c r="B116" s="1157"/>
      <c r="C116" s="1157"/>
      <c r="D116" s="1157"/>
      <c r="E116" s="1211"/>
      <c r="F116" s="1157"/>
      <c r="G116" s="1157"/>
      <c r="H116" s="1157"/>
      <c r="I116" s="1211"/>
      <c r="J116" s="1157"/>
      <c r="K116" s="1157"/>
      <c r="L116" s="1157"/>
      <c r="M116" s="1211"/>
      <c r="N116" s="1157"/>
      <c r="O116" s="1157"/>
      <c r="P116" s="1157"/>
      <c r="Q116" s="1211"/>
      <c r="R116" s="1157"/>
      <c r="S116" s="1157"/>
      <c r="T116" s="1157"/>
      <c r="U116" s="1211"/>
      <c r="V116" s="1157"/>
      <c r="W116" s="1157"/>
      <c r="X116" s="1157"/>
      <c r="Y116" s="1211"/>
      <c r="Z116" s="1157"/>
      <c r="AA116" s="1157"/>
      <c r="AB116" s="1157"/>
      <c r="AC116" s="1211"/>
      <c r="AD116" s="1157"/>
      <c r="AE116" s="1157"/>
      <c r="AF116" s="1157"/>
      <c r="AG116" s="1211"/>
    </row>
    <row r="117" spans="1:33" x14ac:dyDescent="0.25">
      <c r="A117" s="1157"/>
      <c r="B117" s="1157"/>
      <c r="C117" s="1157"/>
      <c r="D117" s="1157"/>
      <c r="E117" s="1211"/>
      <c r="F117" s="1157"/>
      <c r="G117" s="1157"/>
      <c r="H117" s="1157"/>
      <c r="I117" s="1211"/>
      <c r="J117" s="1157"/>
      <c r="K117" s="1157"/>
      <c r="L117" s="1157"/>
      <c r="M117" s="1211"/>
      <c r="N117" s="1157"/>
      <c r="O117" s="1157"/>
      <c r="P117" s="1157"/>
      <c r="Q117" s="1211"/>
      <c r="R117" s="1157"/>
      <c r="S117" s="1157"/>
      <c r="T117" s="1157"/>
      <c r="U117" s="1211"/>
      <c r="V117" s="1157"/>
      <c r="W117" s="1157"/>
      <c r="X117" s="1157"/>
      <c r="Y117" s="1211"/>
      <c r="Z117" s="1157"/>
      <c r="AA117" s="1157"/>
      <c r="AB117" s="1157"/>
      <c r="AC117" s="1211"/>
      <c r="AD117" s="1157"/>
      <c r="AE117" s="1157"/>
      <c r="AF117" s="1157"/>
      <c r="AG117" s="1211"/>
    </row>
    <row r="118" spans="1:33" x14ac:dyDescent="0.25">
      <c r="A118" s="1157"/>
      <c r="B118" s="1157"/>
      <c r="C118" s="1157"/>
      <c r="D118" s="1157"/>
      <c r="E118" s="1211"/>
      <c r="F118" s="1157"/>
      <c r="G118" s="1157"/>
      <c r="H118" s="1157"/>
      <c r="I118" s="1211"/>
      <c r="J118" s="1157"/>
      <c r="K118" s="1157"/>
      <c r="L118" s="1157"/>
      <c r="M118" s="1211"/>
      <c r="N118" s="1157"/>
      <c r="O118" s="1157"/>
      <c r="P118" s="1157"/>
      <c r="Q118" s="1211"/>
      <c r="R118" s="1157"/>
      <c r="S118" s="1157"/>
      <c r="T118" s="1157"/>
      <c r="U118" s="1211"/>
      <c r="V118" s="1157"/>
      <c r="W118" s="1157"/>
      <c r="X118" s="1157"/>
      <c r="Y118" s="1211"/>
      <c r="Z118" s="1157"/>
      <c r="AA118" s="1157"/>
      <c r="AB118" s="1157"/>
      <c r="AC118" s="1211"/>
      <c r="AD118" s="1157"/>
      <c r="AE118" s="1157"/>
      <c r="AF118" s="1157"/>
      <c r="AG118" s="1211"/>
    </row>
  </sheetData>
  <mergeCells count="23">
    <mergeCell ref="A1:E1"/>
    <mergeCell ref="A2:E2"/>
    <mergeCell ref="A3:E3"/>
    <mergeCell ref="A4:E4"/>
    <mergeCell ref="AD6:AG6"/>
    <mergeCell ref="B6:E6"/>
    <mergeCell ref="A6:A7"/>
    <mergeCell ref="F6:I6"/>
    <mergeCell ref="A5:AG5"/>
    <mergeCell ref="J6:M6"/>
    <mergeCell ref="N6:Q6"/>
    <mergeCell ref="R6:U6"/>
    <mergeCell ref="V6:Y6"/>
    <mergeCell ref="Z6:AC6"/>
    <mergeCell ref="V41:Y41"/>
    <mergeCell ref="Z41:AC41"/>
    <mergeCell ref="AD41:AG41"/>
    <mergeCell ref="A41:A42"/>
    <mergeCell ref="B41:E41"/>
    <mergeCell ref="F41:I41"/>
    <mergeCell ref="J41:M41"/>
    <mergeCell ref="N41:Q41"/>
    <mergeCell ref="R41:U41"/>
  </mergeCells>
  <pageMargins left="0.7" right="0.7" top="0.75" bottom="0.75" header="0.3" footer="0.3"/>
  <pageSetup paperSize="9" scale="18" fitToHeight="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5"/>
  <sheetViews>
    <sheetView zoomScale="85" zoomScaleNormal="85" workbookViewId="0">
      <selection activeCell="B3" sqref="B3"/>
    </sheetView>
  </sheetViews>
  <sheetFormatPr defaultRowHeight="13.2" x14ac:dyDescent="0.25"/>
  <cols>
    <col min="1" max="1" width="6.33203125" style="13" bestFit="1" customWidth="1"/>
    <col min="2" max="2" width="47.6640625" style="13" bestFit="1" customWidth="1"/>
    <col min="3" max="4" width="18.5546875" style="17" customWidth="1"/>
    <col min="5" max="5" width="18.5546875" style="13" customWidth="1"/>
    <col min="6" max="6" width="21.5546875" style="13" bestFit="1" customWidth="1"/>
    <col min="7" max="7" width="1.5546875" style="13" customWidth="1"/>
    <col min="8" max="9" width="16.33203125" style="13" customWidth="1"/>
    <col min="10" max="10" width="23" style="13" customWidth="1"/>
    <col min="11" max="11" width="1.5546875" style="13" customWidth="1"/>
    <col min="12" max="12" width="14.5546875" style="13" customWidth="1"/>
    <col min="13" max="13" width="13.6640625" style="13" customWidth="1"/>
    <col min="14" max="14" width="16.21875" style="13" bestFit="1" customWidth="1"/>
    <col min="15" max="15" width="1.5546875" style="13" customWidth="1"/>
    <col min="16" max="17" width="18.5546875" style="13" customWidth="1"/>
    <col min="18" max="18" width="21.6640625" style="13" bestFit="1" customWidth="1"/>
    <col min="19" max="19" width="18.5546875" style="13" customWidth="1"/>
    <col min="20" max="20" width="10.5546875" customWidth="1"/>
    <col min="21" max="21" width="1.5546875" style="13" customWidth="1"/>
    <col min="22" max="22" width="2.44140625" customWidth="1"/>
  </cols>
  <sheetData>
    <row r="1" spans="1:22" ht="24.6" x14ac:dyDescent="0.4">
      <c r="A1" s="1410" t="s">
        <v>476</v>
      </c>
      <c r="B1" s="1411"/>
      <c r="C1" s="1411"/>
      <c r="D1" s="1411"/>
      <c r="E1" s="1411"/>
      <c r="F1" s="1411"/>
      <c r="G1" s="63"/>
      <c r="H1" s="63"/>
      <c r="J1" s="221" t="s">
        <v>561</v>
      </c>
      <c r="K1" s="222"/>
      <c r="L1" s="222"/>
      <c r="M1" s="63"/>
      <c r="N1" s="63"/>
      <c r="O1" s="63"/>
      <c r="Q1" s="63"/>
      <c r="R1" s="63"/>
      <c r="S1" s="63"/>
      <c r="U1" s="63"/>
    </row>
    <row r="2" spans="1:22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U2" s="63"/>
    </row>
    <row r="3" spans="1:2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U3" s="63"/>
    </row>
    <row r="4" spans="1:22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U4" s="63"/>
    </row>
    <row r="5" spans="1:22" x14ac:dyDescent="0.25">
      <c r="A5" s="2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U5" s="63"/>
    </row>
    <row r="6" spans="1:22" ht="16.350000000000001" customHeight="1" x14ac:dyDescent="0.25">
      <c r="A6" s="1430" t="s">
        <v>369</v>
      </c>
      <c r="B6" s="1431"/>
      <c r="C6" s="1431"/>
      <c r="D6" s="1431"/>
      <c r="E6" s="1431"/>
      <c r="F6" s="1431"/>
      <c r="G6" s="1431"/>
      <c r="H6" s="1431"/>
      <c r="I6" s="1431"/>
      <c r="J6" s="1431"/>
      <c r="K6" s="1431"/>
      <c r="L6" s="1431"/>
      <c r="M6" s="1431"/>
      <c r="N6" s="1432"/>
      <c r="O6" s="1432"/>
      <c r="P6" s="1432"/>
      <c r="Q6" s="1432"/>
      <c r="R6" s="1432"/>
      <c r="S6" s="1432"/>
      <c r="T6" s="1432"/>
      <c r="U6" s="1432"/>
      <c r="V6" s="1433"/>
    </row>
    <row r="7" spans="1:22" ht="16.350000000000001" customHeight="1" x14ac:dyDescent="0.3">
      <c r="A7" s="1077"/>
      <c r="B7" s="1078"/>
      <c r="C7" s="1424" t="s">
        <v>403</v>
      </c>
      <c r="D7" s="1425"/>
      <c r="E7" s="1425"/>
      <c r="F7" s="1426"/>
      <c r="G7" s="167"/>
      <c r="H7" s="1424" t="s">
        <v>410</v>
      </c>
      <c r="I7" s="1435"/>
      <c r="J7" s="1435"/>
      <c r="K7" s="1435"/>
      <c r="L7" s="1435"/>
      <c r="M7" s="1435"/>
      <c r="N7" s="1436"/>
      <c r="O7" s="167"/>
      <c r="P7" s="1424" t="s">
        <v>399</v>
      </c>
      <c r="Q7" s="1425"/>
      <c r="R7" s="1425"/>
      <c r="S7" s="1425"/>
      <c r="T7" s="1426"/>
      <c r="U7" s="211"/>
      <c r="V7" s="1407" t="s">
        <v>405</v>
      </c>
    </row>
    <row r="8" spans="1:22" ht="16.350000000000001" customHeight="1" x14ac:dyDescent="0.25">
      <c r="A8" s="168"/>
      <c r="B8" s="129"/>
      <c r="C8" s="1437" t="s">
        <v>412</v>
      </c>
      <c r="D8" s="1438"/>
      <c r="E8" s="1438"/>
      <c r="F8" s="1439"/>
      <c r="G8" s="155"/>
      <c r="H8" s="1427" t="s">
        <v>412</v>
      </c>
      <c r="I8" s="1428"/>
      <c r="J8" s="1429"/>
      <c r="K8" s="169"/>
      <c r="L8" s="1427" t="s">
        <v>411</v>
      </c>
      <c r="M8" s="1428"/>
      <c r="N8" s="1429"/>
      <c r="O8" s="155"/>
      <c r="P8" s="366">
        <v>1</v>
      </c>
      <c r="Q8" s="367">
        <v>1</v>
      </c>
      <c r="R8" s="367">
        <v>1</v>
      </c>
      <c r="S8" s="170"/>
      <c r="T8" s="170"/>
      <c r="U8" s="161"/>
      <c r="V8" s="1408"/>
    </row>
    <row r="9" spans="1:22" ht="51" x14ac:dyDescent="0.25">
      <c r="A9" s="178" t="s">
        <v>414</v>
      </c>
      <c r="B9" s="184" t="s">
        <v>366</v>
      </c>
      <c r="C9" s="179" t="s">
        <v>484</v>
      </c>
      <c r="D9" s="180" t="s">
        <v>485</v>
      </c>
      <c r="E9" s="180" t="s">
        <v>486</v>
      </c>
      <c r="F9" s="180" t="s">
        <v>512</v>
      </c>
      <c r="G9" s="180"/>
      <c r="H9" s="181" t="s">
        <v>497</v>
      </c>
      <c r="I9" s="181" t="s">
        <v>498</v>
      </c>
      <c r="J9" s="181" t="s">
        <v>513</v>
      </c>
      <c r="K9" s="180"/>
      <c r="L9" s="182" t="s">
        <v>499</v>
      </c>
      <c r="M9" s="182" t="s">
        <v>500</v>
      </c>
      <c r="N9" s="182" t="s">
        <v>559</v>
      </c>
      <c r="O9" s="181"/>
      <c r="P9" s="181" t="s">
        <v>491</v>
      </c>
      <c r="Q9" s="181" t="s">
        <v>492</v>
      </c>
      <c r="R9" s="181" t="s">
        <v>510</v>
      </c>
      <c r="S9" s="181" t="s">
        <v>400</v>
      </c>
      <c r="T9" s="182" t="s">
        <v>401</v>
      </c>
      <c r="U9" s="183" t="s">
        <v>405</v>
      </c>
      <c r="V9" s="1409"/>
    </row>
    <row r="10" spans="1:22" x14ac:dyDescent="0.25">
      <c r="A10" s="34" t="s">
        <v>237</v>
      </c>
      <c r="B10" s="18" t="s">
        <v>238</v>
      </c>
      <c r="C10" s="159">
        <f>+'bevételi segédtábla'!C13</f>
        <v>572340889</v>
      </c>
      <c r="D10" s="159">
        <f>+'bevételi segédtábla'!D13</f>
        <v>583546237</v>
      </c>
      <c r="E10" s="159">
        <f>+'bevételi segédtábla'!E13</f>
        <v>583793086</v>
      </c>
      <c r="F10" s="159">
        <f>+'bevételi segédtábla'!F13</f>
        <v>609944327</v>
      </c>
      <c r="G10" s="159"/>
      <c r="H10" s="159">
        <f>+'bevételi segédtábla'!H13</f>
        <v>304959425</v>
      </c>
      <c r="I10" s="159">
        <f>+'bevételi segédtábla'!I13</f>
        <v>464974939</v>
      </c>
      <c r="J10" s="159">
        <f>+'bevételi segédtábla'!J13</f>
        <v>609817886</v>
      </c>
      <c r="K10" s="159"/>
      <c r="L10" s="670">
        <f>H10/C10</f>
        <v>0.53282830365803202</v>
      </c>
      <c r="M10" s="670">
        <f>I10/D10</f>
        <v>0.79680907787260735</v>
      </c>
      <c r="N10" s="670">
        <f>J10/E10</f>
        <v>1.0445788081841039</v>
      </c>
      <c r="O10" s="671"/>
      <c r="P10" s="159">
        <f>+'bevételi segédtábla'!P13</f>
        <v>11205348</v>
      </c>
      <c r="Q10" s="159">
        <f>+'bevételi segédtábla'!Q13</f>
        <v>246849</v>
      </c>
      <c r="R10" s="159">
        <f>+'bevételi segédtábla'!R13</f>
        <v>26151241</v>
      </c>
      <c r="S10" s="159">
        <f>+'bevételi segédtábla'!S13</f>
        <v>37603438</v>
      </c>
      <c r="T10" s="172">
        <f>IF(C10=0,0,+S10/C10)</f>
        <v>6.5701120997490009E-2</v>
      </c>
      <c r="U10" s="159"/>
      <c r="V10" s="175">
        <f>+S10-E10+C10</f>
        <v>26151241</v>
      </c>
    </row>
    <row r="11" spans="1:22" x14ac:dyDescent="0.25">
      <c r="A11" s="34" t="s">
        <v>258</v>
      </c>
      <c r="B11" s="18" t="s">
        <v>259</v>
      </c>
      <c r="C11" s="159">
        <f>+'bevételi segédtábla'!C14</f>
        <v>285600000</v>
      </c>
      <c r="D11" s="159">
        <f>+'bevételi segédtábla'!D14</f>
        <v>285600000</v>
      </c>
      <c r="E11" s="159">
        <f>+'bevételi segédtábla'!E14</f>
        <v>285600000</v>
      </c>
      <c r="F11" s="159">
        <f>+'bevételi segédtábla'!F14</f>
        <v>241108000</v>
      </c>
      <c r="G11" s="159"/>
      <c r="H11" s="159">
        <f>+'bevételi segédtábla'!H14</f>
        <v>52664113</v>
      </c>
      <c r="I11" s="159">
        <f>+'bevételi segédtábla'!I14</f>
        <v>50464113</v>
      </c>
      <c r="J11" s="159">
        <f>+'bevételi segédtábla'!J14</f>
        <v>147169193</v>
      </c>
      <c r="K11" s="159"/>
      <c r="L11" s="670">
        <f t="shared" ref="L11:L19" si="0">H11/C11</f>
        <v>0.18439815476190477</v>
      </c>
      <c r="M11" s="670">
        <f t="shared" ref="M11:M19" si="1">I11/D11</f>
        <v>0.17669507352941177</v>
      </c>
      <c r="N11" s="670">
        <f t="shared" ref="N11:N18" si="2">J11/E11</f>
        <v>0.51529829481792722</v>
      </c>
      <c r="O11" s="671"/>
      <c r="P11" s="159">
        <f>+'bevételi segédtábla'!P14</f>
        <v>0</v>
      </c>
      <c r="Q11" s="159">
        <f>+'bevételi segédtábla'!Q14</f>
        <v>0</v>
      </c>
      <c r="R11" s="159">
        <f>+'bevételi segédtábla'!R14</f>
        <v>-44492000</v>
      </c>
      <c r="S11" s="159">
        <f>+'bevételi segédtábla'!S14</f>
        <v>-44492000</v>
      </c>
      <c r="T11" s="172">
        <f t="shared" ref="T11:T19" si="3">IF(C11=0,0,+S11/C11)</f>
        <v>-0.1557843137254902</v>
      </c>
      <c r="U11" s="159"/>
      <c r="V11" s="175">
        <f t="shared" ref="V11:V19" si="4">+S11-E11+C11</f>
        <v>-44492000</v>
      </c>
    </row>
    <row r="12" spans="1:22" x14ac:dyDescent="0.25">
      <c r="A12" s="34" t="s">
        <v>266</v>
      </c>
      <c r="B12" s="18" t="s">
        <v>267</v>
      </c>
      <c r="C12" s="159">
        <f>+'bevételi segédtábla'!C15</f>
        <v>238500000</v>
      </c>
      <c r="D12" s="159">
        <f>+'bevételi segédtábla'!D15</f>
        <v>238500000</v>
      </c>
      <c r="E12" s="159">
        <f>+'bevételi segédtábla'!E15</f>
        <v>238500000</v>
      </c>
      <c r="F12" s="159">
        <f>+'bevételi segédtábla'!F15</f>
        <v>274449000</v>
      </c>
      <c r="G12" s="159"/>
      <c r="H12" s="159">
        <f>+'bevételi segédtábla'!H15</f>
        <v>126487519</v>
      </c>
      <c r="I12" s="159">
        <f>+'bevételi segédtábla'!I15</f>
        <v>188691308</v>
      </c>
      <c r="J12" s="159">
        <f>+'bevételi segédtábla'!J15</f>
        <v>274433456</v>
      </c>
      <c r="K12" s="159"/>
      <c r="L12" s="670">
        <f t="shared" si="0"/>
        <v>0.53034599161425577</v>
      </c>
      <c r="M12" s="670">
        <f t="shared" si="1"/>
        <v>0.79115852410901466</v>
      </c>
      <c r="N12" s="670">
        <f t="shared" si="2"/>
        <v>1.1506643857442349</v>
      </c>
      <c r="O12" s="671"/>
      <c r="P12" s="159">
        <f>+'bevételi segédtábla'!P15</f>
        <v>0</v>
      </c>
      <c r="Q12" s="159">
        <f>+'bevételi segédtábla'!Q15</f>
        <v>0</v>
      </c>
      <c r="R12" s="159">
        <f>+'bevételi segédtábla'!R15</f>
        <v>35949000</v>
      </c>
      <c r="S12" s="159">
        <f>+'bevételi segédtábla'!S15</f>
        <v>35949000</v>
      </c>
      <c r="T12" s="172">
        <f t="shared" si="3"/>
        <v>0.15072955974842767</v>
      </c>
      <c r="U12" s="159"/>
      <c r="V12" s="175">
        <f t="shared" si="4"/>
        <v>35949000</v>
      </c>
    </row>
    <row r="13" spans="1:22" x14ac:dyDescent="0.25">
      <c r="A13" s="34" t="s">
        <v>280</v>
      </c>
      <c r="B13" s="18" t="s">
        <v>281</v>
      </c>
      <c r="C13" s="159">
        <f>+'bevételi segédtábla'!C16</f>
        <v>270513649</v>
      </c>
      <c r="D13" s="159">
        <f>+'bevételi segédtábla'!D16</f>
        <v>330513649</v>
      </c>
      <c r="E13" s="159">
        <f>+'bevételi segédtábla'!E16</f>
        <v>369819560</v>
      </c>
      <c r="F13" s="159">
        <f>+'bevételi segédtábla'!F16</f>
        <v>361511448</v>
      </c>
      <c r="G13" s="159"/>
      <c r="H13" s="159">
        <f>+'bevételi segédtábla'!H16</f>
        <v>256456899</v>
      </c>
      <c r="I13" s="159">
        <f>+'bevételi segédtábla'!I16</f>
        <v>331572601</v>
      </c>
      <c r="J13" s="159">
        <f>+'bevételi segédtábla'!J16</f>
        <v>364307181</v>
      </c>
      <c r="K13" s="159"/>
      <c r="L13" s="670">
        <f t="shared" si="0"/>
        <v>0.94803681791302141</v>
      </c>
      <c r="M13" s="670">
        <f t="shared" si="1"/>
        <v>1.0032039584543753</v>
      </c>
      <c r="N13" s="670">
        <f t="shared" si="2"/>
        <v>0.98509440928435477</v>
      </c>
      <c r="O13" s="671"/>
      <c r="P13" s="159">
        <f>+'bevételi segédtábla'!P16</f>
        <v>60000000</v>
      </c>
      <c r="Q13" s="159">
        <f>+'bevételi segédtábla'!Q16</f>
        <v>39305911</v>
      </c>
      <c r="R13" s="159">
        <f>+'bevételi segédtábla'!R16</f>
        <v>-8308112</v>
      </c>
      <c r="S13" s="159">
        <f>+'bevételi segédtábla'!S16</f>
        <v>90997799</v>
      </c>
      <c r="T13" s="172">
        <f t="shared" si="3"/>
        <v>0.33638893762436362</v>
      </c>
      <c r="U13" s="159"/>
      <c r="V13" s="175">
        <f t="shared" si="4"/>
        <v>-8308112</v>
      </c>
    </row>
    <row r="14" spans="1:22" x14ac:dyDescent="0.25">
      <c r="A14" s="34" t="s">
        <v>306</v>
      </c>
      <c r="B14" s="18" t="s">
        <v>307</v>
      </c>
      <c r="C14" s="159">
        <f>+'bevételi segédtábla'!C17</f>
        <v>99395520</v>
      </c>
      <c r="D14" s="159">
        <f>+'bevételi segédtábla'!D17</f>
        <v>99395520</v>
      </c>
      <c r="E14" s="159">
        <f>+'bevételi segédtábla'!E17</f>
        <v>60089609</v>
      </c>
      <c r="F14" s="159">
        <f>+'bevételi segédtábla'!F17</f>
        <v>40240223</v>
      </c>
      <c r="G14" s="159"/>
      <c r="H14" s="159">
        <f>+'bevételi segédtábla'!H17</f>
        <v>24370866</v>
      </c>
      <c r="I14" s="159">
        <f>+'bevételi segédtábla'!I17</f>
        <v>27956388</v>
      </c>
      <c r="J14" s="159">
        <f>+'bevételi segédtábla'!J17</f>
        <v>36042225</v>
      </c>
      <c r="K14" s="159"/>
      <c r="L14" s="670">
        <f t="shared" si="0"/>
        <v>0.24519078928305824</v>
      </c>
      <c r="M14" s="670">
        <f t="shared" si="1"/>
        <v>0.28126406502023432</v>
      </c>
      <c r="N14" s="670">
        <f t="shared" si="2"/>
        <v>0.59980794682821115</v>
      </c>
      <c r="O14" s="671"/>
      <c r="P14" s="159">
        <f>+'bevételi segédtábla'!P17</f>
        <v>0</v>
      </c>
      <c r="Q14" s="159">
        <f>+'bevételi segédtábla'!Q17</f>
        <v>-39305911</v>
      </c>
      <c r="R14" s="159">
        <f>+'bevételi segédtábla'!R17</f>
        <v>-19849386</v>
      </c>
      <c r="S14" s="159">
        <f>+'bevételi segédtábla'!S17</f>
        <v>-59155297</v>
      </c>
      <c r="T14" s="172">
        <f t="shared" si="3"/>
        <v>-0.59515053595976963</v>
      </c>
      <c r="U14" s="159"/>
      <c r="V14" s="175">
        <f t="shared" si="4"/>
        <v>-19849386</v>
      </c>
    </row>
    <row r="15" spans="1:22" x14ac:dyDescent="0.25">
      <c r="A15" s="34" t="s">
        <v>316</v>
      </c>
      <c r="B15" s="18" t="s">
        <v>317</v>
      </c>
      <c r="C15" s="159">
        <f>+'bevételi segédtábla'!C18</f>
        <v>0</v>
      </c>
      <c r="D15" s="159">
        <f>+'bevételi segédtábla'!D18</f>
        <v>0</v>
      </c>
      <c r="E15" s="159">
        <f>+'bevételi segédtábla'!E18</f>
        <v>10037947</v>
      </c>
      <c r="F15" s="159">
        <f>+'bevételi segédtábla'!F18</f>
        <v>10037947</v>
      </c>
      <c r="G15" s="159"/>
      <c r="H15" s="159">
        <f>+'bevételi segédtábla'!H18</f>
        <v>0</v>
      </c>
      <c r="I15" s="159">
        <f>+'bevételi segédtábla'!I18</f>
        <v>0</v>
      </c>
      <c r="J15" s="159">
        <f>+'bevételi segédtábla'!J18</f>
        <v>0</v>
      </c>
      <c r="K15" s="159"/>
      <c r="L15" s="670" t="e">
        <f t="shared" si="0"/>
        <v>#DIV/0!</v>
      </c>
      <c r="M15" s="670" t="e">
        <f t="shared" si="1"/>
        <v>#DIV/0!</v>
      </c>
      <c r="N15" s="670">
        <f t="shared" si="2"/>
        <v>0</v>
      </c>
      <c r="O15" s="671"/>
      <c r="P15" s="159">
        <f>+'bevételi segédtábla'!P18</f>
        <v>0</v>
      </c>
      <c r="Q15" s="159">
        <f>+'bevételi segédtábla'!Q18</f>
        <v>10037947</v>
      </c>
      <c r="R15" s="159">
        <f>+'bevételi segédtábla'!R18</f>
        <v>0</v>
      </c>
      <c r="S15" s="159">
        <f>+'bevételi segédtábla'!S18</f>
        <v>10037947</v>
      </c>
      <c r="T15" s="172">
        <f t="shared" si="3"/>
        <v>0</v>
      </c>
      <c r="U15" s="159"/>
      <c r="V15" s="175">
        <f t="shared" si="4"/>
        <v>0</v>
      </c>
    </row>
    <row r="16" spans="1:22" x14ac:dyDescent="0.25">
      <c r="A16" s="34" t="s">
        <v>322</v>
      </c>
      <c r="B16" s="18" t="s">
        <v>323</v>
      </c>
      <c r="C16" s="159">
        <f>+'bevételi segédtábla'!C19</f>
        <v>60000000</v>
      </c>
      <c r="D16" s="159">
        <f>+'bevételi segédtábla'!D19</f>
        <v>112693</v>
      </c>
      <c r="E16" s="159">
        <f>+'bevételi segédtábla'!E19</f>
        <v>112693</v>
      </c>
      <c r="F16" s="159">
        <f>+'bevételi segédtábla'!F19</f>
        <v>112693</v>
      </c>
      <c r="G16" s="159"/>
      <c r="H16" s="159">
        <f>+'bevételi segédtábla'!H19</f>
        <v>352000</v>
      </c>
      <c r="I16" s="159">
        <f>+'bevételi segédtábla'!I19</f>
        <v>718078</v>
      </c>
      <c r="J16" s="159">
        <f>+'bevételi segédtábla'!J19</f>
        <v>939676</v>
      </c>
      <c r="K16" s="159"/>
      <c r="L16" s="670">
        <f t="shared" si="0"/>
        <v>5.8666666666666667E-3</v>
      </c>
      <c r="M16" s="670">
        <f t="shared" si="1"/>
        <v>6.3719840628965416</v>
      </c>
      <c r="N16" s="670">
        <f t="shared" si="2"/>
        <v>8.3383706175183914</v>
      </c>
      <c r="O16" s="671"/>
      <c r="P16" s="159">
        <f>+'bevételi segédtábla'!P19</f>
        <v>-59887307</v>
      </c>
      <c r="Q16" s="159">
        <f>+'bevételi segédtábla'!Q19</f>
        <v>0</v>
      </c>
      <c r="R16" s="159">
        <f>+'bevételi segédtábla'!R19</f>
        <v>0</v>
      </c>
      <c r="S16" s="159">
        <f>+'bevételi segédtábla'!S19</f>
        <v>-59887307</v>
      </c>
      <c r="T16" s="172">
        <f t="shared" si="3"/>
        <v>-0.99812178333333335</v>
      </c>
      <c r="U16" s="159"/>
      <c r="V16" s="175">
        <f t="shared" si="4"/>
        <v>0</v>
      </c>
    </row>
    <row r="17" spans="1:22" x14ac:dyDescent="0.25">
      <c r="A17" s="34" t="s">
        <v>329</v>
      </c>
      <c r="B17" s="18" t="s">
        <v>330</v>
      </c>
      <c r="C17" s="159">
        <f>+'bevételi segédtábla'!C20</f>
        <v>941116459.02999997</v>
      </c>
      <c r="D17" s="159">
        <f>+'bevételi segédtábla'!D20</f>
        <v>950632459</v>
      </c>
      <c r="E17" s="159">
        <f>+'bevételi segédtábla'!E20</f>
        <v>953906459</v>
      </c>
      <c r="F17" s="159">
        <f>+'bevételi segédtábla'!F20</f>
        <v>938189102</v>
      </c>
      <c r="G17" s="159"/>
      <c r="H17" s="159">
        <f>+'bevételi segédtábla'!H20</f>
        <v>684240604</v>
      </c>
      <c r="I17" s="159">
        <f>+'bevételi segédtábla'!I20</f>
        <v>808762346</v>
      </c>
      <c r="J17" s="159">
        <f>+'bevételi segédtábla'!J20</f>
        <v>959481726</v>
      </c>
      <c r="K17" s="159"/>
      <c r="L17" s="670">
        <f t="shared" si="0"/>
        <v>0.72705200024366856</v>
      </c>
      <c r="M17" s="670">
        <f t="shared" si="1"/>
        <v>0.85076239333418346</v>
      </c>
      <c r="N17" s="670">
        <f t="shared" si="2"/>
        <v>1.0058446684655482</v>
      </c>
      <c r="O17" s="671"/>
      <c r="P17" s="159">
        <f>+'bevételi segédtábla'!P20</f>
        <v>8847177.9699999988</v>
      </c>
      <c r="Q17" s="159">
        <f>+'bevételi segédtábla'!Q20</f>
        <v>3274000</v>
      </c>
      <c r="R17" s="159">
        <f>+'bevételi segédtábla'!R20</f>
        <v>-15717357</v>
      </c>
      <c r="S17" s="159">
        <f>+'bevételi segédtábla'!S20</f>
        <v>-3596179.0300000012</v>
      </c>
      <c r="T17" s="172">
        <f t="shared" si="3"/>
        <v>-3.8211838667730341E-3</v>
      </c>
      <c r="U17" s="159"/>
      <c r="V17" s="175">
        <f t="shared" si="4"/>
        <v>-16386179</v>
      </c>
    </row>
    <row r="18" spans="1:22" x14ac:dyDescent="0.25">
      <c r="A18" s="34"/>
      <c r="B18" s="365" t="s">
        <v>436</v>
      </c>
      <c r="C18" s="159">
        <f>+'bevételi segédtábla'!C21</f>
        <v>-517324859.02999997</v>
      </c>
      <c r="D18" s="159">
        <f>+'bevételi segédtábla'!D21</f>
        <v>-526172037</v>
      </c>
      <c r="E18" s="159">
        <f>+'bevételi segédtábla'!E21</f>
        <v>-529446037</v>
      </c>
      <c r="F18" s="159">
        <f>+'bevételi segédtábla'!F21</f>
        <v>-513728680</v>
      </c>
      <c r="G18" s="159"/>
      <c r="H18" s="159">
        <f>+'bevételi segédtábla'!H21</f>
        <v>-259780182</v>
      </c>
      <c r="I18" s="159">
        <f>+'bevételi segédtábla'!I21</f>
        <v>-384301924</v>
      </c>
      <c r="J18" s="159">
        <f>+'bevételi segédtábla'!J21</f>
        <v>-513728680</v>
      </c>
      <c r="K18" s="159"/>
      <c r="L18" s="670">
        <f t="shared" si="0"/>
        <v>0.50216063942315825</v>
      </c>
      <c r="M18" s="670">
        <f t="shared" si="1"/>
        <v>0.73037314219721639</v>
      </c>
      <c r="N18" s="670">
        <f t="shared" si="2"/>
        <v>0.97031358079652597</v>
      </c>
      <c r="O18" s="671"/>
      <c r="P18" s="159">
        <f>+'bevételi segédtábla'!P21</f>
        <v>-8847177.9699999988</v>
      </c>
      <c r="Q18" s="159">
        <f>+'bevételi segédtábla'!Q21</f>
        <v>-3274000</v>
      </c>
      <c r="R18" s="159">
        <f>+'bevételi segédtábla'!R21</f>
        <v>15717357</v>
      </c>
      <c r="S18" s="159">
        <f>+'bevételi segédtábla'!S21</f>
        <v>3596179.0300000012</v>
      </c>
      <c r="T18" s="172"/>
      <c r="U18" s="159"/>
      <c r="V18" s="175">
        <f t="shared" si="4"/>
        <v>15717357</v>
      </c>
    </row>
    <row r="19" spans="1:22" x14ac:dyDescent="0.25">
      <c r="A19" s="696"/>
      <c r="B19" s="48" t="s">
        <v>372</v>
      </c>
      <c r="C19" s="697">
        <f>SUM(C10:C18)</f>
        <v>1950141657.9999998</v>
      </c>
      <c r="D19" s="697">
        <f>SUM(D10:D18)</f>
        <v>1962128521</v>
      </c>
      <c r="E19" s="697">
        <f>SUM(E10:E18)</f>
        <v>1972413317</v>
      </c>
      <c r="F19" s="697">
        <f>SUM(F10:F18)</f>
        <v>1961864060</v>
      </c>
      <c r="G19" s="697"/>
      <c r="H19" s="697">
        <f>SUM(H10:H18)</f>
        <v>1189751244</v>
      </c>
      <c r="I19" s="697">
        <f>SUM(I10:I18)</f>
        <v>1488837849</v>
      </c>
      <c r="J19" s="697">
        <f>SUM(J10:J18)</f>
        <v>1878462663</v>
      </c>
      <c r="K19" s="697"/>
      <c r="L19" s="615">
        <f t="shared" si="0"/>
        <v>0.61008452340850416</v>
      </c>
      <c r="M19" s="615">
        <f t="shared" si="1"/>
        <v>0.75878711973526225</v>
      </c>
      <c r="N19" s="615">
        <f>J19/E19</f>
        <v>0.95236766392203387</v>
      </c>
      <c r="O19" s="698"/>
      <c r="P19" s="697">
        <f>SUM(P10:P18)</f>
        <v>11318041</v>
      </c>
      <c r="Q19" s="697">
        <f>SUM(Q10:Q18)</f>
        <v>10284796</v>
      </c>
      <c r="R19" s="697">
        <f>SUM(R10:R18)</f>
        <v>-10549257</v>
      </c>
      <c r="S19" s="697">
        <f>SUM(S10:S18)</f>
        <v>11053580</v>
      </c>
      <c r="T19" s="658">
        <f t="shared" si="3"/>
        <v>5.6680908049193627E-3</v>
      </c>
      <c r="U19" s="160"/>
      <c r="V19" s="175">
        <f t="shared" si="4"/>
        <v>-11218079.000000238</v>
      </c>
    </row>
    <row r="20" spans="1:22" x14ac:dyDescent="0.25">
      <c r="A20" s="177"/>
      <c r="B20" s="177"/>
      <c r="C20" s="177"/>
      <c r="D20" s="177"/>
      <c r="E20" s="177"/>
      <c r="F20" s="177"/>
      <c r="G20" s="177"/>
      <c r="H20" s="376"/>
      <c r="I20" s="376"/>
      <c r="J20" s="377"/>
      <c r="K20" s="177"/>
      <c r="L20" s="575"/>
      <c r="M20" s="575"/>
      <c r="N20" s="575"/>
      <c r="O20" s="575"/>
      <c r="P20" s="177"/>
      <c r="Q20" s="177"/>
      <c r="R20" s="177"/>
      <c r="S20" s="177"/>
      <c r="T20" s="177"/>
      <c r="U20" s="177"/>
      <c r="V20" s="177"/>
    </row>
    <row r="21" spans="1:22" x14ac:dyDescent="0.25">
      <c r="A21"/>
      <c r="B21"/>
      <c r="C21"/>
      <c r="D21"/>
      <c r="E21" s="573"/>
      <c r="F21"/>
      <c r="G21"/>
      <c r="H21"/>
      <c r="I21" s="573"/>
      <c r="J21"/>
      <c r="K21"/>
      <c r="L21" s="632"/>
      <c r="M21" s="632"/>
      <c r="N21" s="632"/>
      <c r="O21" s="632"/>
      <c r="P21"/>
      <c r="Q21"/>
      <c r="R21"/>
      <c r="S21"/>
      <c r="U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 s="632"/>
      <c r="M22" s="632"/>
      <c r="N22" s="632"/>
      <c r="O22" s="632"/>
      <c r="P22"/>
      <c r="Q22"/>
      <c r="R22"/>
      <c r="S22"/>
      <c r="U22"/>
    </row>
    <row r="23" spans="1:22" ht="16.350000000000001" customHeight="1" x14ac:dyDescent="0.25">
      <c r="A23" s="1434" t="s">
        <v>370</v>
      </c>
      <c r="B23" s="1431"/>
      <c r="C23" s="1431"/>
      <c r="D23" s="1431"/>
      <c r="E23" s="1431"/>
      <c r="F23" s="1431"/>
      <c r="G23" s="1431"/>
      <c r="H23" s="1431"/>
      <c r="I23" s="1431"/>
      <c r="J23" s="1431"/>
      <c r="K23" s="1431"/>
      <c r="L23" s="1431"/>
      <c r="M23" s="1431"/>
      <c r="N23" s="1432"/>
      <c r="O23" s="1432"/>
      <c r="P23" s="1432"/>
      <c r="Q23" s="1432"/>
      <c r="R23" s="1432"/>
      <c r="S23" s="1432"/>
      <c r="T23" s="1432"/>
      <c r="U23" s="1432"/>
      <c r="V23" s="1433"/>
    </row>
    <row r="24" spans="1:22" ht="16.350000000000001" customHeight="1" x14ac:dyDescent="0.25">
      <c r="A24" s="157"/>
      <c r="B24" s="158"/>
      <c r="C24" s="1418" t="s">
        <v>403</v>
      </c>
      <c r="D24" s="1419"/>
      <c r="E24" s="1419"/>
      <c r="F24" s="1420"/>
      <c r="G24" s="68"/>
      <c r="H24" s="1412" t="s">
        <v>402</v>
      </c>
      <c r="I24" s="1413"/>
      <c r="J24" s="1413"/>
      <c r="K24" s="1413"/>
      <c r="L24" s="1413"/>
      <c r="M24" s="1413"/>
      <c r="N24" s="1414"/>
      <c r="O24" s="164"/>
      <c r="P24" s="1418" t="s">
        <v>399</v>
      </c>
      <c r="Q24" s="1419"/>
      <c r="R24" s="1419"/>
      <c r="S24" s="1419"/>
      <c r="T24" s="1420"/>
      <c r="U24" s="162"/>
      <c r="V24" s="1404" t="s">
        <v>405</v>
      </c>
    </row>
    <row r="25" spans="1:22" ht="13.35" customHeight="1" x14ac:dyDescent="0.25">
      <c r="A25" s="64"/>
      <c r="B25" s="65"/>
      <c r="C25" s="1421"/>
      <c r="D25" s="1422"/>
      <c r="E25" s="1422"/>
      <c r="F25" s="1423"/>
      <c r="G25" s="155"/>
      <c r="H25" s="1415" t="s">
        <v>412</v>
      </c>
      <c r="I25" s="1416"/>
      <c r="J25" s="1417"/>
      <c r="K25" s="156"/>
      <c r="L25" s="1415" t="s">
        <v>411</v>
      </c>
      <c r="M25" s="1416"/>
      <c r="N25" s="1417"/>
      <c r="O25" s="155"/>
      <c r="P25" s="1421"/>
      <c r="Q25" s="1422"/>
      <c r="R25" s="1422"/>
      <c r="S25" s="1422"/>
      <c r="T25" s="1423"/>
      <c r="U25" s="161"/>
      <c r="V25" s="1405"/>
    </row>
    <row r="26" spans="1:22" ht="51" x14ac:dyDescent="0.25">
      <c r="A26" s="178" t="s">
        <v>414</v>
      </c>
      <c r="B26" s="184" t="s">
        <v>366</v>
      </c>
      <c r="C26" s="179" t="s">
        <v>484</v>
      </c>
      <c r="D26" s="180" t="s">
        <v>485</v>
      </c>
      <c r="E26" s="180" t="s">
        <v>486</v>
      </c>
      <c r="F26" s="180" t="s">
        <v>512</v>
      </c>
      <c r="G26" s="180"/>
      <c r="H26" s="181" t="s">
        <v>497</v>
      </c>
      <c r="I26" s="181" t="s">
        <v>498</v>
      </c>
      <c r="J26" s="181" t="s">
        <v>513</v>
      </c>
      <c r="K26" s="180"/>
      <c r="L26" s="182" t="s">
        <v>499</v>
      </c>
      <c r="M26" s="182" t="s">
        <v>500</v>
      </c>
      <c r="N26" s="182" t="s">
        <v>514</v>
      </c>
      <c r="O26" s="181"/>
      <c r="P26" s="181" t="s">
        <v>491</v>
      </c>
      <c r="Q26" s="181" t="s">
        <v>492</v>
      </c>
      <c r="R26" s="181" t="s">
        <v>510</v>
      </c>
      <c r="S26" s="181" t="s">
        <v>400</v>
      </c>
      <c r="T26" s="182" t="s">
        <v>413</v>
      </c>
      <c r="U26" s="185"/>
      <c r="V26" s="1406"/>
    </row>
    <row r="27" spans="1:22" x14ac:dyDescent="0.25">
      <c r="A27" s="14" t="s">
        <v>0</v>
      </c>
      <c r="B27" s="18" t="s">
        <v>3</v>
      </c>
      <c r="C27" s="137">
        <f>+'kiadási segédtábla'!C13</f>
        <v>427595554</v>
      </c>
      <c r="D27" s="137">
        <f>+'kiadási segédtábla'!D13</f>
        <v>440289654</v>
      </c>
      <c r="E27" s="159">
        <f>+'kiadási segédtábla'!E13</f>
        <v>440573451</v>
      </c>
      <c r="F27" s="137">
        <f>+'kiadási segédtábla'!F13</f>
        <v>442390498</v>
      </c>
      <c r="G27" s="137"/>
      <c r="H27" s="137">
        <f>+'kiadási segédtábla'!H13</f>
        <v>206440974</v>
      </c>
      <c r="I27" s="137">
        <f>+'kiadási segédtábla'!I13</f>
        <v>316775768</v>
      </c>
      <c r="J27" s="137">
        <f>+'kiadási segédtábla'!J13</f>
        <v>439917775</v>
      </c>
      <c r="K27" s="138"/>
      <c r="L27" s="606">
        <f>H27/C27</f>
        <v>0.48279494973420606</v>
      </c>
      <c r="M27" s="606">
        <f>I27/D27</f>
        <v>0.71947129604821469</v>
      </c>
      <c r="N27" s="606">
        <f>J27/E27</f>
        <v>0.99851176688356558</v>
      </c>
      <c r="O27" s="673"/>
      <c r="P27" s="142">
        <f t="shared" ref="P27:P35" si="5">+(D27-C27)*P$8</f>
        <v>12694100</v>
      </c>
      <c r="Q27" s="142">
        <f t="shared" ref="Q27:Q35" si="6">+(E27-D27)*Q$8</f>
        <v>283797</v>
      </c>
      <c r="R27" s="142">
        <f t="shared" ref="R27:R35" si="7">+(F27-E27)*R$8</f>
        <v>1817047</v>
      </c>
      <c r="S27" s="142">
        <f t="shared" ref="S27:S35" si="8">SUM(P27:R27)</f>
        <v>14794944</v>
      </c>
      <c r="T27" s="695">
        <f t="shared" ref="T27:T41" si="9">IF(C27=0,0,+S27/C27)</f>
        <v>3.4600322341050344E-2</v>
      </c>
      <c r="U27" s="159"/>
      <c r="V27" s="165">
        <f t="shared" ref="V27:V41" si="10">+S27-E27+C27</f>
        <v>1817047</v>
      </c>
    </row>
    <row r="28" spans="1:22" ht="15" customHeight="1" x14ac:dyDescent="0.25">
      <c r="A28" s="14" t="s">
        <v>22</v>
      </c>
      <c r="B28" s="18" t="s">
        <v>23</v>
      </c>
      <c r="C28" s="137">
        <f>+'kiadási segédtábla'!C14</f>
        <v>82881356.030000001</v>
      </c>
      <c r="D28" s="137">
        <f>+'kiadási segédtábla'!D14</f>
        <v>83128031</v>
      </c>
      <c r="E28" s="159">
        <f>+'kiadási segédtábla'!E14</f>
        <v>83150829</v>
      </c>
      <c r="F28" s="137">
        <f>+'kiadási segédtábla'!F14</f>
        <v>83074843</v>
      </c>
      <c r="G28" s="137"/>
      <c r="H28" s="137">
        <f>+'kiadási segédtábla'!H14</f>
        <v>44058096</v>
      </c>
      <c r="I28" s="137">
        <f>+'kiadási segédtábla'!I14</f>
        <v>63733664</v>
      </c>
      <c r="J28" s="137">
        <f>+'kiadási segédtábla'!J14</f>
        <v>82750179</v>
      </c>
      <c r="K28" s="138"/>
      <c r="L28" s="606">
        <f t="shared" ref="L28:L37" si="11">H28/C28</f>
        <v>0.53158029875926005</v>
      </c>
      <c r="M28" s="606">
        <f t="shared" ref="M28:M37" si="12">I28/D28</f>
        <v>0.7666928138836826</v>
      </c>
      <c r="N28" s="606">
        <f t="shared" ref="N28:N37" si="13">J28/E28</f>
        <v>0.99518164755759686</v>
      </c>
      <c r="O28" s="673"/>
      <c r="P28" s="142">
        <f t="shared" si="5"/>
        <v>246674.96999999881</v>
      </c>
      <c r="Q28" s="142">
        <f t="shared" si="6"/>
        <v>22798</v>
      </c>
      <c r="R28" s="142">
        <f t="shared" si="7"/>
        <v>-75986</v>
      </c>
      <c r="S28" s="142">
        <f t="shared" si="8"/>
        <v>193486.96999999881</v>
      </c>
      <c r="T28" s="695">
        <f t="shared" si="9"/>
        <v>2.3345053612535446E-3</v>
      </c>
      <c r="U28" s="159"/>
      <c r="V28" s="165">
        <f t="shared" si="10"/>
        <v>-75986</v>
      </c>
    </row>
    <row r="29" spans="1:22" x14ac:dyDescent="0.25">
      <c r="A29" s="14" t="s">
        <v>25</v>
      </c>
      <c r="B29" s="18" t="s">
        <v>26</v>
      </c>
      <c r="C29" s="137">
        <f>+'kiadási segédtábla'!C15</f>
        <v>297819000</v>
      </c>
      <c r="D29" s="368">
        <f>+'kiadási segédtábla'!D15</f>
        <v>285175143</v>
      </c>
      <c r="E29" s="368">
        <f>+'kiadási segédtábla'!E15</f>
        <v>339446765</v>
      </c>
      <c r="F29" s="368">
        <f>+'kiadási segédtábla'!F15</f>
        <v>327880813</v>
      </c>
      <c r="G29" s="137"/>
      <c r="H29" s="137">
        <f>+'kiadási segédtábla'!H15</f>
        <v>127489245</v>
      </c>
      <c r="I29" s="137">
        <f>+'kiadási segédtábla'!I15</f>
        <v>214632445</v>
      </c>
      <c r="J29" s="137">
        <f>+'kiadási segédtábla'!J15</f>
        <v>301425852</v>
      </c>
      <c r="K29" s="138"/>
      <c r="L29" s="606">
        <f t="shared" si="11"/>
        <v>0.42807626444249697</v>
      </c>
      <c r="M29" s="606">
        <f t="shared" si="12"/>
        <v>0.75263377706099721</v>
      </c>
      <c r="N29" s="606">
        <f t="shared" si="13"/>
        <v>0.88799152939342341</v>
      </c>
      <c r="O29" s="673"/>
      <c r="P29" s="142">
        <f t="shared" si="5"/>
        <v>-12643857</v>
      </c>
      <c r="Q29" s="142">
        <f t="shared" si="6"/>
        <v>54271622</v>
      </c>
      <c r="R29" s="142">
        <f t="shared" si="7"/>
        <v>-11565952</v>
      </c>
      <c r="S29" s="142">
        <f t="shared" si="8"/>
        <v>30061813</v>
      </c>
      <c r="T29" s="695">
        <f t="shared" si="9"/>
        <v>0.10093987623355125</v>
      </c>
      <c r="U29" s="159"/>
      <c r="V29" s="165">
        <f t="shared" si="10"/>
        <v>-11565952</v>
      </c>
    </row>
    <row r="30" spans="1:22" x14ac:dyDescent="0.25">
      <c r="A30" s="14" t="s">
        <v>107</v>
      </c>
      <c r="B30" s="18" t="s">
        <v>1420</v>
      </c>
      <c r="C30" s="137">
        <f>+'kiadási segédtábla'!C16</f>
        <v>22100000</v>
      </c>
      <c r="D30" s="137">
        <f>+'kiadási segédtábla'!D16</f>
        <v>24267500</v>
      </c>
      <c r="E30" s="159">
        <f>+'kiadási segédtábla'!E16</f>
        <v>20200000</v>
      </c>
      <c r="F30" s="137">
        <f>+'kiadási segédtábla'!F16</f>
        <v>20200000</v>
      </c>
      <c r="G30" s="137"/>
      <c r="H30" s="137">
        <f>+'kiadási segédtábla'!H16</f>
        <v>7396231</v>
      </c>
      <c r="I30" s="137">
        <f>+'kiadási segédtábla'!I16</f>
        <v>10496866</v>
      </c>
      <c r="J30" s="137">
        <f>+'kiadási segédtábla'!J16</f>
        <v>13764056</v>
      </c>
      <c r="K30" s="137"/>
      <c r="L30" s="606">
        <f t="shared" si="11"/>
        <v>0.33467108597285067</v>
      </c>
      <c r="M30" s="606">
        <f t="shared" si="12"/>
        <v>0.43254830534665706</v>
      </c>
      <c r="N30" s="606">
        <f t="shared" si="13"/>
        <v>0.68138891089108911</v>
      </c>
      <c r="O30" s="674"/>
      <c r="P30" s="142">
        <f t="shared" si="5"/>
        <v>2167500</v>
      </c>
      <c r="Q30" s="142">
        <f t="shared" si="6"/>
        <v>-4067500</v>
      </c>
      <c r="R30" s="142">
        <f t="shared" si="7"/>
        <v>0</v>
      </c>
      <c r="S30" s="142">
        <f t="shared" si="8"/>
        <v>-1900000</v>
      </c>
      <c r="T30" s="695">
        <f t="shared" si="9"/>
        <v>-8.5972850678733032E-2</v>
      </c>
      <c r="U30" s="159"/>
      <c r="V30" s="165">
        <f t="shared" si="10"/>
        <v>0</v>
      </c>
    </row>
    <row r="31" spans="1:22" x14ac:dyDescent="0.25">
      <c r="A31" s="14" t="s">
        <v>371</v>
      </c>
      <c r="B31" s="18" t="s">
        <v>137</v>
      </c>
      <c r="C31" s="137">
        <f>+'kiadási segédtábla'!C17</f>
        <v>106777000</v>
      </c>
      <c r="D31" s="137">
        <f>+'kiadási segédtábla'!D17</f>
        <v>114831425</v>
      </c>
      <c r="E31" s="159">
        <f>+'kiadási segédtábla'!E17</f>
        <v>126926504</v>
      </c>
      <c r="F31" s="137">
        <f>+'kiadási segédtábla'!F17</f>
        <v>141693781</v>
      </c>
      <c r="G31" s="137"/>
      <c r="H31" s="137">
        <f>+'kiadási segédtábla'!H17</f>
        <v>68417711</v>
      </c>
      <c r="I31" s="137">
        <f>+'kiadási segédtábla'!I17</f>
        <v>111271404</v>
      </c>
      <c r="J31" s="137">
        <f>+'kiadási segédtábla'!J17</f>
        <v>136017681</v>
      </c>
      <c r="K31" s="137"/>
      <c r="L31" s="606">
        <f t="shared" si="11"/>
        <v>0.64075326147016676</v>
      </c>
      <c r="M31" s="606">
        <f t="shared" si="12"/>
        <v>0.96899785054483123</v>
      </c>
      <c r="N31" s="606">
        <f t="shared" si="13"/>
        <v>1.0716255211756247</v>
      </c>
      <c r="O31" s="674"/>
      <c r="P31" s="142">
        <f t="shared" si="5"/>
        <v>8054425</v>
      </c>
      <c r="Q31" s="142">
        <f t="shared" si="6"/>
        <v>12095079</v>
      </c>
      <c r="R31" s="142">
        <f t="shared" si="7"/>
        <v>14767277</v>
      </c>
      <c r="S31" s="142">
        <f t="shared" si="8"/>
        <v>34916781</v>
      </c>
      <c r="T31" s="695">
        <f t="shared" si="9"/>
        <v>0.32700657444955372</v>
      </c>
      <c r="U31" s="159"/>
      <c r="V31" s="165">
        <f t="shared" si="10"/>
        <v>14767277</v>
      </c>
    </row>
    <row r="32" spans="1:22" x14ac:dyDescent="0.25">
      <c r="A32" s="14" t="s">
        <v>154</v>
      </c>
      <c r="B32" s="18" t="s">
        <v>155</v>
      </c>
      <c r="C32" s="137">
        <f>+'kiadási segédtábla'!C18</f>
        <v>796250000</v>
      </c>
      <c r="D32" s="137">
        <f>+'kiadási segédtábla'!D18</f>
        <v>797718020</v>
      </c>
      <c r="E32" s="159">
        <f>+'kiadási segédtábla'!E18</f>
        <v>746934020</v>
      </c>
      <c r="F32" s="137">
        <f>+'kiadási segédtábla'!F18</f>
        <v>665947089</v>
      </c>
      <c r="G32" s="368"/>
      <c r="H32" s="137">
        <f>+'kiadási segédtábla'!H18</f>
        <v>100910696</v>
      </c>
      <c r="I32" s="137">
        <f>+'kiadási segédtábla'!I18</f>
        <v>179839289</v>
      </c>
      <c r="J32" s="137">
        <f>+'kiadási segédtábla'!J18</f>
        <v>237832312</v>
      </c>
      <c r="K32" s="137"/>
      <c r="L32" s="606">
        <f t="shared" si="11"/>
        <v>0.12673242825745684</v>
      </c>
      <c r="M32" s="606">
        <f t="shared" si="12"/>
        <v>0.2254421794307718</v>
      </c>
      <c r="N32" s="606">
        <f t="shared" si="13"/>
        <v>0.31841140667284107</v>
      </c>
      <c r="O32" s="674"/>
      <c r="P32" s="142">
        <f t="shared" si="5"/>
        <v>1468020</v>
      </c>
      <c r="Q32" s="142">
        <f t="shared" si="6"/>
        <v>-50784000</v>
      </c>
      <c r="R32" s="142">
        <f t="shared" si="7"/>
        <v>-80986931</v>
      </c>
      <c r="S32" s="142">
        <f t="shared" si="8"/>
        <v>-130302911</v>
      </c>
      <c r="T32" s="695">
        <f t="shared" si="9"/>
        <v>-0.16364572810047096</v>
      </c>
      <c r="U32" s="159"/>
      <c r="V32" s="165">
        <f t="shared" si="10"/>
        <v>-80986931</v>
      </c>
    </row>
    <row r="33" spans="1:22" x14ac:dyDescent="0.25">
      <c r="A33" s="14" t="s">
        <v>169</v>
      </c>
      <c r="B33" s="18" t="s">
        <v>170</v>
      </c>
      <c r="C33" s="137">
        <f>+'kiadási segédtábla'!C19</f>
        <v>198800000</v>
      </c>
      <c r="D33" s="137">
        <f>+'kiadási segédtábla'!D19</f>
        <v>198800000</v>
      </c>
      <c r="E33" s="159">
        <f>+'kiadási segédtábla'!E19</f>
        <v>197263000</v>
      </c>
      <c r="F33" s="137">
        <f>+'kiadási segédtábla'!F19</f>
        <v>262758288</v>
      </c>
      <c r="G33" s="137"/>
      <c r="H33" s="137">
        <f>+'kiadási segédtábla'!H19</f>
        <v>15737344</v>
      </c>
      <c r="I33" s="137">
        <f>+'kiadási segédtábla'!I19</f>
        <v>68275190</v>
      </c>
      <c r="J33" s="137">
        <f>+'kiadási segédtábla'!J19</f>
        <v>223547903</v>
      </c>
      <c r="K33" s="137"/>
      <c r="L33" s="606">
        <f t="shared" si="11"/>
        <v>7.9161690140845065E-2</v>
      </c>
      <c r="M33" s="606">
        <f t="shared" si="12"/>
        <v>0.34343656941649897</v>
      </c>
      <c r="N33" s="606">
        <f t="shared" si="13"/>
        <v>1.1332480140725834</v>
      </c>
      <c r="O33" s="674"/>
      <c r="P33" s="142">
        <f t="shared" si="5"/>
        <v>0</v>
      </c>
      <c r="Q33" s="142">
        <f t="shared" si="6"/>
        <v>-1537000</v>
      </c>
      <c r="R33" s="142">
        <f t="shared" si="7"/>
        <v>65495288</v>
      </c>
      <c r="S33" s="142">
        <f t="shared" si="8"/>
        <v>63958288</v>
      </c>
      <c r="T33" s="695">
        <f t="shared" si="9"/>
        <v>0.32172177062374246</v>
      </c>
      <c r="U33" s="159"/>
      <c r="V33" s="165">
        <f t="shared" si="10"/>
        <v>65495288</v>
      </c>
    </row>
    <row r="34" spans="1:22" x14ac:dyDescent="0.25">
      <c r="A34" s="14" t="s">
        <v>179</v>
      </c>
      <c r="B34" s="18" t="s">
        <v>180</v>
      </c>
      <c r="C34" s="137">
        <f>+'kiadási segédtábla'!C20</f>
        <v>0</v>
      </c>
      <c r="D34" s="137">
        <f>+'kiadási segédtábla'!D20</f>
        <v>0</v>
      </c>
      <c r="E34" s="137">
        <f>+'kiadási segédtábla'!E20</f>
        <v>0</v>
      </c>
      <c r="F34" s="137">
        <f>+'kiadási segédtábla'!F20</f>
        <v>0</v>
      </c>
      <c r="G34" s="137"/>
      <c r="H34" s="137">
        <f>+'kiadási segédtábla'!H20</f>
        <v>0</v>
      </c>
      <c r="I34" s="137">
        <f>+'kiadási segédtábla'!I20</f>
        <v>0</v>
      </c>
      <c r="J34" s="137">
        <f>+'kiadási segédtábla'!J20</f>
        <v>0</v>
      </c>
      <c r="K34" s="137"/>
      <c r="L34" s="606" t="e">
        <f t="shared" si="11"/>
        <v>#DIV/0!</v>
      </c>
      <c r="M34" s="606" t="e">
        <f t="shared" si="12"/>
        <v>#DIV/0!</v>
      </c>
      <c r="N34" s="606" t="e">
        <f t="shared" si="13"/>
        <v>#DIV/0!</v>
      </c>
      <c r="O34" s="674"/>
      <c r="P34" s="142">
        <f t="shared" si="5"/>
        <v>0</v>
      </c>
      <c r="Q34" s="142">
        <f t="shared" si="6"/>
        <v>0</v>
      </c>
      <c r="R34" s="142">
        <f t="shared" si="7"/>
        <v>0</v>
      </c>
      <c r="S34" s="142">
        <f t="shared" si="8"/>
        <v>0</v>
      </c>
      <c r="T34" s="695">
        <f t="shared" si="9"/>
        <v>0</v>
      </c>
      <c r="U34" s="159"/>
      <c r="V34" s="165">
        <f t="shared" si="10"/>
        <v>0</v>
      </c>
    </row>
    <row r="35" spans="1:22" x14ac:dyDescent="0.25">
      <c r="A35" s="14" t="s">
        <v>197</v>
      </c>
      <c r="B35" s="18" t="s">
        <v>198</v>
      </c>
      <c r="C35" s="137">
        <f>+'kiadási segédtábla'!C21</f>
        <v>535243607.02999997</v>
      </c>
      <c r="D35" s="137">
        <f>+'kiadási segédtábla'!D21</f>
        <v>544090785</v>
      </c>
      <c r="E35" s="137">
        <f>+'kiadási segédtábla'!E21</f>
        <v>547364785</v>
      </c>
      <c r="F35" s="137">
        <f>+'kiadási segédtábla'!F21</f>
        <v>531647428</v>
      </c>
      <c r="G35" s="137"/>
      <c r="H35" s="137">
        <f>+'kiadási segédtábla'!H21</f>
        <v>277698930</v>
      </c>
      <c r="I35" s="137">
        <f>+'kiadási segédtábla'!I21</f>
        <v>402220672</v>
      </c>
      <c r="J35" s="137">
        <f>+'kiadási segédtábla'!J21</f>
        <v>531647428</v>
      </c>
      <c r="K35" s="137"/>
      <c r="L35" s="606">
        <f t="shared" si="11"/>
        <v>0.51882717766759834</v>
      </c>
      <c r="M35" s="606">
        <f t="shared" si="12"/>
        <v>0.73925286567755411</v>
      </c>
      <c r="N35" s="606">
        <f t="shared" si="13"/>
        <v>0.97128540704349475</v>
      </c>
      <c r="O35" s="674"/>
      <c r="P35" s="142">
        <f t="shared" si="5"/>
        <v>8847177.9700000286</v>
      </c>
      <c r="Q35" s="142">
        <f t="shared" si="6"/>
        <v>3274000</v>
      </c>
      <c r="R35" s="142">
        <f t="shared" si="7"/>
        <v>-15717357</v>
      </c>
      <c r="S35" s="142">
        <f t="shared" si="8"/>
        <v>-3596179.0299999714</v>
      </c>
      <c r="T35" s="695">
        <f t="shared" si="9"/>
        <v>-6.7187706359627918E-3</v>
      </c>
      <c r="U35" s="159"/>
      <c r="V35" s="165">
        <f t="shared" si="10"/>
        <v>-15717357</v>
      </c>
    </row>
    <row r="36" spans="1:22" x14ac:dyDescent="0.25">
      <c r="A36" s="14"/>
      <c r="B36" s="365" t="s">
        <v>436</v>
      </c>
      <c r="C36" s="137">
        <f>+'kiadási segédtábla'!C22</f>
        <v>-517324859.02999997</v>
      </c>
      <c r="D36" s="137">
        <f>+'kiadási segédtábla'!D22</f>
        <v>-526172037</v>
      </c>
      <c r="E36" s="137">
        <f>+'kiadási segédtábla'!E22</f>
        <v>-529446037</v>
      </c>
      <c r="F36" s="137">
        <f>-'kiadási segédtábla'!F145</f>
        <v>-513728680</v>
      </c>
      <c r="G36" s="137"/>
      <c r="H36" s="137">
        <f>-'kiadási segédtábla'!H145</f>
        <v>-259780182</v>
      </c>
      <c r="I36" s="137">
        <f>-'kiadási segédtábla'!I145</f>
        <v>-384301924</v>
      </c>
      <c r="J36" s="137">
        <f>-'kiadási segédtábla'!J145</f>
        <v>-513728680</v>
      </c>
      <c r="K36" s="137"/>
      <c r="L36" s="606">
        <f t="shared" si="11"/>
        <v>0.50216063942315825</v>
      </c>
      <c r="M36" s="606">
        <f t="shared" si="12"/>
        <v>0.73037314219721639</v>
      </c>
      <c r="N36" s="606">
        <f t="shared" si="13"/>
        <v>0.97031358079652597</v>
      </c>
      <c r="O36" s="674"/>
      <c r="P36" s="142">
        <f>+(D36-C36)*P$8</f>
        <v>-8847177.9700000286</v>
      </c>
      <c r="Q36" s="142">
        <f>+(E36-D36)*Q$8</f>
        <v>-3274000</v>
      </c>
      <c r="R36" s="142">
        <f>+(F36-E36)*R$8</f>
        <v>15717357</v>
      </c>
      <c r="S36" s="142">
        <f>SUM(P36:R36)</f>
        <v>3596179.0299999714</v>
      </c>
      <c r="T36" s="695"/>
      <c r="U36" s="159"/>
      <c r="V36" s="165"/>
    </row>
    <row r="37" spans="1:22" x14ac:dyDescent="0.25">
      <c r="A37" s="7"/>
      <c r="B37" s="3" t="s">
        <v>373</v>
      </c>
      <c r="C37" s="80">
        <f>SUM(C27:C36)</f>
        <v>1950141658.03</v>
      </c>
      <c r="D37" s="80">
        <f>SUM(D27:D36)</f>
        <v>1962128521</v>
      </c>
      <c r="E37" s="80">
        <f>SUM(E27:E36)</f>
        <v>1972413317</v>
      </c>
      <c r="F37" s="80">
        <f>SUM(F27:F36)</f>
        <v>1961864060</v>
      </c>
      <c r="G37" s="80"/>
      <c r="H37" s="80">
        <f>SUM(H27:H36)</f>
        <v>588369045</v>
      </c>
      <c r="I37" s="80">
        <f>SUM(I27:I36)</f>
        <v>982943374</v>
      </c>
      <c r="J37" s="80">
        <f>SUM(J27:J36)</f>
        <v>1453174506</v>
      </c>
      <c r="K37" s="80"/>
      <c r="L37" s="639">
        <f t="shared" si="11"/>
        <v>0.30170579792360336</v>
      </c>
      <c r="M37" s="639">
        <f t="shared" si="12"/>
        <v>0.50095769134380774</v>
      </c>
      <c r="N37" s="639">
        <f t="shared" si="13"/>
        <v>0.73674949031993375</v>
      </c>
      <c r="O37" s="675"/>
      <c r="P37" s="80">
        <f>SUM(P27:P36)</f>
        <v>11986862.969999999</v>
      </c>
      <c r="Q37" s="80">
        <f>SUM(Q27:Q36)</f>
        <v>10284796</v>
      </c>
      <c r="R37" s="80">
        <f>SUM(R27:R36)</f>
        <v>-10549257</v>
      </c>
      <c r="S37" s="80">
        <f>SUM(S27:S36)</f>
        <v>11722401.969999999</v>
      </c>
      <c r="T37" s="629">
        <f t="shared" si="9"/>
        <v>6.0110515160430806E-3</v>
      </c>
      <c r="U37" s="163"/>
      <c r="V37" s="166">
        <f t="shared" si="10"/>
        <v>-10549257</v>
      </c>
    </row>
    <row r="38" spans="1:2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5">
      <c r="A41" s="34"/>
      <c r="B41" s="173" t="s">
        <v>405</v>
      </c>
      <c r="C41" s="154">
        <f>+C19-C37</f>
        <v>-3.0000209808349609E-2</v>
      </c>
      <c r="D41" s="154">
        <f>+D19-D37</f>
        <v>0</v>
      </c>
      <c r="E41" s="154">
        <f>+E19-E37</f>
        <v>0</v>
      </c>
      <c r="F41" s="154">
        <f>+F19-F37</f>
        <v>0</v>
      </c>
      <c r="G41" s="154"/>
      <c r="H41" s="154">
        <f>+H19-H37</f>
        <v>601382199</v>
      </c>
      <c r="I41" s="154">
        <f>+I19-I37</f>
        <v>505894475</v>
      </c>
      <c r="J41" s="154">
        <f>+J19-J37</f>
        <v>425288157</v>
      </c>
      <c r="K41" s="154"/>
      <c r="L41" s="676">
        <f>+L19-L37</f>
        <v>0.30837872548490081</v>
      </c>
      <c r="M41" s="676">
        <f>+M19-M37</f>
        <v>0.25782942839145451</v>
      </c>
      <c r="N41" s="676">
        <f>+N19-N37</f>
        <v>0.21561817360210012</v>
      </c>
      <c r="O41" s="676"/>
      <c r="P41" s="154">
        <f>+P19-P37</f>
        <v>-668821.96999999881</v>
      </c>
      <c r="Q41" s="154">
        <f>+Q19-Q37</f>
        <v>0</v>
      </c>
      <c r="R41" s="154">
        <f>+R19-R37</f>
        <v>0</v>
      </c>
      <c r="S41" s="154">
        <f>+S19-S37</f>
        <v>-668821.96999999881</v>
      </c>
      <c r="T41" s="172">
        <f t="shared" si="9"/>
        <v>22293909.751719583</v>
      </c>
      <c r="U41" s="174"/>
      <c r="V41" s="176">
        <f t="shared" si="10"/>
        <v>-668822.00000020862</v>
      </c>
    </row>
    <row r="45" spans="1:22" x14ac:dyDescent="0.25">
      <c r="E45" s="19"/>
      <c r="F45" s="19"/>
      <c r="G45" s="19"/>
      <c r="K45" s="19"/>
      <c r="O45" s="19"/>
      <c r="P45" s="19"/>
      <c r="Q45" s="19"/>
      <c r="R45" s="19"/>
      <c r="S45" s="19"/>
      <c r="U45" s="19"/>
    </row>
    <row r="46" spans="1:22" x14ac:dyDescent="0.25">
      <c r="E46" s="19"/>
      <c r="F46" s="19"/>
      <c r="G46" s="19"/>
      <c r="H46" s="19"/>
      <c r="I46" s="19"/>
      <c r="J46" s="19"/>
      <c r="K46" s="19"/>
      <c r="O46" s="19"/>
      <c r="P46" s="19"/>
      <c r="Q46" s="19"/>
      <c r="R46" s="19"/>
      <c r="S46" s="19"/>
      <c r="U46" s="19"/>
    </row>
    <row r="49" spans="2:21" x14ac:dyDescent="0.25">
      <c r="H49" s="19"/>
      <c r="I49" s="19"/>
      <c r="J49" s="19"/>
    </row>
    <row r="51" spans="2:21" x14ac:dyDescent="0.25">
      <c r="H51" s="19"/>
      <c r="I51" s="19"/>
      <c r="J51" s="19"/>
    </row>
    <row r="52" spans="2:21" x14ac:dyDescent="0.25">
      <c r="H52" s="19"/>
      <c r="I52" s="19"/>
      <c r="J52" s="19"/>
    </row>
    <row r="53" spans="2:21" x14ac:dyDescent="0.25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5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5">
      <c r="B55" s="19"/>
      <c r="H55" s="19"/>
      <c r="I55" s="19"/>
      <c r="J55" s="19"/>
    </row>
  </sheetData>
  <mergeCells count="16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  <mergeCell ref="C8:F8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45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7"/>
  <sheetViews>
    <sheetView tabSelected="1" view="pageBreakPreview" zoomScaleNormal="50" zoomScaleSheetLayoutView="100" workbookViewId="0">
      <pane ySplit="11" topLeftCell="A39" activePane="bottomLeft" state="frozen"/>
      <selection pane="bottomLeft" activeCell="B6" sqref="B6"/>
    </sheetView>
  </sheetViews>
  <sheetFormatPr defaultRowHeight="13.2" x14ac:dyDescent="0.25"/>
  <cols>
    <col min="1" max="1" width="8.44140625" style="13" customWidth="1"/>
    <col min="2" max="2" width="38.6640625" style="13" customWidth="1"/>
    <col min="3" max="3" width="19.44140625" style="13" customWidth="1"/>
    <col min="4" max="4" width="15.5546875" style="17" customWidth="1"/>
    <col min="5" max="5" width="15.5546875" customWidth="1"/>
    <col min="6" max="6" width="13.88671875" bestFit="1" customWidth="1"/>
    <col min="7" max="7" width="1" customWidth="1"/>
    <col min="8" max="9" width="15.5546875" style="17" customWidth="1"/>
    <col min="10" max="10" width="20" customWidth="1"/>
    <col min="11" max="11" width="0.6640625" customWidth="1"/>
    <col min="12" max="12" width="13.33203125" customWidth="1"/>
    <col min="13" max="13" width="14.5546875" customWidth="1"/>
    <col min="14" max="14" width="12.21875" bestFit="1" customWidth="1"/>
    <col min="15" max="15" width="0.6640625" customWidth="1"/>
    <col min="16" max="16" width="15.5546875" style="17" customWidth="1"/>
    <col min="17" max="18" width="15" style="17" bestFit="1" customWidth="1"/>
    <col min="19" max="19" width="15.5546875" style="17" customWidth="1"/>
    <col min="21" max="21" width="0.6640625" customWidth="1"/>
    <col min="22" max="22" width="4.6640625" customWidth="1"/>
  </cols>
  <sheetData>
    <row r="1" spans="1:27" ht="24.6" x14ac:dyDescent="0.4">
      <c r="A1" s="226" t="s">
        <v>467</v>
      </c>
      <c r="B1" s="225"/>
      <c r="C1" s="225"/>
      <c r="D1" s="225"/>
      <c r="E1" s="225"/>
      <c r="F1" s="225"/>
      <c r="G1" s="224"/>
      <c r="H1" s="221"/>
      <c r="I1" s="221"/>
      <c r="J1" s="221" t="str">
        <f>+'1. Sülysáp összesen'!J1</f>
        <v>2019. ÉVI ZÁRSZÁMADÁS</v>
      </c>
      <c r="K1" s="227" t="s">
        <v>415</v>
      </c>
      <c r="L1" s="227" t="s">
        <v>415</v>
      </c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46"/>
      <c r="Z1" s="46"/>
      <c r="AA1" s="46"/>
    </row>
    <row r="2" spans="1:27" x14ac:dyDescent="0.25">
      <c r="A2" s="63"/>
      <c r="B2" s="63"/>
      <c r="C2" s="63"/>
      <c r="D2" s="63"/>
      <c r="H2" s="63"/>
      <c r="I2" s="63"/>
      <c r="L2" s="63"/>
      <c r="M2" s="63"/>
      <c r="N2" s="63"/>
      <c r="P2" s="63"/>
      <c r="Q2" s="63"/>
      <c r="R2" s="63"/>
      <c r="S2" s="63"/>
    </row>
    <row r="3" spans="1:27" x14ac:dyDescent="0.25">
      <c r="A3" s="63"/>
      <c r="B3" s="63"/>
      <c r="C3" s="555"/>
      <c r="D3" s="63"/>
      <c r="H3" s="63"/>
      <c r="I3" s="63"/>
      <c r="L3" s="63"/>
      <c r="M3" s="63"/>
      <c r="N3" s="63"/>
      <c r="P3" s="63"/>
      <c r="Q3" s="63"/>
      <c r="R3" s="63"/>
      <c r="S3" s="63"/>
    </row>
    <row r="4" spans="1:27" hidden="1" x14ac:dyDescent="0.25">
      <c r="A4" s="63"/>
      <c r="B4" s="63"/>
      <c r="C4" s="63"/>
      <c r="D4" s="63"/>
      <c r="H4" s="63"/>
      <c r="I4" s="63"/>
      <c r="L4" s="63"/>
      <c r="M4" s="63"/>
      <c r="N4" s="63"/>
      <c r="P4" s="63"/>
      <c r="Q4" s="63"/>
      <c r="R4" s="63"/>
      <c r="S4" s="63"/>
    </row>
    <row r="5" spans="1:27" hidden="1" x14ac:dyDescent="0.25">
      <c r="A5" s="63"/>
      <c r="B5" s="63"/>
      <c r="C5" s="63"/>
      <c r="D5" s="63"/>
      <c r="H5" s="63"/>
      <c r="I5" s="63"/>
      <c r="L5" s="63"/>
      <c r="M5" s="63"/>
      <c r="N5" s="63"/>
      <c r="P5" s="63"/>
      <c r="Q5" s="63"/>
      <c r="R5" s="63"/>
      <c r="S5" s="63"/>
    </row>
    <row r="6" spans="1:27" x14ac:dyDescent="0.25">
      <c r="A6" s="65"/>
      <c r="B6" s="65"/>
      <c r="C6" s="65"/>
      <c r="D6" s="65"/>
      <c r="E6" s="46"/>
      <c r="F6" s="46"/>
      <c r="G6" s="46"/>
      <c r="H6" s="65"/>
      <c r="I6" s="65"/>
      <c r="J6" s="46"/>
      <c r="K6" s="46"/>
      <c r="L6" s="65"/>
      <c r="M6" s="65"/>
      <c r="N6" s="65"/>
      <c r="O6" s="46"/>
      <c r="P6" s="63"/>
      <c r="Q6" s="63"/>
      <c r="R6" s="63"/>
      <c r="S6" s="63"/>
      <c r="T6" s="46"/>
      <c r="U6" s="46"/>
      <c r="V6" s="46"/>
    </row>
    <row r="7" spans="1:27" ht="15.6" x14ac:dyDescent="0.3">
      <c r="A7" s="219"/>
      <c r="B7" s="220"/>
      <c r="C7" s="1442" t="s">
        <v>403</v>
      </c>
      <c r="D7" s="1445"/>
      <c r="E7" s="1445"/>
      <c r="F7" s="1446"/>
      <c r="G7" s="68"/>
      <c r="H7" s="1442" t="s">
        <v>410</v>
      </c>
      <c r="I7" s="1443"/>
      <c r="J7" s="1443"/>
      <c r="K7" s="1443"/>
      <c r="L7" s="1443"/>
      <c r="M7" s="1443"/>
      <c r="N7" s="1444"/>
      <c r="O7" s="68"/>
      <c r="P7" s="1442" t="s">
        <v>399</v>
      </c>
      <c r="Q7" s="1445"/>
      <c r="R7" s="1445"/>
      <c r="S7" s="1445"/>
      <c r="T7" s="1446"/>
      <c r="U7" s="46"/>
      <c r="V7" s="46"/>
    </row>
    <row r="8" spans="1:27" x14ac:dyDescent="0.25">
      <c r="A8" s="34"/>
      <c r="B8" s="78"/>
      <c r="C8" s="1437" t="s">
        <v>412</v>
      </c>
      <c r="D8" s="1438"/>
      <c r="E8" s="1438"/>
      <c r="F8" s="1439"/>
      <c r="G8" s="150"/>
      <c r="H8" s="1437" t="s">
        <v>412</v>
      </c>
      <c r="I8" s="1440"/>
      <c r="J8" s="1441"/>
      <c r="K8" s="133"/>
      <c r="L8" s="1437" t="s">
        <v>411</v>
      </c>
      <c r="M8" s="1440"/>
      <c r="N8" s="1441"/>
      <c r="O8" s="150"/>
      <c r="P8" s="127">
        <f>+'1. Sülysáp összesen'!P8</f>
        <v>1</v>
      </c>
      <c r="Q8" s="127">
        <f>+'1. Sülysáp összesen'!Q8</f>
        <v>1</v>
      </c>
      <c r="R8" s="127">
        <f>+'1. Sülysáp összesen'!R8</f>
        <v>1</v>
      </c>
      <c r="S8" s="81"/>
      <c r="T8" s="81"/>
      <c r="U8" s="46"/>
      <c r="V8" s="46"/>
    </row>
    <row r="9" spans="1:27" ht="20.100000000000001" customHeight="1" x14ac:dyDescent="0.25">
      <c r="A9" s="228"/>
      <c r="B9" s="240" t="s">
        <v>367</v>
      </c>
      <c r="C9" s="579">
        <f>+C96</f>
        <v>1895220607</v>
      </c>
      <c r="D9" s="579">
        <f>+D96</f>
        <v>1904849300</v>
      </c>
      <c r="E9" s="579">
        <f>+E96</f>
        <v>1914887247</v>
      </c>
      <c r="F9" s="579">
        <f>+F96</f>
        <v>1902457581</v>
      </c>
      <c r="G9" s="579"/>
      <c r="H9" s="579">
        <f>+H96</f>
        <v>1155612367</v>
      </c>
      <c r="I9" s="579">
        <f>+I96</f>
        <v>1445691287</v>
      </c>
      <c r="J9" s="580">
        <f>+J96</f>
        <v>1819510762</v>
      </c>
      <c r="K9" s="579"/>
      <c r="L9" s="660">
        <f>H9/C9</f>
        <v>0.60975084522178791</v>
      </c>
      <c r="M9" s="660">
        <f>I9/D9</f>
        <v>0.75895310300925123</v>
      </c>
      <c r="N9" s="660">
        <f>J9/E9</f>
        <v>0.95019211436630346</v>
      </c>
      <c r="O9" s="662"/>
      <c r="P9" s="579">
        <f>+P96</f>
        <v>9628693</v>
      </c>
      <c r="Q9" s="579">
        <f>+Q96</f>
        <v>10037947</v>
      </c>
      <c r="R9" s="579">
        <f>+R96</f>
        <v>-12429666</v>
      </c>
      <c r="S9" s="579">
        <f>+S96</f>
        <v>19666640</v>
      </c>
      <c r="T9" s="243">
        <f>IF(C9=0,0,+S9/C9)</f>
        <v>1.0376966104822435E-2</v>
      </c>
      <c r="U9" s="230" t="e">
        <f>+R9-D9+B9</f>
        <v>#VALUE!</v>
      </c>
      <c r="V9" s="230">
        <f>+S9-E9+C9</f>
        <v>0</v>
      </c>
    </row>
    <row r="10" spans="1:27" x14ac:dyDescent="0.25">
      <c r="A10" s="34"/>
      <c r="B10" s="78"/>
      <c r="C10" s="699"/>
      <c r="D10" s="699"/>
      <c r="E10" s="699"/>
      <c r="F10" s="699"/>
      <c r="G10" s="699"/>
      <c r="H10" s="701"/>
      <c r="I10" s="702"/>
      <c r="J10" s="703"/>
      <c r="K10" s="700"/>
      <c r="L10" s="576"/>
      <c r="M10" s="577"/>
      <c r="N10" s="578"/>
      <c r="O10" s="663"/>
      <c r="P10" s="238"/>
      <c r="Q10" s="238"/>
      <c r="R10" s="238"/>
      <c r="S10" s="170"/>
      <c r="T10" s="170"/>
      <c r="U10" s="239"/>
      <c r="V10" s="239"/>
      <c r="W10" s="8"/>
    </row>
    <row r="11" spans="1:27" ht="71.099999999999994" customHeight="1" x14ac:dyDescent="0.25">
      <c r="A11" s="27" t="s">
        <v>368</v>
      </c>
      <c r="B11" s="27" t="s">
        <v>366</v>
      </c>
      <c r="C11" s="517" t="s">
        <v>484</v>
      </c>
      <c r="D11" s="355" t="s">
        <v>485</v>
      </c>
      <c r="E11" s="355" t="s">
        <v>486</v>
      </c>
      <c r="F11" s="518" t="s">
        <v>502</v>
      </c>
      <c r="G11" s="355"/>
      <c r="H11" s="491" t="s">
        <v>487</v>
      </c>
      <c r="I11" s="356" t="s">
        <v>488</v>
      </c>
      <c r="J11" s="356" t="s">
        <v>501</v>
      </c>
      <c r="K11" s="355"/>
      <c r="L11" s="357" t="s">
        <v>489</v>
      </c>
      <c r="M11" s="357" t="s">
        <v>490</v>
      </c>
      <c r="N11" s="492" t="s">
        <v>503</v>
      </c>
      <c r="O11" s="355"/>
      <c r="P11" s="491" t="s">
        <v>491</v>
      </c>
      <c r="Q11" s="356" t="s">
        <v>492</v>
      </c>
      <c r="R11" s="356" t="s">
        <v>510</v>
      </c>
      <c r="S11" s="356" t="s">
        <v>400</v>
      </c>
      <c r="T11" s="492" t="s">
        <v>401</v>
      </c>
      <c r="U11" s="28"/>
      <c r="V11" s="131" t="s">
        <v>405</v>
      </c>
    </row>
    <row r="12" spans="1:27" x14ac:dyDescent="0.25">
      <c r="A12" s="148"/>
      <c r="B12" s="145"/>
      <c r="C12" s="71"/>
      <c r="D12" s="71"/>
      <c r="E12" s="68"/>
      <c r="F12" s="68"/>
      <c r="G12" s="68"/>
      <c r="H12" s="68"/>
      <c r="I12" s="68"/>
      <c r="J12" s="68"/>
      <c r="K12" s="68"/>
      <c r="L12" s="591"/>
      <c r="M12" s="591"/>
      <c r="N12" s="591"/>
      <c r="O12" s="93"/>
      <c r="P12" s="81"/>
      <c r="Q12" s="81"/>
      <c r="R12" s="81"/>
      <c r="S12" s="81"/>
      <c r="T12" s="151"/>
      <c r="U12" s="68"/>
      <c r="V12" s="192"/>
    </row>
    <row r="13" spans="1:27" ht="26.4" x14ac:dyDescent="0.25">
      <c r="A13" s="4" t="s">
        <v>237</v>
      </c>
      <c r="B13" s="3" t="s">
        <v>238</v>
      </c>
      <c r="C13" s="66">
        <f>+C14+C21+C22+C23+C24+C25</f>
        <v>572340889</v>
      </c>
      <c r="D13" s="66">
        <f>+D14+D21+D22+D23+D24+D25</f>
        <v>581856889</v>
      </c>
      <c r="E13" s="66">
        <f>+E14+E21+E22+E23+E24+E25</f>
        <v>581856889</v>
      </c>
      <c r="F13" s="66">
        <f>+F14+F21+F22+F23+F24+F25</f>
        <v>604993966</v>
      </c>
      <c r="G13" s="66"/>
      <c r="H13" s="66">
        <f>+H14+H21+H22+H23+H24+H25</f>
        <v>303198626</v>
      </c>
      <c r="I13" s="66">
        <f>+I14+I21+I22+I23+I24+I25</f>
        <v>462396099</v>
      </c>
      <c r="J13" s="66">
        <f>+J14+J21+J22+J23+J24+J25</f>
        <v>604867525</v>
      </c>
      <c r="K13" s="66"/>
      <c r="L13" s="629">
        <f t="shared" ref="L13:N28" si="0">IF(H13&gt;0,H13/C13,0)</f>
        <v>0.52975181719019204</v>
      </c>
      <c r="M13" s="629">
        <f t="shared" si="0"/>
        <v>0.79469042601642204</v>
      </c>
      <c r="N13" s="629">
        <f t="shared" si="0"/>
        <v>1.0395468996500958</v>
      </c>
      <c r="O13" s="704"/>
      <c r="P13" s="66">
        <f>+(D13-C13)*P$8</f>
        <v>9516000</v>
      </c>
      <c r="Q13" s="66">
        <f>+(E13-D13)*Q$8</f>
        <v>0</v>
      </c>
      <c r="R13" s="66">
        <f>+(F13-E13)*R$8</f>
        <v>23137077</v>
      </c>
      <c r="S13" s="66">
        <f t="shared" ref="S13:S76" si="1">+P13*P$8+Q13*Q$8+Q13*G$8</f>
        <v>9516000</v>
      </c>
      <c r="T13" s="85">
        <f>IF(C13=0,0,+S13/C13)</f>
        <v>1.6626454937766991E-2</v>
      </c>
      <c r="U13" s="150"/>
      <c r="V13" s="192">
        <f>+S13-E13+C13</f>
        <v>0</v>
      </c>
    </row>
    <row r="14" spans="1:27" x14ac:dyDescent="0.25">
      <c r="A14" s="38" t="s">
        <v>239</v>
      </c>
      <c r="B14" s="39" t="s">
        <v>240</v>
      </c>
      <c r="C14" s="139">
        <f>SUM(C15:C20)</f>
        <v>513180889</v>
      </c>
      <c r="D14" s="139">
        <f>SUM(D15:D20)</f>
        <v>522696889</v>
      </c>
      <c r="E14" s="139">
        <f>SUM(E15:E20)</f>
        <v>522696889</v>
      </c>
      <c r="F14" s="139">
        <f>SUM(F15:F20)</f>
        <v>545833966</v>
      </c>
      <c r="G14" s="95"/>
      <c r="H14" s="139">
        <f>SUM(H15:H20)</f>
        <v>277454973</v>
      </c>
      <c r="I14" s="139">
        <f>SUM(I15:I20)</f>
        <v>417383699</v>
      </c>
      <c r="J14" s="139">
        <f>SUM(J15:J20)</f>
        <v>545833966</v>
      </c>
      <c r="K14" s="95"/>
      <c r="L14" s="591">
        <f t="shared" si="0"/>
        <v>0.54065725935480036</v>
      </c>
      <c r="M14" s="591">
        <f t="shared" si="0"/>
        <v>0.79851957756725811</v>
      </c>
      <c r="N14" s="591">
        <f t="shared" si="0"/>
        <v>1.0442648071701073</v>
      </c>
      <c r="O14" s="664"/>
      <c r="P14" s="95">
        <f t="shared" ref="P14:P24" si="2">+(D14-C14)*P$8</f>
        <v>9516000</v>
      </c>
      <c r="Q14" s="95">
        <f t="shared" ref="Q14:Q24" si="3">+(E14-D14)*Q$8</f>
        <v>0</v>
      </c>
      <c r="R14" s="95">
        <f t="shared" ref="R14:R24" si="4">+(F14-E14)*R$8</f>
        <v>23137077</v>
      </c>
      <c r="S14" s="95">
        <f t="shared" si="1"/>
        <v>9516000</v>
      </c>
      <c r="T14" s="85">
        <f t="shared" ref="T14:T50" si="5">IF(C14=0,0,+S14/C14)</f>
        <v>1.8543169092955059E-2</v>
      </c>
      <c r="U14" s="95"/>
      <c r="V14" s="192">
        <f t="shared" ref="V14:V50" si="6">+S14-E14+C14</f>
        <v>0</v>
      </c>
    </row>
    <row r="15" spans="1:27" ht="26.4" x14ac:dyDescent="0.25">
      <c r="A15" s="148" t="s">
        <v>241</v>
      </c>
      <c r="B15" s="146" t="s">
        <v>377</v>
      </c>
      <c r="C15" s="68">
        <v>162595605</v>
      </c>
      <c r="D15" s="68">
        <v>162595605</v>
      </c>
      <c r="E15" s="68">
        <v>162595605</v>
      </c>
      <c r="F15" s="68">
        <v>166114047</v>
      </c>
      <c r="G15" s="68"/>
      <c r="H15" s="68">
        <v>84790627</v>
      </c>
      <c r="I15" s="68">
        <v>126999096</v>
      </c>
      <c r="J15" s="68">
        <v>166114047</v>
      </c>
      <c r="K15" s="68"/>
      <c r="L15" s="591">
        <f t="shared" si="0"/>
        <v>0.52148166612498537</v>
      </c>
      <c r="M15" s="591">
        <f t="shared" si="0"/>
        <v>0.78107336296082541</v>
      </c>
      <c r="N15" s="591">
        <f t="shared" si="0"/>
        <v>1.0216392195840718</v>
      </c>
      <c r="O15" s="93"/>
      <c r="P15" s="81">
        <f t="shared" si="2"/>
        <v>0</v>
      </c>
      <c r="Q15" s="81">
        <f t="shared" si="3"/>
        <v>0</v>
      </c>
      <c r="R15" s="81">
        <f t="shared" si="4"/>
        <v>3518442</v>
      </c>
      <c r="S15" s="81">
        <f t="shared" si="1"/>
        <v>0</v>
      </c>
      <c r="T15" s="85">
        <f t="shared" si="5"/>
        <v>0</v>
      </c>
      <c r="U15" s="68"/>
      <c r="V15" s="192">
        <f t="shared" si="6"/>
        <v>0</v>
      </c>
    </row>
    <row r="16" spans="1:27" ht="26.4" x14ac:dyDescent="0.25">
      <c r="A16" s="148" t="s">
        <v>242</v>
      </c>
      <c r="B16" s="145" t="s">
        <v>406</v>
      </c>
      <c r="C16" s="71">
        <v>192807166</v>
      </c>
      <c r="D16" s="71">
        <v>192807166</v>
      </c>
      <c r="E16" s="71">
        <v>192807166</v>
      </c>
      <c r="F16" s="68">
        <v>194534367</v>
      </c>
      <c r="G16" s="68"/>
      <c r="H16" s="68">
        <v>98092525</v>
      </c>
      <c r="I16" s="68">
        <v>148960779</v>
      </c>
      <c r="J16" s="68">
        <v>194534367</v>
      </c>
      <c r="K16" s="68"/>
      <c r="L16" s="591">
        <f t="shared" si="0"/>
        <v>0.50875974703139404</v>
      </c>
      <c r="M16" s="591">
        <f t="shared" si="0"/>
        <v>0.77258943269774527</v>
      </c>
      <c r="N16" s="591">
        <f t="shared" si="0"/>
        <v>1.0089581784527657</v>
      </c>
      <c r="O16" s="93"/>
      <c r="P16" s="81">
        <f t="shared" si="2"/>
        <v>0</v>
      </c>
      <c r="Q16" s="81">
        <f t="shared" si="3"/>
        <v>0</v>
      </c>
      <c r="R16" s="81">
        <f t="shared" si="4"/>
        <v>1727201</v>
      </c>
      <c r="S16" s="81">
        <f t="shared" si="1"/>
        <v>0</v>
      </c>
      <c r="T16" s="85">
        <f t="shared" si="5"/>
        <v>0</v>
      </c>
      <c r="U16" s="68"/>
      <c r="V16" s="192">
        <f t="shared" si="6"/>
        <v>0</v>
      </c>
    </row>
    <row r="17" spans="1:22" ht="26.4" x14ac:dyDescent="0.25">
      <c r="A17" s="148" t="s">
        <v>243</v>
      </c>
      <c r="B17" s="145" t="s">
        <v>407</v>
      </c>
      <c r="C17" s="68">
        <v>147583868</v>
      </c>
      <c r="D17" s="68">
        <v>147583868</v>
      </c>
      <c r="E17" s="68">
        <v>147583868</v>
      </c>
      <c r="F17" s="68">
        <v>161471876</v>
      </c>
      <c r="G17" s="68"/>
      <c r="H17" s="68">
        <v>79220620</v>
      </c>
      <c r="I17" s="68">
        <v>120446525</v>
      </c>
      <c r="J17" s="68">
        <v>161471876</v>
      </c>
      <c r="K17" s="68"/>
      <c r="L17" s="591">
        <f t="shared" si="0"/>
        <v>0.53678373574000648</v>
      </c>
      <c r="M17" s="591">
        <f t="shared" si="0"/>
        <v>0.81612256564518282</v>
      </c>
      <c r="N17" s="591">
        <f t="shared" si="0"/>
        <v>1.0941024800894905</v>
      </c>
      <c r="O17" s="93"/>
      <c r="P17" s="81">
        <f t="shared" si="2"/>
        <v>0</v>
      </c>
      <c r="Q17" s="81">
        <f t="shared" si="3"/>
        <v>0</v>
      </c>
      <c r="R17" s="81">
        <f t="shared" si="4"/>
        <v>13888008</v>
      </c>
      <c r="S17" s="81">
        <f t="shared" si="1"/>
        <v>0</v>
      </c>
      <c r="T17" s="85">
        <f t="shared" si="5"/>
        <v>0</v>
      </c>
      <c r="U17" s="68"/>
      <c r="V17" s="192">
        <f t="shared" si="6"/>
        <v>0</v>
      </c>
    </row>
    <row r="18" spans="1:22" ht="26.4" x14ac:dyDescent="0.25">
      <c r="A18" s="148" t="s">
        <v>244</v>
      </c>
      <c r="B18" s="145" t="s">
        <v>408</v>
      </c>
      <c r="C18" s="71">
        <v>10194250</v>
      </c>
      <c r="D18" s="71">
        <v>10194250</v>
      </c>
      <c r="E18" s="71">
        <v>10194250</v>
      </c>
      <c r="F18" s="140">
        <v>11619522</v>
      </c>
      <c r="G18" s="140"/>
      <c r="H18" s="68">
        <v>5835201</v>
      </c>
      <c r="I18" s="140">
        <v>8883145</v>
      </c>
      <c r="J18" s="140">
        <v>11619522</v>
      </c>
      <c r="K18" s="140"/>
      <c r="L18" s="591">
        <f t="shared" si="0"/>
        <v>0.57240120656252302</v>
      </c>
      <c r="M18" s="591">
        <f t="shared" si="0"/>
        <v>0.87138779213772466</v>
      </c>
      <c r="N18" s="591">
        <f t="shared" si="0"/>
        <v>1.1398113642494543</v>
      </c>
      <c r="O18" s="665"/>
      <c r="P18" s="81">
        <f t="shared" si="2"/>
        <v>0</v>
      </c>
      <c r="Q18" s="81">
        <f t="shared" si="3"/>
        <v>0</v>
      </c>
      <c r="R18" s="81">
        <f t="shared" si="4"/>
        <v>1425272</v>
      </c>
      <c r="S18" s="81">
        <f t="shared" si="1"/>
        <v>0</v>
      </c>
      <c r="T18" s="85">
        <f t="shared" si="5"/>
        <v>0</v>
      </c>
      <c r="U18" s="140"/>
      <c r="V18" s="192">
        <f t="shared" si="6"/>
        <v>0</v>
      </c>
    </row>
    <row r="19" spans="1:22" x14ac:dyDescent="0.25">
      <c r="A19" s="148" t="s">
        <v>245</v>
      </c>
      <c r="B19" s="146" t="s">
        <v>246</v>
      </c>
      <c r="C19" s="68">
        <v>0</v>
      </c>
      <c r="D19" s="68">
        <v>9516000</v>
      </c>
      <c r="E19" s="68">
        <v>9516000</v>
      </c>
      <c r="F19" s="68">
        <v>9516000</v>
      </c>
      <c r="G19" s="68"/>
      <c r="H19" s="68">
        <v>9516000</v>
      </c>
      <c r="I19" s="68">
        <v>9516000</v>
      </c>
      <c r="J19" s="68">
        <v>9516000</v>
      </c>
      <c r="K19" s="68"/>
      <c r="L19" s="591" t="e">
        <f t="shared" si="0"/>
        <v>#DIV/0!</v>
      </c>
      <c r="M19" s="591">
        <f t="shared" si="0"/>
        <v>1</v>
      </c>
      <c r="N19" s="591">
        <f t="shared" si="0"/>
        <v>1</v>
      </c>
      <c r="O19" s="93"/>
      <c r="P19" s="81">
        <f>+(D19-C19)*P$8</f>
        <v>9516000</v>
      </c>
      <c r="Q19" s="81">
        <f t="shared" si="3"/>
        <v>0</v>
      </c>
      <c r="R19" s="81">
        <f t="shared" si="4"/>
        <v>0</v>
      </c>
      <c r="S19" s="81">
        <f t="shared" si="1"/>
        <v>9516000</v>
      </c>
      <c r="T19" s="85">
        <f t="shared" si="5"/>
        <v>0</v>
      </c>
      <c r="U19" s="68"/>
      <c r="V19" s="192">
        <f t="shared" si="6"/>
        <v>0</v>
      </c>
    </row>
    <row r="20" spans="1:22" ht="26.7" customHeight="1" x14ac:dyDescent="0.25">
      <c r="A20" s="148" t="s">
        <v>247</v>
      </c>
      <c r="B20" s="146" t="s">
        <v>248</v>
      </c>
      <c r="C20" s="68">
        <v>0</v>
      </c>
      <c r="D20" s="68"/>
      <c r="E20" s="68"/>
      <c r="F20" s="68">
        <v>2578154</v>
      </c>
      <c r="G20" s="68"/>
      <c r="H20" s="68"/>
      <c r="I20" s="68">
        <v>2578154</v>
      </c>
      <c r="J20" s="68">
        <v>2578154</v>
      </c>
      <c r="K20" s="68"/>
      <c r="L20" s="591">
        <f t="shared" si="0"/>
        <v>0</v>
      </c>
      <c r="M20" s="592" t="e">
        <f t="shared" si="0"/>
        <v>#DIV/0!</v>
      </c>
      <c r="N20" s="592" t="e">
        <f t="shared" si="0"/>
        <v>#DIV/0!</v>
      </c>
      <c r="O20" s="93"/>
      <c r="P20" s="81">
        <f t="shared" si="2"/>
        <v>0</v>
      </c>
      <c r="Q20" s="81">
        <f t="shared" si="3"/>
        <v>0</v>
      </c>
      <c r="R20" s="81">
        <f t="shared" si="4"/>
        <v>2578154</v>
      </c>
      <c r="S20" s="81">
        <f t="shared" si="1"/>
        <v>0</v>
      </c>
      <c r="T20" s="85">
        <f t="shared" si="5"/>
        <v>0</v>
      </c>
      <c r="U20" s="68"/>
      <c r="V20" s="192">
        <f t="shared" si="6"/>
        <v>0</v>
      </c>
    </row>
    <row r="21" spans="1:22" x14ac:dyDescent="0.25">
      <c r="A21" s="38" t="s">
        <v>249</v>
      </c>
      <c r="B21" s="39" t="s">
        <v>250</v>
      </c>
      <c r="C21" s="139"/>
      <c r="D21" s="95"/>
      <c r="E21" s="95"/>
      <c r="F21" s="95"/>
      <c r="G21" s="95"/>
      <c r="H21" s="95"/>
      <c r="I21" s="95"/>
      <c r="J21" s="95"/>
      <c r="K21" s="95"/>
      <c r="L21" s="592">
        <f t="shared" si="0"/>
        <v>0</v>
      </c>
      <c r="M21" s="592">
        <f t="shared" si="0"/>
        <v>0</v>
      </c>
      <c r="N21" s="592">
        <f t="shared" si="0"/>
        <v>0</v>
      </c>
      <c r="O21" s="664"/>
      <c r="P21" s="81">
        <f t="shared" si="2"/>
        <v>0</v>
      </c>
      <c r="Q21" s="81">
        <f t="shared" si="3"/>
        <v>0</v>
      </c>
      <c r="R21" s="81">
        <f t="shared" si="4"/>
        <v>0</v>
      </c>
      <c r="S21" s="81">
        <f t="shared" si="1"/>
        <v>0</v>
      </c>
      <c r="T21" s="85">
        <f t="shared" si="5"/>
        <v>0</v>
      </c>
      <c r="U21" s="95"/>
      <c r="V21" s="192">
        <f t="shared" si="6"/>
        <v>0</v>
      </c>
    </row>
    <row r="22" spans="1:22" ht="36" x14ac:dyDescent="0.25">
      <c r="A22" s="38" t="s">
        <v>251</v>
      </c>
      <c r="B22" s="582" t="s">
        <v>252</v>
      </c>
      <c r="C22" s="139"/>
      <c r="D22" s="95"/>
      <c r="E22" s="95"/>
      <c r="F22" s="95"/>
      <c r="G22" s="95"/>
      <c r="H22" s="95"/>
      <c r="I22" s="95"/>
      <c r="J22" s="95"/>
      <c r="K22" s="95"/>
      <c r="L22" s="592">
        <f t="shared" si="0"/>
        <v>0</v>
      </c>
      <c r="M22" s="592">
        <f t="shared" si="0"/>
        <v>0</v>
      </c>
      <c r="N22" s="592">
        <f t="shared" si="0"/>
        <v>0</v>
      </c>
      <c r="O22" s="664"/>
      <c r="P22" s="81">
        <f t="shared" si="2"/>
        <v>0</v>
      </c>
      <c r="Q22" s="81">
        <f t="shared" si="3"/>
        <v>0</v>
      </c>
      <c r="R22" s="81">
        <f t="shared" si="4"/>
        <v>0</v>
      </c>
      <c r="S22" s="81">
        <f t="shared" si="1"/>
        <v>0</v>
      </c>
      <c r="T22" s="85">
        <f t="shared" si="5"/>
        <v>0</v>
      </c>
      <c r="U22" s="95"/>
      <c r="V22" s="192">
        <f t="shared" si="6"/>
        <v>0</v>
      </c>
    </row>
    <row r="23" spans="1:22" ht="36" x14ac:dyDescent="0.25">
      <c r="A23" s="38" t="s">
        <v>253</v>
      </c>
      <c r="B23" s="582" t="s">
        <v>254</v>
      </c>
      <c r="C23" s="139"/>
      <c r="D23" s="95"/>
      <c r="E23" s="95"/>
      <c r="F23" s="95"/>
      <c r="G23" s="95"/>
      <c r="H23" s="95"/>
      <c r="I23" s="95"/>
      <c r="J23" s="95"/>
      <c r="K23" s="95"/>
      <c r="L23" s="592">
        <f t="shared" si="0"/>
        <v>0</v>
      </c>
      <c r="M23" s="592">
        <f t="shared" si="0"/>
        <v>0</v>
      </c>
      <c r="N23" s="592">
        <f t="shared" si="0"/>
        <v>0</v>
      </c>
      <c r="O23" s="664"/>
      <c r="P23" s="81">
        <f t="shared" si="2"/>
        <v>0</v>
      </c>
      <c r="Q23" s="81">
        <f t="shared" si="3"/>
        <v>0</v>
      </c>
      <c r="R23" s="81">
        <f t="shared" si="4"/>
        <v>0</v>
      </c>
      <c r="S23" s="81">
        <f t="shared" si="1"/>
        <v>0</v>
      </c>
      <c r="T23" s="85">
        <f t="shared" si="5"/>
        <v>0</v>
      </c>
      <c r="U23" s="95"/>
      <c r="V23" s="192">
        <f t="shared" si="6"/>
        <v>0</v>
      </c>
    </row>
    <row r="24" spans="1:22" ht="39.6" x14ac:dyDescent="0.25">
      <c r="A24" s="38" t="s">
        <v>255</v>
      </c>
      <c r="B24" s="39" t="s">
        <v>256</v>
      </c>
      <c r="C24" s="139"/>
      <c r="D24" s="95"/>
      <c r="E24" s="95"/>
      <c r="F24" s="95"/>
      <c r="G24" s="95"/>
      <c r="H24" s="140"/>
      <c r="I24" s="140"/>
      <c r="J24" s="95"/>
      <c r="K24" s="95"/>
      <c r="L24" s="592">
        <f t="shared" si="0"/>
        <v>0</v>
      </c>
      <c r="M24" s="592">
        <f t="shared" si="0"/>
        <v>0</v>
      </c>
      <c r="N24" s="592">
        <f t="shared" si="0"/>
        <v>0</v>
      </c>
      <c r="O24" s="664"/>
      <c r="P24" s="81">
        <f t="shared" si="2"/>
        <v>0</v>
      </c>
      <c r="Q24" s="81">
        <f t="shared" si="3"/>
        <v>0</v>
      </c>
      <c r="R24" s="81">
        <f t="shared" si="4"/>
        <v>0</v>
      </c>
      <c r="S24" s="81">
        <f t="shared" si="1"/>
        <v>0</v>
      </c>
      <c r="T24" s="85">
        <f t="shared" si="5"/>
        <v>0</v>
      </c>
      <c r="U24" s="95"/>
      <c r="V24" s="192">
        <f t="shared" si="6"/>
        <v>0</v>
      </c>
    </row>
    <row r="25" spans="1:22" ht="39.6" x14ac:dyDescent="0.25">
      <c r="A25" s="38" t="s">
        <v>257</v>
      </c>
      <c r="B25" s="39" t="s">
        <v>378</v>
      </c>
      <c r="C25" s="95">
        <f>SUM(C26:C29)</f>
        <v>59160000</v>
      </c>
      <c r="D25" s="95">
        <f>SUM(D26:D29)</f>
        <v>59160000</v>
      </c>
      <c r="E25" s="95">
        <f>SUM(E26:E29)</f>
        <v>59160000</v>
      </c>
      <c r="F25" s="95">
        <f>SUM(F26:F29)</f>
        <v>59160000</v>
      </c>
      <c r="G25" s="95"/>
      <c r="H25" s="95">
        <f>SUM(H26:H29)</f>
        <v>25743653</v>
      </c>
      <c r="I25" s="95">
        <f>SUM(I26:I29)</f>
        <v>45012400</v>
      </c>
      <c r="J25" s="95">
        <f>SUM(J26:J29)</f>
        <v>59033559</v>
      </c>
      <c r="K25" s="95"/>
      <c r="L25" s="591">
        <f t="shared" si="0"/>
        <v>0.43515302569303582</v>
      </c>
      <c r="M25" s="591">
        <f t="shared" si="0"/>
        <v>0.76085868830290737</v>
      </c>
      <c r="N25" s="591">
        <f t="shared" si="0"/>
        <v>0.99786272819472621</v>
      </c>
      <c r="O25" s="664"/>
      <c r="P25" s="95">
        <f>+P26+P27+P28+P29</f>
        <v>0</v>
      </c>
      <c r="Q25" s="95">
        <f>+Q26+Q27+Q28+Q29</f>
        <v>0</v>
      </c>
      <c r="R25" s="95">
        <f>+R26+R27+R28+R29</f>
        <v>0</v>
      </c>
      <c r="S25" s="95">
        <f t="shared" si="1"/>
        <v>0</v>
      </c>
      <c r="T25" s="85">
        <f t="shared" si="5"/>
        <v>0</v>
      </c>
      <c r="U25" s="95"/>
      <c r="V25" s="192">
        <f t="shared" si="6"/>
        <v>0</v>
      </c>
    </row>
    <row r="26" spans="1:22" ht="43.2" customHeight="1" x14ac:dyDescent="0.25">
      <c r="A26" s="149" t="s">
        <v>385</v>
      </c>
      <c r="B26" s="719" t="s">
        <v>519</v>
      </c>
      <c r="C26" s="141">
        <f>2160000+7000000</f>
        <v>9160000</v>
      </c>
      <c r="D26" s="141">
        <f>2160000+7000000</f>
        <v>9160000</v>
      </c>
      <c r="E26" s="141">
        <f>2160000+7000000</f>
        <v>9160000</v>
      </c>
      <c r="F26" s="141">
        <f>2160000+7000000</f>
        <v>9160000</v>
      </c>
      <c r="G26" s="140"/>
      <c r="H26" s="140">
        <v>3608000</v>
      </c>
      <c r="I26" s="140">
        <f>8683262+657120</f>
        <v>9340382</v>
      </c>
      <c r="J26" s="140">
        <v>11788916</v>
      </c>
      <c r="K26" s="140"/>
      <c r="L26" s="591">
        <f t="shared" si="0"/>
        <v>0.39388646288209606</v>
      </c>
      <c r="M26" s="591">
        <f t="shared" si="0"/>
        <v>1.0196923580786026</v>
      </c>
      <c r="N26" s="591">
        <f t="shared" si="0"/>
        <v>1.2869995633187772</v>
      </c>
      <c r="O26" s="665"/>
      <c r="P26" s="81">
        <f t="shared" ref="P26:R29" si="7">+(D26-C26)*P$8</f>
        <v>0</v>
      </c>
      <c r="Q26" s="81">
        <f t="shared" si="7"/>
        <v>0</v>
      </c>
      <c r="R26" s="81">
        <f t="shared" si="7"/>
        <v>0</v>
      </c>
      <c r="S26" s="81">
        <f t="shared" si="1"/>
        <v>0</v>
      </c>
      <c r="T26" s="85">
        <f t="shared" si="5"/>
        <v>0</v>
      </c>
      <c r="U26" s="140"/>
      <c r="V26" s="192">
        <f t="shared" si="6"/>
        <v>0</v>
      </c>
    </row>
    <row r="27" spans="1:22" ht="40.200000000000003" customHeight="1" x14ac:dyDescent="0.25">
      <c r="A27" s="149" t="s">
        <v>388</v>
      </c>
      <c r="B27" s="719" t="s">
        <v>520</v>
      </c>
      <c r="C27" s="141">
        <v>20000000</v>
      </c>
      <c r="D27" s="141">
        <v>20000000</v>
      </c>
      <c r="E27" s="141">
        <v>20000000</v>
      </c>
      <c r="F27" s="141">
        <v>20000000</v>
      </c>
      <c r="G27" s="140"/>
      <c r="H27" s="140">
        <f>75240+8091000</f>
        <v>8166240</v>
      </c>
      <c r="I27" s="140">
        <v>12652600</v>
      </c>
      <c r="J27" s="140">
        <v>15863000</v>
      </c>
      <c r="K27" s="140"/>
      <c r="L27" s="591">
        <f t="shared" si="0"/>
        <v>0.40831200000000001</v>
      </c>
      <c r="M27" s="591">
        <f t="shared" si="0"/>
        <v>0.63263000000000003</v>
      </c>
      <c r="N27" s="591">
        <f t="shared" si="0"/>
        <v>0.79315000000000002</v>
      </c>
      <c r="O27" s="665"/>
      <c r="P27" s="81">
        <f t="shared" si="7"/>
        <v>0</v>
      </c>
      <c r="Q27" s="81">
        <f t="shared" si="7"/>
        <v>0</v>
      </c>
      <c r="R27" s="81">
        <f t="shared" si="7"/>
        <v>0</v>
      </c>
      <c r="S27" s="81">
        <f t="shared" si="1"/>
        <v>0</v>
      </c>
      <c r="T27" s="85">
        <f t="shared" si="5"/>
        <v>0</v>
      </c>
      <c r="U27" s="140"/>
      <c r="V27" s="192">
        <f t="shared" si="6"/>
        <v>0</v>
      </c>
    </row>
    <row r="28" spans="1:22" ht="26.4" x14ac:dyDescent="0.25">
      <c r="A28" s="149" t="s">
        <v>389</v>
      </c>
      <c r="B28" s="719" t="s">
        <v>518</v>
      </c>
      <c r="C28" s="141">
        <v>30000000</v>
      </c>
      <c r="D28" s="141">
        <v>30000000</v>
      </c>
      <c r="E28" s="141">
        <v>30000000</v>
      </c>
      <c r="F28" s="141">
        <v>30000000</v>
      </c>
      <c r="G28" s="140"/>
      <c r="H28" s="140">
        <v>13969413</v>
      </c>
      <c r="I28" s="140">
        <v>23019418</v>
      </c>
      <c r="J28" s="140">
        <v>31381643</v>
      </c>
      <c r="K28" s="140"/>
      <c r="L28" s="591">
        <f t="shared" si="0"/>
        <v>0.46564709999999998</v>
      </c>
      <c r="M28" s="591">
        <f t="shared" si="0"/>
        <v>0.76731393333333331</v>
      </c>
      <c r="N28" s="591">
        <f t="shared" si="0"/>
        <v>1.0460547666666666</v>
      </c>
      <c r="O28" s="665"/>
      <c r="P28" s="81">
        <f t="shared" si="7"/>
        <v>0</v>
      </c>
      <c r="Q28" s="81">
        <f t="shared" si="7"/>
        <v>0</v>
      </c>
      <c r="R28" s="81">
        <f t="shared" si="7"/>
        <v>0</v>
      </c>
      <c r="S28" s="81">
        <f t="shared" si="1"/>
        <v>0</v>
      </c>
      <c r="T28" s="85">
        <f t="shared" si="5"/>
        <v>0</v>
      </c>
      <c r="U28" s="140"/>
      <c r="V28" s="192">
        <f t="shared" si="6"/>
        <v>0</v>
      </c>
    </row>
    <row r="29" spans="1:22" x14ac:dyDescent="0.25">
      <c r="A29" s="149"/>
      <c r="B29" s="145"/>
      <c r="C29" s="141"/>
      <c r="D29" s="141"/>
      <c r="E29" s="141"/>
      <c r="F29" s="141"/>
      <c r="G29" s="140"/>
      <c r="H29" s="140"/>
      <c r="I29" s="140"/>
      <c r="J29" s="140"/>
      <c r="K29" s="140"/>
      <c r="L29" s="591">
        <f t="shared" ref="L29:N35" si="8">IF(H29&gt;0,H29/C29,0)</f>
        <v>0</v>
      </c>
      <c r="M29" s="591">
        <f t="shared" si="8"/>
        <v>0</v>
      </c>
      <c r="N29" s="591">
        <f t="shared" si="8"/>
        <v>0</v>
      </c>
      <c r="O29" s="665"/>
      <c r="P29" s="81">
        <f t="shared" si="7"/>
        <v>0</v>
      </c>
      <c r="Q29" s="81">
        <f t="shared" si="7"/>
        <v>0</v>
      </c>
      <c r="R29" s="81">
        <f t="shared" si="7"/>
        <v>0</v>
      </c>
      <c r="S29" s="81">
        <f t="shared" si="1"/>
        <v>0</v>
      </c>
      <c r="T29" s="85">
        <f t="shared" si="5"/>
        <v>0</v>
      </c>
      <c r="U29" s="140"/>
      <c r="V29" s="192">
        <f t="shared" si="6"/>
        <v>0</v>
      </c>
    </row>
    <row r="30" spans="1:22" ht="34.5" customHeight="1" x14ac:dyDescent="0.25">
      <c r="A30" s="4" t="s">
        <v>258</v>
      </c>
      <c r="B30" s="3" t="s">
        <v>259</v>
      </c>
      <c r="C30" s="66">
        <f>SUM(C31:C35)</f>
        <v>285600000</v>
      </c>
      <c r="D30" s="66">
        <f>SUM(D31:D35)</f>
        <v>285600000</v>
      </c>
      <c r="E30" s="66">
        <f>SUM(E31:E35)</f>
        <v>285600000</v>
      </c>
      <c r="F30" s="66">
        <f>SUM(F31:F35)</f>
        <v>241108000</v>
      </c>
      <c r="G30" s="66"/>
      <c r="H30" s="66">
        <f>SUM(H31:H35)</f>
        <v>52664113</v>
      </c>
      <c r="I30" s="66">
        <f>SUM(I31:I35)</f>
        <v>50464113</v>
      </c>
      <c r="J30" s="66">
        <f>SUM(J31:J35)</f>
        <v>147169193</v>
      </c>
      <c r="K30" s="66"/>
      <c r="L30" s="629">
        <f t="shared" si="8"/>
        <v>0.18439815476190477</v>
      </c>
      <c r="M30" s="629">
        <f t="shared" si="8"/>
        <v>0.17669507352941177</v>
      </c>
      <c r="N30" s="629">
        <f t="shared" si="8"/>
        <v>0.51529829481792722</v>
      </c>
      <c r="O30" s="704"/>
      <c r="P30" s="66">
        <f>SUM(P31:P35)</f>
        <v>0</v>
      </c>
      <c r="Q30" s="66">
        <f>SUM(Q31:Q35)</f>
        <v>0</v>
      </c>
      <c r="R30" s="66">
        <f>SUM(R31:R35)</f>
        <v>-44492000</v>
      </c>
      <c r="S30" s="66">
        <f t="shared" si="1"/>
        <v>0</v>
      </c>
      <c r="T30" s="85">
        <f t="shared" si="5"/>
        <v>0</v>
      </c>
      <c r="U30" s="66"/>
      <c r="V30" s="192">
        <f t="shared" si="6"/>
        <v>0</v>
      </c>
    </row>
    <row r="31" spans="1:22" s="42" customFormat="1" ht="26.4" x14ac:dyDescent="0.25">
      <c r="A31" s="38" t="s">
        <v>260</v>
      </c>
      <c r="B31" s="39" t="s">
        <v>463</v>
      </c>
      <c r="C31" s="139"/>
      <c r="D31" s="95"/>
      <c r="E31" s="95"/>
      <c r="F31" s="95">
        <v>17968000</v>
      </c>
      <c r="G31" s="95"/>
      <c r="H31" s="95"/>
      <c r="I31" s="95"/>
      <c r="J31" s="95">
        <v>17968000</v>
      </c>
      <c r="K31" s="95"/>
      <c r="L31" s="592">
        <f t="shared" si="8"/>
        <v>0</v>
      </c>
      <c r="M31" s="592">
        <f t="shared" si="8"/>
        <v>0</v>
      </c>
      <c r="N31" s="592" t="e">
        <f t="shared" si="8"/>
        <v>#DIV/0!</v>
      </c>
      <c r="O31" s="664"/>
      <c r="P31" s="95">
        <f t="shared" ref="P31:R38" si="9">+(D31-C31)*P$8</f>
        <v>0</v>
      </c>
      <c r="Q31" s="95">
        <f t="shared" si="9"/>
        <v>0</v>
      </c>
      <c r="R31" s="95">
        <f t="shared" si="9"/>
        <v>17968000</v>
      </c>
      <c r="S31" s="95">
        <f t="shared" si="1"/>
        <v>0</v>
      </c>
      <c r="T31" s="85">
        <f t="shared" si="5"/>
        <v>0</v>
      </c>
      <c r="U31" s="95"/>
      <c r="V31" s="192">
        <f t="shared" si="6"/>
        <v>0</v>
      </c>
    </row>
    <row r="32" spans="1:22" s="42" customFormat="1" ht="51" hidden="1" customHeight="1" x14ac:dyDescent="0.25">
      <c r="A32" s="38" t="s">
        <v>261</v>
      </c>
      <c r="B32" s="554" t="s">
        <v>464</v>
      </c>
      <c r="C32" s="139"/>
      <c r="D32" s="95"/>
      <c r="E32" s="139"/>
      <c r="F32" s="139"/>
      <c r="G32" s="139"/>
      <c r="H32" s="139"/>
      <c r="I32" s="139"/>
      <c r="J32" s="139"/>
      <c r="K32" s="139"/>
      <c r="L32" s="593">
        <f t="shared" si="8"/>
        <v>0</v>
      </c>
      <c r="M32" s="593">
        <f t="shared" si="8"/>
        <v>0</v>
      </c>
      <c r="N32" s="593">
        <f t="shared" si="8"/>
        <v>0</v>
      </c>
      <c r="O32" s="133"/>
      <c r="P32" s="81">
        <f t="shared" si="9"/>
        <v>0</v>
      </c>
      <c r="Q32" s="81">
        <f t="shared" si="9"/>
        <v>0</v>
      </c>
      <c r="R32" s="81">
        <f t="shared" si="9"/>
        <v>0</v>
      </c>
      <c r="S32" s="81">
        <f t="shared" si="1"/>
        <v>0</v>
      </c>
      <c r="T32" s="85">
        <f t="shared" si="5"/>
        <v>0</v>
      </c>
      <c r="U32" s="139"/>
      <c r="V32" s="192">
        <f t="shared" si="6"/>
        <v>0</v>
      </c>
    </row>
    <row r="33" spans="1:22" s="42" customFormat="1" ht="39.6" x14ac:dyDescent="0.25">
      <c r="A33" s="38" t="s">
        <v>262</v>
      </c>
      <c r="B33" s="554" t="s">
        <v>263</v>
      </c>
      <c r="C33" s="139"/>
      <c r="D33" s="95"/>
      <c r="E33" s="139"/>
      <c r="F33" s="139"/>
      <c r="G33" s="139"/>
      <c r="H33" s="139"/>
      <c r="I33" s="139"/>
      <c r="J33" s="139"/>
      <c r="K33" s="139"/>
      <c r="L33" s="593">
        <f t="shared" si="8"/>
        <v>0</v>
      </c>
      <c r="M33" s="593">
        <f t="shared" si="8"/>
        <v>0</v>
      </c>
      <c r="N33" s="593">
        <f t="shared" si="8"/>
        <v>0</v>
      </c>
      <c r="O33" s="133"/>
      <c r="P33" s="81">
        <f t="shared" si="9"/>
        <v>0</v>
      </c>
      <c r="Q33" s="81">
        <f t="shared" si="9"/>
        <v>0</v>
      </c>
      <c r="R33" s="81">
        <f t="shared" si="9"/>
        <v>0</v>
      </c>
      <c r="S33" s="81">
        <f t="shared" si="1"/>
        <v>0</v>
      </c>
      <c r="T33" s="85">
        <f t="shared" si="5"/>
        <v>0</v>
      </c>
      <c r="U33" s="139"/>
      <c r="V33" s="192">
        <f t="shared" si="6"/>
        <v>0</v>
      </c>
    </row>
    <row r="34" spans="1:22" s="42" customFormat="1" ht="40.35" customHeight="1" x14ac:dyDescent="0.25">
      <c r="A34" s="38" t="s">
        <v>264</v>
      </c>
      <c r="B34" s="582" t="s">
        <v>409</v>
      </c>
      <c r="C34" s="139"/>
      <c r="D34" s="95"/>
      <c r="E34" s="139"/>
      <c r="F34" s="139"/>
      <c r="G34" s="139"/>
      <c r="H34" s="139"/>
      <c r="I34" s="139"/>
      <c r="J34" s="139"/>
      <c r="K34" s="139"/>
      <c r="L34" s="593">
        <f t="shared" si="8"/>
        <v>0</v>
      </c>
      <c r="M34" s="593">
        <f t="shared" si="8"/>
        <v>0</v>
      </c>
      <c r="N34" s="593">
        <f t="shared" si="8"/>
        <v>0</v>
      </c>
      <c r="O34" s="133"/>
      <c r="P34" s="81">
        <f t="shared" si="9"/>
        <v>0</v>
      </c>
      <c r="Q34" s="81">
        <f t="shared" si="9"/>
        <v>0</v>
      </c>
      <c r="R34" s="81">
        <f t="shared" si="9"/>
        <v>0</v>
      </c>
      <c r="S34" s="81">
        <f t="shared" si="1"/>
        <v>0</v>
      </c>
      <c r="T34" s="85">
        <f t="shared" si="5"/>
        <v>0</v>
      </c>
      <c r="U34" s="139"/>
      <c r="V34" s="192">
        <f t="shared" si="6"/>
        <v>0</v>
      </c>
    </row>
    <row r="35" spans="1:22" s="42" customFormat="1" ht="26.4" x14ac:dyDescent="0.25">
      <c r="A35" s="38" t="s">
        <v>265</v>
      </c>
      <c r="B35" s="39" t="s">
        <v>483</v>
      </c>
      <c r="C35" s="139">
        <f>+C36+C37+C38</f>
        <v>285600000</v>
      </c>
      <c r="D35" s="139">
        <f>+D36+D37+D38</f>
        <v>285600000</v>
      </c>
      <c r="E35" s="139">
        <f>+E36+E37+E38</f>
        <v>285600000</v>
      </c>
      <c r="F35" s="139">
        <v>223140000</v>
      </c>
      <c r="G35" s="95"/>
      <c r="H35" s="139">
        <f>+H36+H37+H38</f>
        <v>52664113</v>
      </c>
      <c r="I35" s="139">
        <f>+I36+I37+I38</f>
        <v>50464113</v>
      </c>
      <c r="J35" s="139">
        <v>129201193</v>
      </c>
      <c r="K35" s="95"/>
      <c r="L35" s="592">
        <f t="shared" si="8"/>
        <v>0.18439815476190477</v>
      </c>
      <c r="M35" s="592">
        <f t="shared" si="8"/>
        <v>0.17669507352941177</v>
      </c>
      <c r="N35" s="592">
        <f t="shared" si="8"/>
        <v>0.45238512955182075</v>
      </c>
      <c r="O35" s="664"/>
      <c r="P35" s="95">
        <f t="shared" si="9"/>
        <v>0</v>
      </c>
      <c r="Q35" s="95">
        <f t="shared" si="9"/>
        <v>0</v>
      </c>
      <c r="R35" s="95">
        <f t="shared" si="9"/>
        <v>-62460000</v>
      </c>
      <c r="S35" s="95">
        <f t="shared" si="1"/>
        <v>0</v>
      </c>
      <c r="T35" s="85">
        <f t="shared" si="5"/>
        <v>0</v>
      </c>
      <c r="U35" s="95"/>
      <c r="V35" s="192">
        <f t="shared" si="6"/>
        <v>0</v>
      </c>
    </row>
    <row r="36" spans="1:22" x14ac:dyDescent="0.25">
      <c r="A36" s="14"/>
      <c r="B36" s="145" t="s">
        <v>494</v>
      </c>
      <c r="C36" s="71">
        <v>70000000</v>
      </c>
      <c r="D36" s="71">
        <v>70000000</v>
      </c>
      <c r="E36" s="71">
        <v>70000000</v>
      </c>
      <c r="F36" s="144"/>
      <c r="G36" s="68"/>
      <c r="H36" s="142">
        <v>52664113</v>
      </c>
      <c r="I36" s="68">
        <v>0</v>
      </c>
      <c r="J36" s="144"/>
      <c r="K36" s="68"/>
      <c r="L36" s="591"/>
      <c r="M36" s="591"/>
      <c r="N36" s="591"/>
      <c r="O36" s="93"/>
      <c r="P36" s="81">
        <f t="shared" si="9"/>
        <v>0</v>
      </c>
      <c r="Q36" s="81">
        <f t="shared" si="9"/>
        <v>0</v>
      </c>
      <c r="R36" s="81">
        <f t="shared" si="9"/>
        <v>-70000000</v>
      </c>
      <c r="S36" s="81">
        <f t="shared" si="1"/>
        <v>0</v>
      </c>
      <c r="T36" s="85">
        <f t="shared" si="5"/>
        <v>0</v>
      </c>
      <c r="U36" s="68"/>
      <c r="V36" s="192">
        <f t="shared" si="6"/>
        <v>0</v>
      </c>
    </row>
    <row r="37" spans="1:22" x14ac:dyDescent="0.25">
      <c r="A37" s="14"/>
      <c r="B37" s="145" t="s">
        <v>504</v>
      </c>
      <c r="C37" s="71">
        <f>50000000+67000000</f>
        <v>117000000</v>
      </c>
      <c r="D37" s="71">
        <f>50000000+67000000</f>
        <v>117000000</v>
      </c>
      <c r="E37" s="71">
        <f>50000000+67000000</f>
        <v>117000000</v>
      </c>
      <c r="F37" s="144"/>
      <c r="G37" s="68"/>
      <c r="H37" s="68"/>
      <c r="I37" s="68">
        <v>50464113</v>
      </c>
      <c r="J37" s="144"/>
      <c r="K37" s="68"/>
      <c r="L37" s="591"/>
      <c r="M37" s="591"/>
      <c r="N37" s="591"/>
      <c r="O37" s="93"/>
      <c r="P37" s="81">
        <f t="shared" si="9"/>
        <v>0</v>
      </c>
      <c r="Q37" s="81">
        <f t="shared" si="9"/>
        <v>0</v>
      </c>
      <c r="R37" s="81">
        <f t="shared" si="9"/>
        <v>-117000000</v>
      </c>
      <c r="S37" s="81">
        <f t="shared" si="1"/>
        <v>0</v>
      </c>
      <c r="T37" s="85">
        <f t="shared" si="5"/>
        <v>0</v>
      </c>
      <c r="U37" s="68"/>
      <c r="V37" s="192">
        <f t="shared" si="6"/>
        <v>0</v>
      </c>
    </row>
    <row r="38" spans="1:22" x14ac:dyDescent="0.25">
      <c r="A38" s="14"/>
      <c r="B38" s="145" t="s">
        <v>495</v>
      </c>
      <c r="C38" s="71">
        <v>98600000</v>
      </c>
      <c r="D38" s="71">
        <v>98600000</v>
      </c>
      <c r="E38" s="71">
        <v>98600000</v>
      </c>
      <c r="F38" s="144"/>
      <c r="G38" s="68"/>
      <c r="H38" s="68"/>
      <c r="I38" s="68">
        <v>0</v>
      </c>
      <c r="J38" s="144"/>
      <c r="K38" s="68"/>
      <c r="L38" s="591"/>
      <c r="M38" s="591"/>
      <c r="N38" s="591"/>
      <c r="O38" s="93"/>
      <c r="P38" s="81">
        <f t="shared" si="9"/>
        <v>0</v>
      </c>
      <c r="Q38" s="81">
        <f t="shared" si="9"/>
        <v>0</v>
      </c>
      <c r="R38" s="81">
        <f t="shared" si="9"/>
        <v>-98600000</v>
      </c>
      <c r="S38" s="81">
        <f t="shared" si="1"/>
        <v>0</v>
      </c>
      <c r="T38" s="85">
        <f t="shared" si="5"/>
        <v>0</v>
      </c>
      <c r="U38" s="68"/>
      <c r="V38" s="192">
        <f t="shared" si="6"/>
        <v>0</v>
      </c>
    </row>
    <row r="39" spans="1:22" x14ac:dyDescent="0.25">
      <c r="A39" s="4" t="s">
        <v>266</v>
      </c>
      <c r="B39" s="3" t="s">
        <v>267</v>
      </c>
      <c r="C39" s="66">
        <f>+C40+C42+C47</f>
        <v>238500000</v>
      </c>
      <c r="D39" s="66">
        <f>+D40+D42+D47</f>
        <v>238500000</v>
      </c>
      <c r="E39" s="66">
        <f>+E40+E42+E47</f>
        <v>238500000</v>
      </c>
      <c r="F39" s="66">
        <f>+F40+F42+F47</f>
        <v>274449000</v>
      </c>
      <c r="G39" s="66"/>
      <c r="H39" s="66">
        <f>+H40+H42+H47</f>
        <v>126487519</v>
      </c>
      <c r="I39" s="66">
        <f>+I40+I42+I47</f>
        <v>188691308</v>
      </c>
      <c r="J39" s="66">
        <f>+J40+J42+J47</f>
        <v>274433456</v>
      </c>
      <c r="K39" s="66"/>
      <c r="L39" s="629">
        <f t="shared" ref="L39:N54" si="10">IF(H39&gt;0,H39/C39,0)</f>
        <v>0.53034599161425577</v>
      </c>
      <c r="M39" s="629">
        <f t="shared" si="10"/>
        <v>0.79115852410901466</v>
      </c>
      <c r="N39" s="588">
        <f t="shared" si="10"/>
        <v>1.1506643857442349</v>
      </c>
      <c r="O39" s="637"/>
      <c r="P39" s="66">
        <f>+P40+P42+P47</f>
        <v>0</v>
      </c>
      <c r="Q39" s="66">
        <f>+Q40+Q42+Q47</f>
        <v>0</v>
      </c>
      <c r="R39" s="66">
        <f>+R40+R42+R47</f>
        <v>35949000</v>
      </c>
      <c r="S39" s="66">
        <f t="shared" si="1"/>
        <v>0</v>
      </c>
      <c r="T39" s="85">
        <f t="shared" si="5"/>
        <v>0</v>
      </c>
      <c r="U39" s="66"/>
      <c r="V39" s="192">
        <f t="shared" si="6"/>
        <v>0</v>
      </c>
    </row>
    <row r="40" spans="1:22" x14ac:dyDescent="0.25">
      <c r="A40" s="38" t="s">
        <v>268</v>
      </c>
      <c r="B40" s="39" t="s">
        <v>269</v>
      </c>
      <c r="C40" s="139">
        <f>SUM(C41)</f>
        <v>18000000</v>
      </c>
      <c r="D40" s="139">
        <f>SUM(D41)</f>
        <v>18000000</v>
      </c>
      <c r="E40" s="139">
        <f>SUM(E41)</f>
        <v>18000000</v>
      </c>
      <c r="F40" s="139">
        <f>SUM(F41)</f>
        <v>18000000</v>
      </c>
      <c r="G40" s="95"/>
      <c r="H40" s="139">
        <f>SUM(H41)</f>
        <v>13495253</v>
      </c>
      <c r="I40" s="139">
        <f>SUM(I41)</f>
        <v>16959898</v>
      </c>
      <c r="J40" s="139">
        <f>SUM(J41)</f>
        <v>17983814</v>
      </c>
      <c r="K40" s="95"/>
      <c r="L40" s="591">
        <f t="shared" si="10"/>
        <v>0.74973627777777774</v>
      </c>
      <c r="M40" s="591">
        <f t="shared" si="10"/>
        <v>0.9422165555555555</v>
      </c>
      <c r="N40" s="591">
        <f t="shared" si="10"/>
        <v>0.99910077777777773</v>
      </c>
      <c r="O40" s="664"/>
      <c r="P40" s="95">
        <f>SUM(P41)</f>
        <v>0</v>
      </c>
      <c r="Q40" s="95">
        <f>SUM(Q41)</f>
        <v>0</v>
      </c>
      <c r="R40" s="95">
        <f>SUM(R41)</f>
        <v>0</v>
      </c>
      <c r="S40" s="95">
        <f t="shared" si="1"/>
        <v>0</v>
      </c>
      <c r="T40" s="85">
        <f t="shared" si="5"/>
        <v>0</v>
      </c>
      <c r="U40" s="95"/>
      <c r="V40" s="192">
        <f t="shared" si="6"/>
        <v>0</v>
      </c>
    </row>
    <row r="41" spans="1:22" x14ac:dyDescent="0.25">
      <c r="A41" s="38"/>
      <c r="B41" s="145" t="s">
        <v>270</v>
      </c>
      <c r="C41" s="141">
        <v>18000000</v>
      </c>
      <c r="D41" s="141">
        <v>18000000</v>
      </c>
      <c r="E41" s="141">
        <v>18000000</v>
      </c>
      <c r="F41" s="142">
        <v>18000000</v>
      </c>
      <c r="G41" s="142"/>
      <c r="H41" s="142">
        <f>12485099+1010154</f>
        <v>13495253</v>
      </c>
      <c r="I41" s="142">
        <v>16959898</v>
      </c>
      <c r="J41" s="142">
        <v>17983814</v>
      </c>
      <c r="K41" s="142"/>
      <c r="L41" s="592">
        <f t="shared" si="10"/>
        <v>0.74973627777777774</v>
      </c>
      <c r="M41" s="592">
        <f t="shared" si="10"/>
        <v>0.9422165555555555</v>
      </c>
      <c r="N41" s="592">
        <f t="shared" si="10"/>
        <v>0.99910077777777773</v>
      </c>
      <c r="O41" s="666"/>
      <c r="P41" s="81">
        <f>+(D41-C41)*P$8</f>
        <v>0</v>
      </c>
      <c r="Q41" s="81">
        <f>+(E41-D41)*Q$8</f>
        <v>0</v>
      </c>
      <c r="R41" s="81">
        <f>+(F41-E41)*R$8</f>
        <v>0</v>
      </c>
      <c r="S41" s="81">
        <f t="shared" si="1"/>
        <v>0</v>
      </c>
      <c r="T41" s="85">
        <f t="shared" si="5"/>
        <v>0</v>
      </c>
      <c r="U41" s="142"/>
      <c r="V41" s="192">
        <f t="shared" si="6"/>
        <v>0</v>
      </c>
    </row>
    <row r="42" spans="1:22" x14ac:dyDescent="0.25">
      <c r="A42" s="38" t="s">
        <v>271</v>
      </c>
      <c r="B42" s="39" t="s">
        <v>272</v>
      </c>
      <c r="C42" s="95">
        <f>SUM(C43+C46)</f>
        <v>218000000</v>
      </c>
      <c r="D42" s="95">
        <f>SUM(D43+D46)</f>
        <v>218000000</v>
      </c>
      <c r="E42" s="95">
        <f>SUM(E43+E46)</f>
        <v>218000000</v>
      </c>
      <c r="F42" s="95">
        <f>SUM(F43+F46)</f>
        <v>251758000</v>
      </c>
      <c r="G42" s="95"/>
      <c r="H42" s="95">
        <f>SUM(H43+H46)</f>
        <v>110692505</v>
      </c>
      <c r="I42" s="95">
        <f>SUM(I43+I46)</f>
        <v>168807145</v>
      </c>
      <c r="J42" s="95">
        <f>SUM(J43+J46)</f>
        <v>251758324</v>
      </c>
      <c r="K42" s="95"/>
      <c r="L42" s="591">
        <f t="shared" si="10"/>
        <v>0.50776378440366976</v>
      </c>
      <c r="M42" s="591">
        <f t="shared" si="10"/>
        <v>0.77434470183486237</v>
      </c>
      <c r="N42" s="591">
        <f t="shared" si="10"/>
        <v>1.1548546972477065</v>
      </c>
      <c r="O42" s="664"/>
      <c r="P42" s="95">
        <f>SUM(P43+P46)</f>
        <v>0</v>
      </c>
      <c r="Q42" s="95">
        <f>SUM(Q43+Q46)</f>
        <v>0</v>
      </c>
      <c r="R42" s="95">
        <f>SUM(R43+R46)</f>
        <v>33758000</v>
      </c>
      <c r="S42" s="95">
        <f t="shared" si="1"/>
        <v>0</v>
      </c>
      <c r="T42" s="85">
        <f t="shared" si="5"/>
        <v>0</v>
      </c>
      <c r="U42" s="95"/>
      <c r="V42" s="192">
        <f t="shared" si="6"/>
        <v>0</v>
      </c>
    </row>
    <row r="43" spans="1:22" x14ac:dyDescent="0.25">
      <c r="A43" s="14" t="s">
        <v>273</v>
      </c>
      <c r="B43" s="479" t="s">
        <v>274</v>
      </c>
      <c r="C43" s="71">
        <f>SUM(C44:C45)</f>
        <v>190000000</v>
      </c>
      <c r="D43" s="71">
        <f>SUM(D44:D45)</f>
        <v>190000000</v>
      </c>
      <c r="E43" s="71">
        <f>SUM(E44:E45)</f>
        <v>190000000</v>
      </c>
      <c r="F43" s="71">
        <f>SUM(F44:F45)</f>
        <v>220172000</v>
      </c>
      <c r="G43" s="71"/>
      <c r="H43" s="71">
        <f>SUM(H44:H45)</f>
        <v>97046572</v>
      </c>
      <c r="I43" s="71">
        <f>SUM(I44:I45)</f>
        <v>144209000</v>
      </c>
      <c r="J43" s="71">
        <f>SUM(J44:J45)</f>
        <v>220172325</v>
      </c>
      <c r="K43" s="71"/>
      <c r="L43" s="591">
        <f t="shared" si="10"/>
        <v>0.51077143157894733</v>
      </c>
      <c r="M43" s="591">
        <f t="shared" si="10"/>
        <v>0.75899473684210528</v>
      </c>
      <c r="N43" s="587">
        <f t="shared" si="10"/>
        <v>1.1588017105263158</v>
      </c>
      <c r="O43" s="91"/>
      <c r="P43" s="81">
        <f t="shared" ref="P43:R46" si="11">+(D43-C43)*P$8</f>
        <v>0</v>
      </c>
      <c r="Q43" s="81">
        <f t="shared" si="11"/>
        <v>0</v>
      </c>
      <c r="R43" s="81">
        <f t="shared" si="11"/>
        <v>30172000</v>
      </c>
      <c r="S43" s="81">
        <f t="shared" si="1"/>
        <v>0</v>
      </c>
      <c r="T43" s="85">
        <f t="shared" si="5"/>
        <v>0</v>
      </c>
      <c r="U43" s="71"/>
      <c r="V43" s="192">
        <f t="shared" si="6"/>
        <v>0</v>
      </c>
    </row>
    <row r="44" spans="1:22" x14ac:dyDescent="0.25">
      <c r="A44" s="14"/>
      <c r="B44" s="146" t="s">
        <v>275</v>
      </c>
      <c r="C44" s="71">
        <v>0</v>
      </c>
      <c r="D44" s="71">
        <v>0</v>
      </c>
      <c r="E44" s="71">
        <v>0</v>
      </c>
      <c r="F44" s="68"/>
      <c r="G44" s="68"/>
      <c r="H44" s="68"/>
      <c r="I44" s="68"/>
      <c r="J44" s="68"/>
      <c r="K44" s="68"/>
      <c r="L44" s="591">
        <f t="shared" si="10"/>
        <v>0</v>
      </c>
      <c r="M44" s="591">
        <f t="shared" si="10"/>
        <v>0</v>
      </c>
      <c r="N44" s="587">
        <f t="shared" si="10"/>
        <v>0</v>
      </c>
      <c r="O44" s="93"/>
      <c r="P44" s="81">
        <f t="shared" si="11"/>
        <v>0</v>
      </c>
      <c r="Q44" s="81">
        <f t="shared" si="11"/>
        <v>0</v>
      </c>
      <c r="R44" s="81">
        <f t="shared" si="11"/>
        <v>0</v>
      </c>
      <c r="S44" s="81">
        <f t="shared" si="1"/>
        <v>0</v>
      </c>
      <c r="T44" s="85">
        <f t="shared" si="5"/>
        <v>0</v>
      </c>
      <c r="U44" s="68"/>
      <c r="V44" s="192">
        <f t="shared" si="6"/>
        <v>0</v>
      </c>
    </row>
    <row r="45" spans="1:22" x14ac:dyDescent="0.25">
      <c r="A45" s="14"/>
      <c r="B45" s="147" t="s">
        <v>395</v>
      </c>
      <c r="C45" s="71">
        <v>190000000</v>
      </c>
      <c r="D45" s="71">
        <v>190000000</v>
      </c>
      <c r="E45" s="71">
        <v>190000000</v>
      </c>
      <c r="F45" s="68">
        <v>220172000</v>
      </c>
      <c r="G45" s="68"/>
      <c r="H45" s="68">
        <v>97046572</v>
      </c>
      <c r="I45" s="68">
        <v>144209000</v>
      </c>
      <c r="J45" s="68">
        <v>220172325</v>
      </c>
      <c r="K45" s="68"/>
      <c r="L45" s="591">
        <f t="shared" si="10"/>
        <v>0.51077143157894733</v>
      </c>
      <c r="M45" s="591">
        <f t="shared" si="10"/>
        <v>0.75899473684210528</v>
      </c>
      <c r="N45" s="591">
        <f t="shared" si="10"/>
        <v>1.1588017105263158</v>
      </c>
      <c r="O45" s="93"/>
      <c r="P45" s="81">
        <f t="shared" si="11"/>
        <v>0</v>
      </c>
      <c r="Q45" s="81">
        <f t="shared" si="11"/>
        <v>0</v>
      </c>
      <c r="R45" s="81">
        <f t="shared" si="11"/>
        <v>30172000</v>
      </c>
      <c r="S45" s="81">
        <f t="shared" si="1"/>
        <v>0</v>
      </c>
      <c r="T45" s="85">
        <f t="shared" si="5"/>
        <v>0</v>
      </c>
      <c r="U45" s="68"/>
      <c r="V45" s="192">
        <f t="shared" si="6"/>
        <v>0</v>
      </c>
    </row>
    <row r="46" spans="1:22" x14ac:dyDescent="0.25">
      <c r="A46" s="14" t="s">
        <v>276</v>
      </c>
      <c r="B46" s="44" t="s">
        <v>396</v>
      </c>
      <c r="C46" s="71">
        <v>28000000</v>
      </c>
      <c r="D46" s="71">
        <v>28000000</v>
      </c>
      <c r="E46" s="71">
        <v>28000000</v>
      </c>
      <c r="F46" s="68">
        <v>31586000</v>
      </c>
      <c r="G46" s="68"/>
      <c r="H46" s="68">
        <v>13645933</v>
      </c>
      <c r="I46" s="68">
        <v>24598145</v>
      </c>
      <c r="J46" s="68">
        <v>31585999</v>
      </c>
      <c r="K46" s="68"/>
      <c r="L46" s="591">
        <f t="shared" si="10"/>
        <v>0.48735475</v>
      </c>
      <c r="M46" s="591">
        <f t="shared" si="10"/>
        <v>0.87850517857142862</v>
      </c>
      <c r="N46" s="591">
        <f t="shared" si="10"/>
        <v>1.1280713928571429</v>
      </c>
      <c r="O46" s="93"/>
      <c r="P46" s="81">
        <f t="shared" si="11"/>
        <v>0</v>
      </c>
      <c r="Q46" s="81">
        <f t="shared" si="11"/>
        <v>0</v>
      </c>
      <c r="R46" s="81">
        <f t="shared" si="11"/>
        <v>3586000</v>
      </c>
      <c r="S46" s="81">
        <f t="shared" si="1"/>
        <v>0</v>
      </c>
      <c r="T46" s="85">
        <f t="shared" si="5"/>
        <v>0</v>
      </c>
      <c r="U46" s="68"/>
      <c r="V46" s="192">
        <f t="shared" si="6"/>
        <v>0</v>
      </c>
    </row>
    <row r="47" spans="1:22" x14ac:dyDescent="0.25">
      <c r="A47" s="38" t="s">
        <v>277</v>
      </c>
      <c r="B47" s="39" t="s">
        <v>278</v>
      </c>
      <c r="C47" s="95">
        <f>SUM(C48:C49)</f>
        <v>2500000</v>
      </c>
      <c r="D47" s="95">
        <f>SUM(D48:D49)</f>
        <v>2500000</v>
      </c>
      <c r="E47" s="95">
        <f>SUM(E48:E49)</f>
        <v>2500000</v>
      </c>
      <c r="F47" s="95">
        <f>SUM(F48:F49)</f>
        <v>4691000</v>
      </c>
      <c r="G47" s="95"/>
      <c r="H47" s="95">
        <f>SUM(H48:H49)</f>
        <v>2299761</v>
      </c>
      <c r="I47" s="95">
        <f>SUM(I48:I49)</f>
        <v>2924265</v>
      </c>
      <c r="J47" s="95">
        <f>SUM(J48:J49)</f>
        <v>4691318</v>
      </c>
      <c r="K47" s="95"/>
      <c r="L47" s="591">
        <f t="shared" si="10"/>
        <v>0.91990439999999996</v>
      </c>
      <c r="M47" s="591">
        <f t="shared" si="10"/>
        <v>1.1697059999999999</v>
      </c>
      <c r="N47" s="591">
        <f t="shared" si="10"/>
        <v>1.8765272</v>
      </c>
      <c r="O47" s="664"/>
      <c r="P47" s="95">
        <f>SUM(P48:P49)</f>
        <v>0</v>
      </c>
      <c r="Q47" s="95">
        <f>SUM(Q48:Q49)</f>
        <v>0</v>
      </c>
      <c r="R47" s="95">
        <f>SUM(R48:R49)</f>
        <v>2191000</v>
      </c>
      <c r="S47" s="95">
        <f t="shared" si="1"/>
        <v>0</v>
      </c>
      <c r="T47" s="85">
        <f t="shared" si="5"/>
        <v>0</v>
      </c>
      <c r="U47" s="95"/>
      <c r="V47" s="192">
        <f t="shared" si="6"/>
        <v>0</v>
      </c>
    </row>
    <row r="48" spans="1:22" ht="63.6" customHeight="1" x14ac:dyDescent="0.25">
      <c r="A48" s="14"/>
      <c r="B48" s="581" t="s">
        <v>506</v>
      </c>
      <c r="C48" s="71">
        <v>2500000</v>
      </c>
      <c r="D48" s="71">
        <v>2500000</v>
      </c>
      <c r="E48" s="71">
        <v>2500000</v>
      </c>
      <c r="F48" s="68">
        <v>4691000</v>
      </c>
      <c r="G48" s="68"/>
      <c r="H48" s="68">
        <v>2299761</v>
      </c>
      <c r="I48" s="68">
        <v>2924265</v>
      </c>
      <c r="J48" s="68">
        <v>4691318</v>
      </c>
      <c r="K48" s="68"/>
      <c r="L48" s="591">
        <f t="shared" si="10"/>
        <v>0.91990439999999996</v>
      </c>
      <c r="M48" s="591">
        <f t="shared" si="10"/>
        <v>1.1697059999999999</v>
      </c>
      <c r="N48" s="591">
        <f t="shared" si="10"/>
        <v>1.8765272</v>
      </c>
      <c r="O48" s="93"/>
      <c r="P48" s="81">
        <f t="shared" ref="P48:R49" si="12">+(D48-C48)*P$8</f>
        <v>0</v>
      </c>
      <c r="Q48" s="81">
        <f t="shared" si="12"/>
        <v>0</v>
      </c>
      <c r="R48" s="81">
        <f t="shared" si="12"/>
        <v>2191000</v>
      </c>
      <c r="S48" s="81">
        <f t="shared" si="1"/>
        <v>0</v>
      </c>
      <c r="T48" s="85">
        <f t="shared" si="5"/>
        <v>0</v>
      </c>
      <c r="U48" s="68"/>
      <c r="V48" s="192">
        <f t="shared" si="6"/>
        <v>0</v>
      </c>
    </row>
    <row r="49" spans="1:22" ht="35.1" hidden="1" customHeight="1" x14ac:dyDescent="0.25">
      <c r="A49" s="14"/>
      <c r="B49" s="146" t="s">
        <v>279</v>
      </c>
      <c r="C49" s="71">
        <v>0</v>
      </c>
      <c r="D49" s="68">
        <f>+C49</f>
        <v>0</v>
      </c>
      <c r="E49" s="68"/>
      <c r="F49" s="68"/>
      <c r="G49" s="68"/>
      <c r="H49" s="68">
        <v>0</v>
      </c>
      <c r="I49" s="68">
        <v>0</v>
      </c>
      <c r="J49" s="68"/>
      <c r="K49" s="68"/>
      <c r="L49" s="591">
        <f t="shared" si="10"/>
        <v>0</v>
      </c>
      <c r="M49" s="591">
        <f t="shared" si="10"/>
        <v>0</v>
      </c>
      <c r="N49" s="591">
        <f t="shared" si="10"/>
        <v>0</v>
      </c>
      <c r="O49" s="93"/>
      <c r="P49" s="81">
        <f t="shared" si="12"/>
        <v>0</v>
      </c>
      <c r="Q49" s="81">
        <f t="shared" si="12"/>
        <v>0</v>
      </c>
      <c r="R49" s="81">
        <f t="shared" si="12"/>
        <v>0</v>
      </c>
      <c r="S49" s="81">
        <f t="shared" si="1"/>
        <v>0</v>
      </c>
      <c r="T49" s="85">
        <f t="shared" si="5"/>
        <v>0</v>
      </c>
      <c r="U49" s="68"/>
      <c r="V49" s="192">
        <f t="shared" si="6"/>
        <v>0</v>
      </c>
    </row>
    <row r="50" spans="1:22" x14ac:dyDescent="0.25">
      <c r="A50" s="4" t="s">
        <v>280</v>
      </c>
      <c r="B50" s="3" t="s">
        <v>281</v>
      </c>
      <c r="C50" s="67">
        <f>SUM(C51:C66)</f>
        <v>228427649</v>
      </c>
      <c r="D50" s="67">
        <f>SUM(D51:D66)</f>
        <v>288427649</v>
      </c>
      <c r="E50" s="67">
        <f>SUM(E51:E66)</f>
        <v>327733560</v>
      </c>
      <c r="F50" s="67">
        <f>SUM(F51:F66)</f>
        <v>320559203</v>
      </c>
      <c r="G50" s="67"/>
      <c r="H50" s="67">
        <f>SUM(H51:H66)</f>
        <v>237582694</v>
      </c>
      <c r="I50" s="286">
        <f>SUM(I51:I66)</f>
        <v>304508752</v>
      </c>
      <c r="J50" s="286">
        <f>SUM(J51:J66)</f>
        <v>323809514</v>
      </c>
      <c r="K50" s="286"/>
      <c r="L50" s="661">
        <f t="shared" si="10"/>
        <v>1.0400785326998661</v>
      </c>
      <c r="M50" s="661">
        <f t="shared" si="10"/>
        <v>1.0557543739504669</v>
      </c>
      <c r="N50" s="600">
        <f t="shared" si="10"/>
        <v>0.98802671902139039</v>
      </c>
      <c r="O50" s="667"/>
      <c r="P50" s="286">
        <f>SUM(P51:P66)</f>
        <v>60000000</v>
      </c>
      <c r="Q50" s="67">
        <f>SUM(Q51:Q66)</f>
        <v>39305911</v>
      </c>
      <c r="R50" s="67">
        <f>SUM(R51:R66)</f>
        <v>-7174357</v>
      </c>
      <c r="S50" s="67">
        <f t="shared" si="1"/>
        <v>99305911</v>
      </c>
      <c r="T50" s="85">
        <f t="shared" si="5"/>
        <v>0.43473682557578658</v>
      </c>
      <c r="U50" s="67"/>
      <c r="V50" s="192">
        <f t="shared" si="6"/>
        <v>0</v>
      </c>
    </row>
    <row r="51" spans="1:22" x14ac:dyDescent="0.25">
      <c r="A51" s="14" t="s">
        <v>282</v>
      </c>
      <c r="B51" s="479" t="s">
        <v>474</v>
      </c>
      <c r="C51" s="71">
        <v>168757649</v>
      </c>
      <c r="D51" s="71">
        <v>168757649</v>
      </c>
      <c r="E51" s="71">
        <v>197333635</v>
      </c>
      <c r="F51" s="71">
        <v>197333635</v>
      </c>
      <c r="G51" s="71"/>
      <c r="H51" s="71">
        <v>197333635</v>
      </c>
      <c r="I51" s="71">
        <v>197333635</v>
      </c>
      <c r="J51" s="71">
        <v>197333635</v>
      </c>
      <c r="K51" s="71"/>
      <c r="L51" s="591">
        <f t="shared" si="10"/>
        <v>1.1693315009383665</v>
      </c>
      <c r="M51" s="591">
        <f t="shared" si="10"/>
        <v>1.1693315009383665</v>
      </c>
      <c r="N51" s="587">
        <f t="shared" si="10"/>
        <v>1</v>
      </c>
      <c r="O51" s="91"/>
      <c r="P51" s="71"/>
      <c r="Q51" s="81">
        <f t="shared" ref="Q51:Q66" si="13">+(E51-D51)*Q$8</f>
        <v>28575986</v>
      </c>
      <c r="R51" s="71"/>
      <c r="S51" s="81">
        <f t="shared" si="1"/>
        <v>28575986</v>
      </c>
      <c r="U51" s="71"/>
      <c r="V51" s="194"/>
    </row>
    <row r="52" spans="1:22" x14ac:dyDescent="0.25">
      <c r="A52" s="14" t="s">
        <v>283</v>
      </c>
      <c r="B52" s="20" t="s">
        <v>284</v>
      </c>
      <c r="C52" s="71">
        <v>33000000</v>
      </c>
      <c r="D52" s="71">
        <v>33000000</v>
      </c>
      <c r="E52" s="71">
        <v>33000000</v>
      </c>
      <c r="F52" s="68">
        <v>34125643</v>
      </c>
      <c r="G52" s="68"/>
      <c r="H52" s="68">
        <v>15108935</v>
      </c>
      <c r="I52" s="68">
        <v>26146455</v>
      </c>
      <c r="J52" s="68">
        <v>34126360</v>
      </c>
      <c r="K52" s="68"/>
      <c r="L52" s="591">
        <f t="shared" si="10"/>
        <v>0.45784651515151514</v>
      </c>
      <c r="M52" s="591">
        <f t="shared" si="10"/>
        <v>0.79231681818181821</v>
      </c>
      <c r="N52" s="591">
        <f t="shared" si="10"/>
        <v>1.0341321212121213</v>
      </c>
      <c r="O52" s="93"/>
      <c r="P52" s="81">
        <f t="shared" ref="P52:P66" si="14">+(D52-C52)*P$8</f>
        <v>0</v>
      </c>
      <c r="Q52" s="81">
        <f t="shared" si="13"/>
        <v>0</v>
      </c>
      <c r="R52" s="81">
        <f t="shared" ref="R52:R66" si="15">+(F52-E52)*R$8</f>
        <v>1125643</v>
      </c>
      <c r="S52" s="81">
        <f t="shared" si="1"/>
        <v>0</v>
      </c>
      <c r="T52" s="85">
        <f t="shared" ref="T52:T96" si="16">IF(C52=0,0,+S52/C52)</f>
        <v>0</v>
      </c>
      <c r="U52" s="68"/>
      <c r="V52" s="192">
        <f t="shared" ref="V52:V96" si="17">+S52-E52+C52</f>
        <v>0</v>
      </c>
    </row>
    <row r="53" spans="1:22" x14ac:dyDescent="0.25">
      <c r="A53" s="14" t="s">
        <v>285</v>
      </c>
      <c r="B53" s="20" t="s">
        <v>286</v>
      </c>
      <c r="C53" s="71">
        <v>21000000</v>
      </c>
      <c r="D53" s="71">
        <v>21000000</v>
      </c>
      <c r="E53" s="71">
        <v>21000000</v>
      </c>
      <c r="F53" s="68">
        <v>12700000</v>
      </c>
      <c r="G53" s="68"/>
      <c r="H53" s="68">
        <v>4626682</v>
      </c>
      <c r="I53" s="68">
        <v>5484213</v>
      </c>
      <c r="J53" s="68">
        <v>12612483</v>
      </c>
      <c r="K53" s="68"/>
      <c r="L53" s="591">
        <f t="shared" si="10"/>
        <v>0.22031819047619047</v>
      </c>
      <c r="M53" s="591">
        <f t="shared" si="10"/>
        <v>0.26115300000000002</v>
      </c>
      <c r="N53" s="591">
        <f t="shared" si="10"/>
        <v>0.60059442857142853</v>
      </c>
      <c r="O53" s="93"/>
      <c r="P53" s="81">
        <f t="shared" si="14"/>
        <v>0</v>
      </c>
      <c r="Q53" s="81">
        <f t="shared" si="13"/>
        <v>0</v>
      </c>
      <c r="R53" s="81">
        <f t="shared" si="15"/>
        <v>-8300000</v>
      </c>
      <c r="S53" s="81">
        <f t="shared" si="1"/>
        <v>0</v>
      </c>
      <c r="T53" s="85">
        <f t="shared" si="16"/>
        <v>0</v>
      </c>
      <c r="U53" s="68"/>
      <c r="V53" s="192">
        <f t="shared" si="17"/>
        <v>0</v>
      </c>
    </row>
    <row r="54" spans="1:22" x14ac:dyDescent="0.25">
      <c r="A54" s="14"/>
      <c r="B54" s="20" t="s">
        <v>287</v>
      </c>
      <c r="C54" s="71"/>
      <c r="D54" s="71"/>
      <c r="E54" s="71"/>
      <c r="F54" s="68"/>
      <c r="G54" s="68"/>
      <c r="H54" s="68"/>
      <c r="I54" s="68"/>
      <c r="J54" s="68"/>
      <c r="K54" s="68"/>
      <c r="L54" s="591">
        <f t="shared" si="10"/>
        <v>0</v>
      </c>
      <c r="M54" s="591">
        <f t="shared" si="10"/>
        <v>0</v>
      </c>
      <c r="N54" s="587">
        <f t="shared" si="10"/>
        <v>0</v>
      </c>
      <c r="O54" s="93"/>
      <c r="P54" s="81">
        <f t="shared" si="14"/>
        <v>0</v>
      </c>
      <c r="Q54" s="81">
        <f t="shared" si="13"/>
        <v>0</v>
      </c>
      <c r="R54" s="81">
        <f t="shared" si="15"/>
        <v>0</v>
      </c>
      <c r="S54" s="81">
        <f t="shared" si="1"/>
        <v>0</v>
      </c>
      <c r="T54" s="85">
        <f t="shared" si="16"/>
        <v>0</v>
      </c>
      <c r="U54" s="68"/>
      <c r="V54" s="192">
        <f t="shared" si="17"/>
        <v>0</v>
      </c>
    </row>
    <row r="55" spans="1:22" x14ac:dyDescent="0.25">
      <c r="A55" s="14" t="s">
        <v>288</v>
      </c>
      <c r="B55" s="20" t="s">
        <v>289</v>
      </c>
      <c r="C55" s="71">
        <v>0</v>
      </c>
      <c r="D55" s="71">
        <v>0</v>
      </c>
      <c r="E55" s="71">
        <v>0</v>
      </c>
      <c r="F55" s="68"/>
      <c r="G55" s="68"/>
      <c r="H55" s="68">
        <v>0</v>
      </c>
      <c r="I55" s="68">
        <v>0</v>
      </c>
      <c r="J55" s="68"/>
      <c r="K55" s="68"/>
      <c r="L55" s="591">
        <f t="shared" ref="L55:N72" si="18">IF(H55&gt;0,H55/C55,0)</f>
        <v>0</v>
      </c>
      <c r="M55" s="591">
        <f t="shared" si="18"/>
        <v>0</v>
      </c>
      <c r="N55" s="587">
        <f t="shared" si="18"/>
        <v>0</v>
      </c>
      <c r="O55" s="93"/>
      <c r="P55" s="81">
        <f t="shared" si="14"/>
        <v>0</v>
      </c>
      <c r="Q55" s="81">
        <f t="shared" si="13"/>
        <v>0</v>
      </c>
      <c r="R55" s="81">
        <f t="shared" si="15"/>
        <v>0</v>
      </c>
      <c r="S55" s="81">
        <f t="shared" si="1"/>
        <v>0</v>
      </c>
      <c r="T55" s="85">
        <f t="shared" si="16"/>
        <v>0</v>
      </c>
      <c r="U55" s="68"/>
      <c r="V55" s="192">
        <f t="shared" si="17"/>
        <v>0</v>
      </c>
    </row>
    <row r="56" spans="1:22" ht="39.6" hidden="1" customHeight="1" x14ac:dyDescent="0.25">
      <c r="A56" s="14"/>
      <c r="B56" s="20" t="s">
        <v>290</v>
      </c>
      <c r="C56" s="71"/>
      <c r="D56" s="71"/>
      <c r="E56" s="71"/>
      <c r="F56" s="68"/>
      <c r="G56" s="68"/>
      <c r="H56" s="68"/>
      <c r="I56" s="68"/>
      <c r="J56" s="68"/>
      <c r="K56" s="68"/>
      <c r="L56" s="591">
        <f t="shared" si="18"/>
        <v>0</v>
      </c>
      <c r="M56" s="591">
        <f t="shared" si="18"/>
        <v>0</v>
      </c>
      <c r="N56" s="587">
        <f t="shared" si="18"/>
        <v>0</v>
      </c>
      <c r="O56" s="93"/>
      <c r="P56" s="81">
        <f t="shared" si="14"/>
        <v>0</v>
      </c>
      <c r="Q56" s="81">
        <f t="shared" si="13"/>
        <v>0</v>
      </c>
      <c r="R56" s="81">
        <f t="shared" si="15"/>
        <v>0</v>
      </c>
      <c r="S56" s="81">
        <f t="shared" si="1"/>
        <v>0</v>
      </c>
      <c r="T56" s="85">
        <f t="shared" si="16"/>
        <v>0</v>
      </c>
      <c r="U56" s="68"/>
      <c r="V56" s="192">
        <f t="shared" si="17"/>
        <v>0</v>
      </c>
    </row>
    <row r="57" spans="1:22" x14ac:dyDescent="0.25">
      <c r="A57" s="14" t="s">
        <v>291</v>
      </c>
      <c r="B57" s="20" t="s">
        <v>292</v>
      </c>
      <c r="C57" s="71"/>
      <c r="D57" s="71"/>
      <c r="E57" s="71"/>
      <c r="F57" s="68"/>
      <c r="G57" s="68"/>
      <c r="H57" s="68">
        <v>0</v>
      </c>
      <c r="I57" s="68">
        <v>0</v>
      </c>
      <c r="J57" s="68"/>
      <c r="K57" s="68"/>
      <c r="L57" s="591">
        <f t="shared" si="18"/>
        <v>0</v>
      </c>
      <c r="M57" s="591">
        <f t="shared" si="18"/>
        <v>0</v>
      </c>
      <c r="N57" s="587">
        <f t="shared" si="18"/>
        <v>0</v>
      </c>
      <c r="O57" s="93"/>
      <c r="P57" s="81">
        <f t="shared" si="14"/>
        <v>0</v>
      </c>
      <c r="Q57" s="81">
        <f t="shared" si="13"/>
        <v>0</v>
      </c>
      <c r="R57" s="81">
        <f t="shared" si="15"/>
        <v>0</v>
      </c>
      <c r="S57" s="81">
        <f t="shared" si="1"/>
        <v>0</v>
      </c>
      <c r="T57" s="85">
        <f t="shared" si="16"/>
        <v>0</v>
      </c>
      <c r="U57" s="68"/>
      <c r="V57" s="192">
        <f t="shared" si="17"/>
        <v>0</v>
      </c>
    </row>
    <row r="58" spans="1:22" ht="70.2" hidden="1" customHeight="1" x14ac:dyDescent="0.25">
      <c r="A58" s="14"/>
      <c r="B58" s="20" t="s">
        <v>293</v>
      </c>
      <c r="C58" s="71"/>
      <c r="D58" s="71"/>
      <c r="E58" s="71"/>
      <c r="F58" s="68"/>
      <c r="G58" s="68"/>
      <c r="H58" s="68"/>
      <c r="I58" s="68"/>
      <c r="J58" s="68"/>
      <c r="K58" s="68"/>
      <c r="L58" s="591">
        <f t="shared" si="18"/>
        <v>0</v>
      </c>
      <c r="M58" s="591">
        <f t="shared" si="18"/>
        <v>0</v>
      </c>
      <c r="N58" s="587">
        <f t="shared" si="18"/>
        <v>0</v>
      </c>
      <c r="O58" s="93"/>
      <c r="P58" s="81">
        <f t="shared" si="14"/>
        <v>0</v>
      </c>
      <c r="Q58" s="81">
        <f t="shared" si="13"/>
        <v>0</v>
      </c>
      <c r="R58" s="81">
        <f t="shared" si="15"/>
        <v>0</v>
      </c>
      <c r="S58" s="81">
        <f t="shared" si="1"/>
        <v>0</v>
      </c>
      <c r="T58" s="85">
        <f t="shared" si="16"/>
        <v>0</v>
      </c>
      <c r="U58" s="68"/>
      <c r="V58" s="192">
        <f t="shared" si="17"/>
        <v>0</v>
      </c>
    </row>
    <row r="59" spans="1:22" x14ac:dyDescent="0.25">
      <c r="A59" s="14" t="s">
        <v>294</v>
      </c>
      <c r="B59" s="20" t="s">
        <v>295</v>
      </c>
      <c r="C59" s="71">
        <f>+C53*0.27</f>
        <v>5670000</v>
      </c>
      <c r="D59" s="71">
        <f>+D53*0.27</f>
        <v>5670000</v>
      </c>
      <c r="E59" s="71">
        <v>8670000</v>
      </c>
      <c r="F59" s="68">
        <v>8670000</v>
      </c>
      <c r="G59" s="68"/>
      <c r="H59" s="68">
        <v>6983675</v>
      </c>
      <c r="I59" s="68">
        <v>7848037</v>
      </c>
      <c r="J59" s="68">
        <v>11798260</v>
      </c>
      <c r="K59" s="68"/>
      <c r="L59" s="591">
        <f t="shared" si="18"/>
        <v>1.2316887125220459</v>
      </c>
      <c r="M59" s="591">
        <f t="shared" si="18"/>
        <v>1.3841335097001763</v>
      </c>
      <c r="N59" s="591">
        <f t="shared" si="18"/>
        <v>1.3608143021914649</v>
      </c>
      <c r="O59" s="93"/>
      <c r="P59" s="81">
        <f t="shared" si="14"/>
        <v>0</v>
      </c>
      <c r="Q59" s="81">
        <f t="shared" si="13"/>
        <v>3000000</v>
      </c>
      <c r="R59" s="81">
        <f t="shared" si="15"/>
        <v>0</v>
      </c>
      <c r="S59" s="81">
        <f t="shared" si="1"/>
        <v>3000000</v>
      </c>
      <c r="T59" s="85">
        <f t="shared" si="16"/>
        <v>0.52910052910052907</v>
      </c>
      <c r="U59" s="68"/>
      <c r="V59" s="192">
        <f t="shared" si="17"/>
        <v>0</v>
      </c>
    </row>
    <row r="60" spans="1:22" x14ac:dyDescent="0.25">
      <c r="A60" s="14" t="s">
        <v>296</v>
      </c>
      <c r="B60" s="20" t="s">
        <v>297</v>
      </c>
      <c r="C60" s="71"/>
      <c r="D60" s="68">
        <v>0</v>
      </c>
      <c r="E60" s="68">
        <v>0</v>
      </c>
      <c r="F60" s="68"/>
      <c r="G60" s="68"/>
      <c r="H60" s="68"/>
      <c r="I60" s="68"/>
      <c r="J60" s="68"/>
      <c r="K60" s="68"/>
      <c r="L60" s="591">
        <f t="shared" si="18"/>
        <v>0</v>
      </c>
      <c r="M60" s="591">
        <f t="shared" si="18"/>
        <v>0</v>
      </c>
      <c r="N60" s="587">
        <f t="shared" si="18"/>
        <v>0</v>
      </c>
      <c r="O60" s="93"/>
      <c r="P60" s="81">
        <f t="shared" si="14"/>
        <v>0</v>
      </c>
      <c r="Q60" s="81">
        <f t="shared" si="13"/>
        <v>0</v>
      </c>
      <c r="R60" s="81">
        <f t="shared" si="15"/>
        <v>0</v>
      </c>
      <c r="S60" s="81">
        <f t="shared" si="1"/>
        <v>0</v>
      </c>
      <c r="T60" s="85">
        <f t="shared" si="16"/>
        <v>0</v>
      </c>
      <c r="U60" s="68"/>
      <c r="V60" s="192">
        <f t="shared" si="17"/>
        <v>0</v>
      </c>
    </row>
    <row r="61" spans="1:22" x14ac:dyDescent="0.25">
      <c r="A61" s="14"/>
      <c r="B61" s="20" t="s">
        <v>298</v>
      </c>
      <c r="C61" s="71"/>
      <c r="D61" s="68"/>
      <c r="E61" s="68"/>
      <c r="F61" s="68"/>
      <c r="G61" s="68"/>
      <c r="H61" s="68"/>
      <c r="I61" s="68"/>
      <c r="J61" s="68"/>
      <c r="K61" s="68"/>
      <c r="L61" s="591">
        <f t="shared" si="18"/>
        <v>0</v>
      </c>
      <c r="M61" s="591">
        <f t="shared" si="18"/>
        <v>0</v>
      </c>
      <c r="N61" s="587">
        <f t="shared" si="18"/>
        <v>0</v>
      </c>
      <c r="O61" s="93"/>
      <c r="P61" s="81">
        <f t="shared" si="14"/>
        <v>0</v>
      </c>
      <c r="Q61" s="81">
        <f t="shared" si="13"/>
        <v>0</v>
      </c>
      <c r="R61" s="81">
        <f t="shared" si="15"/>
        <v>0</v>
      </c>
      <c r="S61" s="81">
        <f t="shared" si="1"/>
        <v>0</v>
      </c>
      <c r="T61" s="85">
        <f t="shared" si="16"/>
        <v>0</v>
      </c>
      <c r="U61" s="68"/>
      <c r="V61" s="192">
        <f t="shared" si="17"/>
        <v>0</v>
      </c>
    </row>
    <row r="62" spans="1:22" x14ac:dyDescent="0.25">
      <c r="A62" s="14" t="s">
        <v>299</v>
      </c>
      <c r="B62" s="20" t="s">
        <v>300</v>
      </c>
      <c r="C62" s="71">
        <v>0</v>
      </c>
      <c r="D62" s="68">
        <v>0</v>
      </c>
      <c r="E62" s="68">
        <v>3483310</v>
      </c>
      <c r="F62" s="68">
        <v>3483310</v>
      </c>
      <c r="G62" s="68"/>
      <c r="H62" s="68">
        <v>8915</v>
      </c>
      <c r="I62" s="68">
        <v>3483310</v>
      </c>
      <c r="J62" s="68">
        <v>3488291</v>
      </c>
      <c r="K62" s="68"/>
      <c r="L62" s="591" t="e">
        <f t="shared" si="18"/>
        <v>#DIV/0!</v>
      </c>
      <c r="M62" s="591" t="e">
        <f t="shared" si="18"/>
        <v>#DIV/0!</v>
      </c>
      <c r="N62" s="591">
        <f t="shared" si="18"/>
        <v>1.001429961731801</v>
      </c>
      <c r="O62" s="93"/>
      <c r="P62" s="81">
        <f t="shared" si="14"/>
        <v>0</v>
      </c>
      <c r="Q62" s="81">
        <f t="shared" si="13"/>
        <v>3483310</v>
      </c>
      <c r="R62" s="81">
        <f t="shared" si="15"/>
        <v>0</v>
      </c>
      <c r="S62" s="81">
        <f t="shared" si="1"/>
        <v>3483310</v>
      </c>
      <c r="T62" s="85">
        <f t="shared" si="16"/>
        <v>0</v>
      </c>
      <c r="U62" s="68"/>
      <c r="V62" s="192">
        <f t="shared" si="17"/>
        <v>0</v>
      </c>
    </row>
    <row r="63" spans="1:22" x14ac:dyDescent="0.25">
      <c r="A63" s="14" t="s">
        <v>301</v>
      </c>
      <c r="B63" s="20" t="s">
        <v>302</v>
      </c>
      <c r="C63" s="71">
        <v>0</v>
      </c>
      <c r="D63" s="68">
        <v>0</v>
      </c>
      <c r="E63" s="68">
        <v>4054875</v>
      </c>
      <c r="F63" s="68">
        <v>4054875</v>
      </c>
      <c r="G63" s="68"/>
      <c r="H63" s="68">
        <v>4054875</v>
      </c>
      <c r="I63" s="68">
        <v>4054875</v>
      </c>
      <c r="J63" s="68">
        <v>4054875</v>
      </c>
      <c r="K63" s="68"/>
      <c r="L63" s="591" t="e">
        <f t="shared" si="18"/>
        <v>#DIV/0!</v>
      </c>
      <c r="M63" s="591" t="e">
        <f t="shared" si="18"/>
        <v>#DIV/0!</v>
      </c>
      <c r="N63" s="591">
        <f t="shared" si="18"/>
        <v>1</v>
      </c>
      <c r="O63" s="93"/>
      <c r="P63" s="81">
        <f t="shared" si="14"/>
        <v>0</v>
      </c>
      <c r="Q63" s="81">
        <f t="shared" si="13"/>
        <v>4054875</v>
      </c>
      <c r="R63" s="81">
        <f t="shared" si="15"/>
        <v>0</v>
      </c>
      <c r="S63" s="81">
        <f t="shared" si="1"/>
        <v>4054875</v>
      </c>
      <c r="T63" s="85">
        <f t="shared" si="16"/>
        <v>0</v>
      </c>
      <c r="U63" s="68"/>
      <c r="V63" s="192">
        <f t="shared" si="17"/>
        <v>0</v>
      </c>
    </row>
    <row r="64" spans="1:22" ht="52.5" hidden="1" customHeight="1" x14ac:dyDescent="0.25">
      <c r="A64" s="14"/>
      <c r="B64" s="20" t="s">
        <v>303</v>
      </c>
      <c r="C64" s="71"/>
      <c r="D64" s="68"/>
      <c r="E64" s="68"/>
      <c r="F64" s="68"/>
      <c r="G64" s="68"/>
      <c r="H64" s="68"/>
      <c r="I64" s="68"/>
      <c r="J64" s="68"/>
      <c r="K64" s="68"/>
      <c r="L64" s="591">
        <f t="shared" si="18"/>
        <v>0</v>
      </c>
      <c r="M64" s="591">
        <f t="shared" si="18"/>
        <v>0</v>
      </c>
      <c r="N64" s="591">
        <f t="shared" si="18"/>
        <v>0</v>
      </c>
      <c r="O64" s="93"/>
      <c r="P64" s="81">
        <f t="shared" si="14"/>
        <v>0</v>
      </c>
      <c r="Q64" s="81">
        <f t="shared" si="13"/>
        <v>0</v>
      </c>
      <c r="R64" s="81">
        <f t="shared" si="15"/>
        <v>0</v>
      </c>
      <c r="S64" s="81">
        <f t="shared" si="1"/>
        <v>0</v>
      </c>
      <c r="T64" s="85">
        <f t="shared" si="16"/>
        <v>0</v>
      </c>
      <c r="U64" s="68"/>
      <c r="V64" s="192">
        <f t="shared" si="17"/>
        <v>0</v>
      </c>
    </row>
    <row r="65" spans="1:22" x14ac:dyDescent="0.25">
      <c r="A65" s="526" t="s">
        <v>521</v>
      </c>
      <c r="B65" s="20" t="s">
        <v>304</v>
      </c>
      <c r="C65" s="71">
        <v>0</v>
      </c>
      <c r="D65" s="68">
        <v>60000000</v>
      </c>
      <c r="E65" s="68">
        <f>60100000+91740</f>
        <v>60191740</v>
      </c>
      <c r="F65" s="68">
        <f>91740+60100000</f>
        <v>60191740</v>
      </c>
      <c r="G65" s="68"/>
      <c r="H65" s="68">
        <f>91740+9374237</f>
        <v>9465977</v>
      </c>
      <c r="I65" s="68">
        <f>60066487+91740</f>
        <v>60158227</v>
      </c>
      <c r="J65" s="68">
        <f>91740+60303870</f>
        <v>60395610</v>
      </c>
      <c r="K65" s="68"/>
      <c r="L65" s="591" t="e">
        <f t="shared" si="18"/>
        <v>#DIV/0!</v>
      </c>
      <c r="M65" s="591">
        <f t="shared" si="18"/>
        <v>1.0026371166666668</v>
      </c>
      <c r="N65" s="591">
        <f t="shared" si="18"/>
        <v>1.0033870095797197</v>
      </c>
      <c r="O65" s="93"/>
      <c r="P65" s="81">
        <f t="shared" si="14"/>
        <v>60000000</v>
      </c>
      <c r="Q65" s="81">
        <f t="shared" si="13"/>
        <v>191740</v>
      </c>
      <c r="R65" s="81">
        <f t="shared" si="15"/>
        <v>0</v>
      </c>
      <c r="S65" s="81">
        <f t="shared" si="1"/>
        <v>60191740</v>
      </c>
      <c r="T65" s="85">
        <f t="shared" si="16"/>
        <v>0</v>
      </c>
      <c r="U65" s="68"/>
      <c r="V65" s="192">
        <f t="shared" si="17"/>
        <v>0</v>
      </c>
    </row>
    <row r="66" spans="1:22" ht="39" hidden="1" customHeight="1" x14ac:dyDescent="0.25">
      <c r="A66" s="14"/>
      <c r="B66" s="20" t="s">
        <v>305</v>
      </c>
      <c r="C66" s="143"/>
      <c r="D66" s="144">
        <v>0</v>
      </c>
      <c r="E66" s="144"/>
      <c r="F66" s="144"/>
      <c r="G66" s="144"/>
      <c r="H66" s="144">
        <v>0</v>
      </c>
      <c r="I66" s="144"/>
      <c r="J66" s="144"/>
      <c r="K66" s="144"/>
      <c r="L66" s="591">
        <f t="shared" si="18"/>
        <v>0</v>
      </c>
      <c r="M66" s="591">
        <f t="shared" si="18"/>
        <v>0</v>
      </c>
      <c r="N66" s="591">
        <f t="shared" si="18"/>
        <v>0</v>
      </c>
      <c r="O66" s="668"/>
      <c r="P66" s="81">
        <f t="shared" si="14"/>
        <v>0</v>
      </c>
      <c r="Q66" s="81">
        <f t="shared" si="13"/>
        <v>0</v>
      </c>
      <c r="R66" s="81">
        <f t="shared" si="15"/>
        <v>0</v>
      </c>
      <c r="S66" s="81">
        <f t="shared" si="1"/>
        <v>0</v>
      </c>
      <c r="T66" s="85">
        <f t="shared" si="16"/>
        <v>0</v>
      </c>
      <c r="U66" s="144"/>
      <c r="V66" s="192">
        <f t="shared" si="17"/>
        <v>0</v>
      </c>
    </row>
    <row r="67" spans="1:22" x14ac:dyDescent="0.25">
      <c r="A67" s="4" t="s">
        <v>306</v>
      </c>
      <c r="B67" s="3" t="s">
        <v>307</v>
      </c>
      <c r="C67" s="66">
        <f>SUM(C68:C71)</f>
        <v>99395520</v>
      </c>
      <c r="D67" s="67">
        <f>SUM(D68:D71)</f>
        <v>99395520</v>
      </c>
      <c r="E67" s="67">
        <f>SUM(E68:E71)</f>
        <v>60089609</v>
      </c>
      <c r="F67" s="67">
        <f>SUM(F68:F71)</f>
        <v>40240223</v>
      </c>
      <c r="G67" s="67"/>
      <c r="H67" s="67">
        <f>SUM(H68:H71)</f>
        <v>24370866</v>
      </c>
      <c r="I67" s="67">
        <f>SUM(I68:I71)</f>
        <v>27956388</v>
      </c>
      <c r="J67" s="67">
        <f>SUM(J68:J71)</f>
        <v>36042225</v>
      </c>
      <c r="K67" s="67"/>
      <c r="L67" s="661">
        <f t="shared" si="18"/>
        <v>0.24519078928305824</v>
      </c>
      <c r="M67" s="661">
        <f t="shared" si="18"/>
        <v>0.28126406502023432</v>
      </c>
      <c r="N67" s="591">
        <f t="shared" si="18"/>
        <v>0.59980794682821115</v>
      </c>
      <c r="O67" s="636"/>
      <c r="P67" s="67">
        <f>SUM(P68:P71)</f>
        <v>0</v>
      </c>
      <c r="Q67" s="67">
        <f>SUM(Q68:Q71)</f>
        <v>-39305911</v>
      </c>
      <c r="R67" s="67">
        <f>SUM(R68:R71)</f>
        <v>-19849386</v>
      </c>
      <c r="S67" s="67">
        <f t="shared" si="1"/>
        <v>-39305911</v>
      </c>
      <c r="T67" s="85">
        <f t="shared" si="16"/>
        <v>-0.39544952327831273</v>
      </c>
      <c r="U67" s="67"/>
      <c r="V67" s="192">
        <f t="shared" si="17"/>
        <v>0</v>
      </c>
    </row>
    <row r="68" spans="1:22" x14ac:dyDescent="0.25">
      <c r="A68" s="14" t="s">
        <v>308</v>
      </c>
      <c r="B68" s="20" t="s">
        <v>309</v>
      </c>
      <c r="C68" s="71"/>
      <c r="D68" s="68"/>
      <c r="E68" s="71"/>
      <c r="F68" s="71"/>
      <c r="G68" s="71"/>
      <c r="H68" s="71"/>
      <c r="I68" s="71"/>
      <c r="J68" s="71"/>
      <c r="K68" s="71"/>
      <c r="L68" s="591">
        <f t="shared" si="18"/>
        <v>0</v>
      </c>
      <c r="M68" s="591">
        <f t="shared" si="18"/>
        <v>0</v>
      </c>
      <c r="N68" s="591">
        <f t="shared" si="18"/>
        <v>0</v>
      </c>
      <c r="O68" s="91"/>
      <c r="P68" s="81">
        <f t="shared" ref="P68:R71" si="19">+(D68-C68)*P$8</f>
        <v>0</v>
      </c>
      <c r="Q68" s="81">
        <f t="shared" si="19"/>
        <v>0</v>
      </c>
      <c r="R68" s="81">
        <f t="shared" si="19"/>
        <v>0</v>
      </c>
      <c r="S68" s="81">
        <f t="shared" si="1"/>
        <v>0</v>
      </c>
      <c r="T68" s="85">
        <f t="shared" si="16"/>
        <v>0</v>
      </c>
      <c r="U68" s="71"/>
      <c r="V68" s="192">
        <f t="shared" si="17"/>
        <v>0</v>
      </c>
    </row>
    <row r="69" spans="1:22" x14ac:dyDescent="0.25">
      <c r="A69" s="14" t="s">
        <v>310</v>
      </c>
      <c r="B69" s="20" t="s">
        <v>311</v>
      </c>
      <c r="C69" s="71">
        <v>99395520</v>
      </c>
      <c r="D69" s="68">
        <v>99395520</v>
      </c>
      <c r="E69" s="68">
        <v>60089609</v>
      </c>
      <c r="F69" s="68">
        <v>40240223</v>
      </c>
      <c r="G69" s="68"/>
      <c r="H69" s="68">
        <v>22898425</v>
      </c>
      <c r="I69" s="68">
        <v>26483947</v>
      </c>
      <c r="J69" s="68">
        <v>34569784</v>
      </c>
      <c r="K69" s="68"/>
      <c r="L69" s="591">
        <f t="shared" si="18"/>
        <v>0.23037683187330776</v>
      </c>
      <c r="M69" s="591">
        <f t="shared" si="18"/>
        <v>0.26645010761048388</v>
      </c>
      <c r="N69" s="591">
        <f t="shared" si="18"/>
        <v>0.57530385994024358</v>
      </c>
      <c r="O69" s="93"/>
      <c r="P69" s="81">
        <f t="shared" si="19"/>
        <v>0</v>
      </c>
      <c r="Q69" s="81">
        <f t="shared" si="19"/>
        <v>-39305911</v>
      </c>
      <c r="R69" s="81">
        <f t="shared" si="19"/>
        <v>-19849386</v>
      </c>
      <c r="S69" s="81">
        <f t="shared" si="1"/>
        <v>-39305911</v>
      </c>
      <c r="T69" s="85">
        <f t="shared" si="16"/>
        <v>-0.39544952327831273</v>
      </c>
      <c r="U69" s="68"/>
      <c r="V69" s="192">
        <f t="shared" si="17"/>
        <v>0</v>
      </c>
    </row>
    <row r="70" spans="1:22" x14ac:dyDescent="0.25">
      <c r="A70" s="14" t="s">
        <v>312</v>
      </c>
      <c r="B70" s="20" t="s">
        <v>313</v>
      </c>
      <c r="C70" s="71">
        <v>0</v>
      </c>
      <c r="D70" s="68">
        <v>0</v>
      </c>
      <c r="E70" s="68">
        <v>0</v>
      </c>
      <c r="F70" s="68"/>
      <c r="G70" s="68"/>
      <c r="H70" s="68">
        <v>1472441</v>
      </c>
      <c r="I70" s="68">
        <v>1472441</v>
      </c>
      <c r="J70" s="68">
        <v>1472441</v>
      </c>
      <c r="K70" s="68"/>
      <c r="L70" s="591" t="e">
        <f t="shared" si="18"/>
        <v>#DIV/0!</v>
      </c>
      <c r="M70" s="591" t="e">
        <f t="shared" si="18"/>
        <v>#DIV/0!</v>
      </c>
      <c r="N70" s="591" t="e">
        <f t="shared" si="18"/>
        <v>#DIV/0!</v>
      </c>
      <c r="O70" s="93"/>
      <c r="P70" s="81">
        <f t="shared" si="19"/>
        <v>0</v>
      </c>
      <c r="Q70" s="81">
        <f t="shared" si="19"/>
        <v>0</v>
      </c>
      <c r="R70" s="81">
        <f t="shared" si="19"/>
        <v>0</v>
      </c>
      <c r="S70" s="81">
        <f t="shared" si="1"/>
        <v>0</v>
      </c>
      <c r="T70" s="85">
        <f t="shared" si="16"/>
        <v>0</v>
      </c>
      <c r="U70" s="68"/>
      <c r="V70" s="192">
        <f t="shared" si="17"/>
        <v>0</v>
      </c>
    </row>
    <row r="71" spans="1:22" x14ac:dyDescent="0.25">
      <c r="A71" s="14" t="s">
        <v>314</v>
      </c>
      <c r="B71" s="20" t="s">
        <v>315</v>
      </c>
      <c r="C71" s="71"/>
      <c r="D71" s="68"/>
      <c r="E71" s="71"/>
      <c r="F71" s="71"/>
      <c r="G71" s="71"/>
      <c r="H71" s="71"/>
      <c r="I71" s="71"/>
      <c r="J71" s="71"/>
      <c r="K71" s="71"/>
      <c r="L71" s="591">
        <f t="shared" si="18"/>
        <v>0</v>
      </c>
      <c r="M71" s="591">
        <f t="shared" si="18"/>
        <v>0</v>
      </c>
      <c r="N71" s="591">
        <f t="shared" si="18"/>
        <v>0</v>
      </c>
      <c r="O71" s="91"/>
      <c r="P71" s="81">
        <f t="shared" si="19"/>
        <v>0</v>
      </c>
      <c r="Q71" s="81">
        <f t="shared" si="19"/>
        <v>0</v>
      </c>
      <c r="R71" s="81">
        <f t="shared" si="19"/>
        <v>0</v>
      </c>
      <c r="S71" s="81">
        <f t="shared" si="1"/>
        <v>0</v>
      </c>
      <c r="T71" s="85">
        <f t="shared" si="16"/>
        <v>0</v>
      </c>
      <c r="U71" s="71"/>
      <c r="V71" s="192">
        <f t="shared" si="17"/>
        <v>0</v>
      </c>
    </row>
    <row r="72" spans="1:22" x14ac:dyDescent="0.25">
      <c r="A72" s="4" t="s">
        <v>316</v>
      </c>
      <c r="B72" s="3" t="s">
        <v>317</v>
      </c>
      <c r="C72" s="66">
        <f>SUM(C73:C75)</f>
        <v>0</v>
      </c>
      <c r="D72" s="66">
        <f>SUM(D73:D75)</f>
        <v>0</v>
      </c>
      <c r="E72" s="66">
        <f>SUM(E73:E75)</f>
        <v>10037947</v>
      </c>
      <c r="F72" s="66">
        <f>SUM(F73:F75)</f>
        <v>10037947</v>
      </c>
      <c r="G72" s="66"/>
      <c r="H72" s="66">
        <f>SUM(H73:H75)</f>
        <v>0</v>
      </c>
      <c r="I72" s="66">
        <f>SUM(I73:I75)</f>
        <v>0</v>
      </c>
      <c r="J72" s="66">
        <f>SUM(J73:J75)</f>
        <v>0</v>
      </c>
      <c r="K72" s="66"/>
      <c r="L72" s="661">
        <f t="shared" si="18"/>
        <v>0</v>
      </c>
      <c r="M72" s="661">
        <f t="shared" si="18"/>
        <v>0</v>
      </c>
      <c r="N72" s="705">
        <f t="shared" si="18"/>
        <v>0</v>
      </c>
      <c r="O72" s="704"/>
      <c r="P72" s="66">
        <f>SUM(P73:P75)</f>
        <v>0</v>
      </c>
      <c r="Q72" s="66">
        <f>SUM(Q73:Q75)</f>
        <v>10037947</v>
      </c>
      <c r="R72" s="66">
        <f>SUM(R73:R75)</f>
        <v>0</v>
      </c>
      <c r="S72" s="66">
        <f t="shared" si="1"/>
        <v>10037947</v>
      </c>
      <c r="T72" s="85">
        <f t="shared" si="16"/>
        <v>0</v>
      </c>
      <c r="U72" s="66"/>
      <c r="V72" s="192">
        <f t="shared" si="17"/>
        <v>0</v>
      </c>
    </row>
    <row r="73" spans="1:22" ht="26.1" customHeight="1" x14ac:dyDescent="0.25">
      <c r="A73" s="14" t="s">
        <v>318</v>
      </c>
      <c r="B73" s="20" t="s">
        <v>319</v>
      </c>
      <c r="C73" s="71"/>
      <c r="D73" s="68"/>
      <c r="E73" s="71"/>
      <c r="F73" s="71"/>
      <c r="G73" s="71"/>
      <c r="H73" s="71"/>
      <c r="I73" s="71"/>
      <c r="J73" s="71"/>
      <c r="K73" s="71"/>
      <c r="L73" s="591">
        <f t="shared" ref="L73:N96" si="20">IF(H73&gt;0,H73/C73,0)</f>
        <v>0</v>
      </c>
      <c r="M73" s="591">
        <f t="shared" si="20"/>
        <v>0</v>
      </c>
      <c r="N73" s="591">
        <f t="shared" si="20"/>
        <v>0</v>
      </c>
      <c r="O73" s="91"/>
      <c r="P73" s="81">
        <f t="shared" ref="P73:R75" si="21">+(D73-C73)*P$8</f>
        <v>0</v>
      </c>
      <c r="Q73" s="81">
        <f t="shared" si="21"/>
        <v>0</v>
      </c>
      <c r="R73" s="81">
        <f t="shared" si="21"/>
        <v>0</v>
      </c>
      <c r="S73" s="81">
        <f t="shared" si="1"/>
        <v>0</v>
      </c>
      <c r="T73" s="85">
        <f t="shared" si="16"/>
        <v>0</v>
      </c>
      <c r="U73" s="71"/>
      <c r="V73" s="192">
        <f t="shared" si="17"/>
        <v>0</v>
      </c>
    </row>
    <row r="74" spans="1:22" ht="26.1" customHeight="1" x14ac:dyDescent="0.25">
      <c r="A74" s="14" t="s">
        <v>320</v>
      </c>
      <c r="B74" s="20" t="s">
        <v>321</v>
      </c>
      <c r="C74" s="71"/>
      <c r="D74" s="68"/>
      <c r="E74" s="71"/>
      <c r="F74" s="71"/>
      <c r="G74" s="71"/>
      <c r="H74" s="71"/>
      <c r="I74" s="71"/>
      <c r="J74" s="71"/>
      <c r="K74" s="71"/>
      <c r="L74" s="591">
        <f t="shared" si="20"/>
        <v>0</v>
      </c>
      <c r="M74" s="591">
        <f t="shared" si="20"/>
        <v>0</v>
      </c>
      <c r="N74" s="591">
        <f t="shared" si="20"/>
        <v>0</v>
      </c>
      <c r="O74" s="91"/>
      <c r="P74" s="81">
        <f t="shared" si="21"/>
        <v>0</v>
      </c>
      <c r="Q74" s="81">
        <f t="shared" si="21"/>
        <v>0</v>
      </c>
      <c r="R74" s="81">
        <f t="shared" si="21"/>
        <v>0</v>
      </c>
      <c r="S74" s="81">
        <f t="shared" si="1"/>
        <v>0</v>
      </c>
      <c r="T74" s="85">
        <f t="shared" si="16"/>
        <v>0</v>
      </c>
      <c r="U74" s="71"/>
      <c r="V74" s="192">
        <f t="shared" si="17"/>
        <v>0</v>
      </c>
    </row>
    <row r="75" spans="1:22" ht="39.6" x14ac:dyDescent="0.25">
      <c r="A75" s="526" t="s">
        <v>455</v>
      </c>
      <c r="B75" s="479" t="s">
        <v>508</v>
      </c>
      <c r="C75" s="71">
        <v>0</v>
      </c>
      <c r="D75" s="68"/>
      <c r="E75" s="68">
        <v>10037947</v>
      </c>
      <c r="F75" s="68">
        <v>10037947</v>
      </c>
      <c r="G75" s="68"/>
      <c r="H75" s="68"/>
      <c r="I75" s="68">
        <v>0</v>
      </c>
      <c r="J75" s="68"/>
      <c r="K75" s="68"/>
      <c r="L75" s="591">
        <f t="shared" si="20"/>
        <v>0</v>
      </c>
      <c r="M75" s="591">
        <f t="shared" si="20"/>
        <v>0</v>
      </c>
      <c r="N75" s="591">
        <f t="shared" si="20"/>
        <v>0</v>
      </c>
      <c r="O75" s="93"/>
      <c r="P75" s="81">
        <f t="shared" si="21"/>
        <v>0</v>
      </c>
      <c r="Q75" s="81">
        <f t="shared" si="21"/>
        <v>10037947</v>
      </c>
      <c r="R75" s="81">
        <f t="shared" si="21"/>
        <v>0</v>
      </c>
      <c r="S75" s="81">
        <f t="shared" si="1"/>
        <v>10037947</v>
      </c>
      <c r="T75" s="85">
        <f t="shared" si="16"/>
        <v>0</v>
      </c>
      <c r="U75" s="68"/>
      <c r="V75" s="192">
        <f t="shared" si="17"/>
        <v>0</v>
      </c>
    </row>
    <row r="76" spans="1:22" x14ac:dyDescent="0.25">
      <c r="A76" s="4" t="s">
        <v>322</v>
      </c>
      <c r="B76" s="3" t="s">
        <v>323</v>
      </c>
      <c r="C76" s="66">
        <f>SUM(C77:C78)</f>
        <v>60000000</v>
      </c>
      <c r="D76" s="66">
        <f>+D77+D78+D79</f>
        <v>112693</v>
      </c>
      <c r="E76" s="66">
        <f>SUM(E77:E79)</f>
        <v>112693</v>
      </c>
      <c r="F76" s="66">
        <f>SUM(F77:F79)</f>
        <v>112693</v>
      </c>
      <c r="G76" s="66"/>
      <c r="H76" s="66">
        <f>+H77+H78+H79</f>
        <v>352000</v>
      </c>
      <c r="I76" s="66">
        <f>SUM(I77:I79)</f>
        <v>718078</v>
      </c>
      <c r="J76" s="66">
        <f>SUM(J77:J79)</f>
        <v>939676</v>
      </c>
      <c r="K76" s="66"/>
      <c r="L76" s="661">
        <f t="shared" si="20"/>
        <v>5.8666666666666667E-3</v>
      </c>
      <c r="M76" s="661">
        <f t="shared" si="20"/>
        <v>6.3719840628965416</v>
      </c>
      <c r="N76" s="705">
        <f t="shared" si="20"/>
        <v>8.3383706175183914</v>
      </c>
      <c r="O76" s="704"/>
      <c r="P76" s="66">
        <f>+P77+P78+P79</f>
        <v>-59887307</v>
      </c>
      <c r="Q76" s="66">
        <f>+Q77+Q78+Q79</f>
        <v>0</v>
      </c>
      <c r="R76" s="66">
        <f>+R77+R78+R79</f>
        <v>0</v>
      </c>
      <c r="S76" s="66">
        <f t="shared" si="1"/>
        <v>-59887307</v>
      </c>
      <c r="T76" s="85">
        <f t="shared" si="16"/>
        <v>-0.99812178333333335</v>
      </c>
      <c r="U76" s="66"/>
      <c r="V76" s="192">
        <f t="shared" si="17"/>
        <v>0</v>
      </c>
    </row>
    <row r="77" spans="1:22" ht="40.200000000000003" customHeight="1" x14ac:dyDescent="0.25">
      <c r="A77" s="14" t="s">
        <v>324</v>
      </c>
      <c r="B77" s="20" t="s">
        <v>325</v>
      </c>
      <c r="C77" s="71">
        <f>50000000+10000000</f>
        <v>60000000</v>
      </c>
      <c r="D77" s="68"/>
      <c r="E77" s="71"/>
      <c r="F77" s="71"/>
      <c r="G77" s="71"/>
      <c r="H77" s="71"/>
      <c r="I77" s="71"/>
      <c r="J77" s="71"/>
      <c r="K77" s="71"/>
      <c r="L77" s="591">
        <f t="shared" si="20"/>
        <v>0</v>
      </c>
      <c r="M77" s="591">
        <f t="shared" si="20"/>
        <v>0</v>
      </c>
      <c r="N77" s="591">
        <f t="shared" si="20"/>
        <v>0</v>
      </c>
      <c r="O77" s="91"/>
      <c r="P77" s="81">
        <f t="shared" ref="P77:R79" si="22">+(D77-C77)*P$8</f>
        <v>-60000000</v>
      </c>
      <c r="Q77" s="81">
        <f t="shared" si="22"/>
        <v>0</v>
      </c>
      <c r="R77" s="81">
        <f t="shared" si="22"/>
        <v>0</v>
      </c>
      <c r="S77" s="81">
        <f t="shared" ref="S77:S96" si="23">+P77*P$8+Q77*Q$8+Q77*G$8</f>
        <v>-60000000</v>
      </c>
      <c r="T77" s="85">
        <f t="shared" si="16"/>
        <v>-1</v>
      </c>
      <c r="U77" s="71"/>
      <c r="V77" s="192">
        <f t="shared" si="17"/>
        <v>0</v>
      </c>
    </row>
    <row r="78" spans="1:22" ht="24" customHeight="1" x14ac:dyDescent="0.25">
      <c r="A78" s="14" t="s">
        <v>326</v>
      </c>
      <c r="B78" s="20" t="s">
        <v>327</v>
      </c>
      <c r="C78" s="71"/>
      <c r="D78" s="68">
        <v>112693</v>
      </c>
      <c r="E78" s="68">
        <v>112693</v>
      </c>
      <c r="F78" s="71">
        <v>112693</v>
      </c>
      <c r="G78" s="71"/>
      <c r="H78" s="71">
        <v>0</v>
      </c>
      <c r="I78" s="71">
        <v>166078</v>
      </c>
      <c r="J78" s="71">
        <v>332676</v>
      </c>
      <c r="K78" s="71"/>
      <c r="L78" s="591">
        <f t="shared" si="20"/>
        <v>0</v>
      </c>
      <c r="M78" s="591">
        <f t="shared" si="20"/>
        <v>1.4737206392588715</v>
      </c>
      <c r="N78" s="591">
        <f t="shared" si="20"/>
        <v>2.9520555846414593</v>
      </c>
      <c r="O78" s="91"/>
      <c r="P78" s="81">
        <f t="shared" si="22"/>
        <v>112693</v>
      </c>
      <c r="Q78" s="81">
        <f t="shared" si="22"/>
        <v>0</v>
      </c>
      <c r="R78" s="81">
        <f t="shared" si="22"/>
        <v>0</v>
      </c>
      <c r="S78" s="81">
        <f t="shared" si="23"/>
        <v>112693</v>
      </c>
      <c r="T78" s="85">
        <f t="shared" si="16"/>
        <v>0</v>
      </c>
      <c r="U78" s="71"/>
      <c r="V78" s="192">
        <f t="shared" si="17"/>
        <v>0</v>
      </c>
    </row>
    <row r="79" spans="1:22" x14ac:dyDescent="0.25">
      <c r="A79" s="14" t="s">
        <v>379</v>
      </c>
      <c r="B79" s="14" t="s">
        <v>328</v>
      </c>
      <c r="C79" s="71">
        <v>0</v>
      </c>
      <c r="D79" s="68"/>
      <c r="E79" s="142"/>
      <c r="F79" s="68"/>
      <c r="G79" s="68"/>
      <c r="H79" s="68">
        <v>352000</v>
      </c>
      <c r="I79" s="68">
        <v>552000</v>
      </c>
      <c r="J79" s="68">
        <v>607000</v>
      </c>
      <c r="K79" s="68"/>
      <c r="L79" s="591" t="e">
        <f t="shared" si="20"/>
        <v>#DIV/0!</v>
      </c>
      <c r="M79" s="591" t="e">
        <f t="shared" si="20"/>
        <v>#DIV/0!</v>
      </c>
      <c r="N79" s="591" t="e">
        <f t="shared" si="20"/>
        <v>#DIV/0!</v>
      </c>
      <c r="O79" s="93"/>
      <c r="P79" s="81">
        <f t="shared" si="22"/>
        <v>0</v>
      </c>
      <c r="Q79" s="81">
        <f t="shared" si="22"/>
        <v>0</v>
      </c>
      <c r="R79" s="81">
        <f t="shared" si="22"/>
        <v>0</v>
      </c>
      <c r="S79" s="81">
        <f t="shared" si="23"/>
        <v>0</v>
      </c>
      <c r="T79" s="85">
        <f t="shared" si="16"/>
        <v>0</v>
      </c>
      <c r="U79" s="68"/>
      <c r="V79" s="192">
        <f t="shared" si="17"/>
        <v>0</v>
      </c>
    </row>
    <row r="80" spans="1:22" x14ac:dyDescent="0.25">
      <c r="A80" s="4" t="s">
        <v>329</v>
      </c>
      <c r="B80" s="3" t="s">
        <v>330</v>
      </c>
      <c r="C80" s="66">
        <f>+C81+C95</f>
        <v>410956549</v>
      </c>
      <c r="D80" s="66">
        <f>+D81+D95</f>
        <v>410956549</v>
      </c>
      <c r="E80" s="66">
        <f>+E81+E95</f>
        <v>410956549</v>
      </c>
      <c r="F80" s="66">
        <f>+F81+F95</f>
        <v>410956549</v>
      </c>
      <c r="G80" s="66"/>
      <c r="H80" s="66">
        <f>+H81+H95</f>
        <v>410956549</v>
      </c>
      <c r="I80" s="66">
        <f>+I81+I95</f>
        <v>410956549</v>
      </c>
      <c r="J80" s="66">
        <f>+J81+J95</f>
        <v>432249173</v>
      </c>
      <c r="K80" s="66"/>
      <c r="L80" s="661">
        <f t="shared" si="20"/>
        <v>1</v>
      </c>
      <c r="M80" s="661">
        <f t="shared" si="20"/>
        <v>1</v>
      </c>
      <c r="N80" s="591">
        <f t="shared" si="20"/>
        <v>1.0518123486578139</v>
      </c>
      <c r="O80" s="637"/>
      <c r="P80" s="66">
        <f>SUM(P81:P94)</f>
        <v>0</v>
      </c>
      <c r="Q80" s="66">
        <f>SUM(Q81:Q94)</f>
        <v>0</v>
      </c>
      <c r="R80" s="66">
        <f>SUM(R81:R94)</f>
        <v>0</v>
      </c>
      <c r="S80" s="66">
        <f t="shared" si="23"/>
        <v>0</v>
      </c>
      <c r="T80" s="85">
        <f t="shared" si="16"/>
        <v>0</v>
      </c>
      <c r="U80" s="66"/>
      <c r="V80" s="192">
        <f t="shared" si="17"/>
        <v>0</v>
      </c>
    </row>
    <row r="81" spans="1:22" x14ac:dyDescent="0.25">
      <c r="A81" s="14" t="s">
        <v>331</v>
      </c>
      <c r="B81" s="20" t="s">
        <v>332</v>
      </c>
      <c r="C81" s="71">
        <f>+C82+C87+C90+C91+C92+C94</f>
        <v>410956549</v>
      </c>
      <c r="D81" s="71">
        <f>+D82+D87+D90+D91+D92+D94</f>
        <v>410956549</v>
      </c>
      <c r="E81" s="71">
        <f>+E82+E87+E90+E91+E92+E94</f>
        <v>410956549</v>
      </c>
      <c r="F81" s="71">
        <f>+F82+F87+F90+F91+F92+F94</f>
        <v>410956549</v>
      </c>
      <c r="G81" s="71"/>
      <c r="H81" s="71">
        <f>+H82+H87+H90+H91+H92+H94</f>
        <v>410956549</v>
      </c>
      <c r="I81" s="71">
        <f>+I82+I87+I90+I91+I92+I94</f>
        <v>410956549</v>
      </c>
      <c r="J81" s="71">
        <f>+J82+J87+J90+J91+J92+J94</f>
        <v>432249173</v>
      </c>
      <c r="K81" s="71"/>
      <c r="L81" s="591">
        <f t="shared" si="20"/>
        <v>1</v>
      </c>
      <c r="M81" s="591">
        <f t="shared" si="20"/>
        <v>1</v>
      </c>
      <c r="N81" s="591">
        <f t="shared" si="20"/>
        <v>1.0518123486578139</v>
      </c>
      <c r="O81" s="91"/>
      <c r="P81" s="81">
        <f t="shared" ref="P81:P95" si="24">+(D81-C81)*P$8</f>
        <v>0</v>
      </c>
      <c r="Q81" s="81">
        <f t="shared" ref="Q81:Q95" si="25">+(E81-D81)*Q$8</f>
        <v>0</v>
      </c>
      <c r="R81" s="81">
        <f t="shared" ref="R81:R95" si="26">+(F81-E81)*R$8</f>
        <v>0</v>
      </c>
      <c r="S81" s="81">
        <f t="shared" si="23"/>
        <v>0</v>
      </c>
      <c r="T81" s="85">
        <f t="shared" si="16"/>
        <v>0</v>
      </c>
      <c r="U81" s="71"/>
      <c r="V81" s="192">
        <f t="shared" si="17"/>
        <v>0</v>
      </c>
    </row>
    <row r="82" spans="1:22" x14ac:dyDescent="0.25">
      <c r="A82" s="14" t="s">
        <v>333</v>
      </c>
      <c r="B82" s="20" t="s">
        <v>334</v>
      </c>
      <c r="C82" s="71"/>
      <c r="D82" s="71"/>
      <c r="E82" s="71"/>
      <c r="F82" s="71"/>
      <c r="G82" s="71"/>
      <c r="H82" s="71"/>
      <c r="I82" s="71"/>
      <c r="J82" s="71"/>
      <c r="K82" s="71"/>
      <c r="L82" s="591">
        <f t="shared" si="20"/>
        <v>0</v>
      </c>
      <c r="M82" s="591">
        <f t="shared" si="20"/>
        <v>0</v>
      </c>
      <c r="N82" s="591">
        <f t="shared" si="20"/>
        <v>0</v>
      </c>
      <c r="O82" s="91"/>
      <c r="P82" s="81">
        <f t="shared" si="24"/>
        <v>0</v>
      </c>
      <c r="Q82" s="81">
        <f t="shared" si="25"/>
        <v>0</v>
      </c>
      <c r="R82" s="81">
        <f t="shared" si="26"/>
        <v>0</v>
      </c>
      <c r="S82" s="81">
        <f t="shared" si="23"/>
        <v>0</v>
      </c>
      <c r="T82" s="85">
        <f t="shared" si="16"/>
        <v>0</v>
      </c>
      <c r="U82" s="71"/>
      <c r="V82" s="192">
        <f t="shared" si="17"/>
        <v>0</v>
      </c>
    </row>
    <row r="83" spans="1:22" hidden="1" x14ac:dyDescent="0.25">
      <c r="A83" s="148" t="s">
        <v>335</v>
      </c>
      <c r="B83" s="146" t="s">
        <v>336</v>
      </c>
      <c r="C83" s="71"/>
      <c r="D83" s="71"/>
      <c r="E83" s="71"/>
      <c r="F83" s="71"/>
      <c r="G83" s="71"/>
      <c r="H83" s="71"/>
      <c r="I83" s="71"/>
      <c r="J83" s="71"/>
      <c r="K83" s="71"/>
      <c r="L83" s="591">
        <f t="shared" si="20"/>
        <v>0</v>
      </c>
      <c r="M83" s="591">
        <f t="shared" si="20"/>
        <v>0</v>
      </c>
      <c r="N83" s="591">
        <f t="shared" si="20"/>
        <v>0</v>
      </c>
      <c r="O83" s="91"/>
      <c r="P83" s="81">
        <f t="shared" si="24"/>
        <v>0</v>
      </c>
      <c r="Q83" s="81">
        <f t="shared" si="25"/>
        <v>0</v>
      </c>
      <c r="R83" s="81">
        <f t="shared" si="26"/>
        <v>0</v>
      </c>
      <c r="S83" s="81">
        <f t="shared" si="23"/>
        <v>0</v>
      </c>
      <c r="T83" s="85">
        <f t="shared" si="16"/>
        <v>0</v>
      </c>
      <c r="U83" s="71"/>
      <c r="V83" s="192">
        <f t="shared" si="17"/>
        <v>0</v>
      </c>
    </row>
    <row r="84" spans="1:22" ht="14.25" hidden="1" customHeight="1" x14ac:dyDescent="0.25">
      <c r="A84" s="148" t="s">
        <v>337</v>
      </c>
      <c r="B84" s="146" t="s">
        <v>338</v>
      </c>
      <c r="C84" s="71"/>
      <c r="D84" s="71"/>
      <c r="E84" s="71"/>
      <c r="F84" s="71"/>
      <c r="G84" s="71"/>
      <c r="H84" s="71"/>
      <c r="I84" s="71"/>
      <c r="J84" s="71"/>
      <c r="K84" s="71"/>
      <c r="L84" s="591">
        <f t="shared" si="20"/>
        <v>0</v>
      </c>
      <c r="M84" s="591">
        <f t="shared" si="20"/>
        <v>0</v>
      </c>
      <c r="N84" s="591">
        <f t="shared" si="20"/>
        <v>0</v>
      </c>
      <c r="O84" s="91"/>
      <c r="P84" s="81">
        <f t="shared" si="24"/>
        <v>0</v>
      </c>
      <c r="Q84" s="81">
        <f t="shared" si="25"/>
        <v>0</v>
      </c>
      <c r="R84" s="81">
        <f t="shared" si="26"/>
        <v>0</v>
      </c>
      <c r="S84" s="81">
        <f t="shared" si="23"/>
        <v>0</v>
      </c>
      <c r="T84" s="85">
        <f t="shared" si="16"/>
        <v>0</v>
      </c>
      <c r="U84" s="71"/>
      <c r="V84" s="192">
        <f t="shared" si="17"/>
        <v>0</v>
      </c>
    </row>
    <row r="85" spans="1:22" hidden="1" x14ac:dyDescent="0.25">
      <c r="A85" s="148" t="s">
        <v>339</v>
      </c>
      <c r="B85" s="146" t="s">
        <v>340</v>
      </c>
      <c r="C85" s="71"/>
      <c r="D85" s="71"/>
      <c r="E85" s="71"/>
      <c r="F85" s="71"/>
      <c r="G85" s="71"/>
      <c r="H85" s="71"/>
      <c r="I85" s="71"/>
      <c r="J85" s="71"/>
      <c r="K85" s="71"/>
      <c r="L85" s="591">
        <f t="shared" si="20"/>
        <v>0</v>
      </c>
      <c r="M85" s="591">
        <f t="shared" si="20"/>
        <v>0</v>
      </c>
      <c r="N85" s="591">
        <f t="shared" si="20"/>
        <v>0</v>
      </c>
      <c r="O85" s="91"/>
      <c r="P85" s="81">
        <f t="shared" si="24"/>
        <v>0</v>
      </c>
      <c r="Q85" s="81">
        <f t="shared" si="25"/>
        <v>0</v>
      </c>
      <c r="R85" s="81">
        <f t="shared" si="26"/>
        <v>0</v>
      </c>
      <c r="S85" s="81">
        <f t="shared" si="23"/>
        <v>0</v>
      </c>
      <c r="T85" s="85">
        <f t="shared" si="16"/>
        <v>0</v>
      </c>
      <c r="U85" s="71"/>
      <c r="V85" s="192">
        <f t="shared" si="17"/>
        <v>0</v>
      </c>
    </row>
    <row r="86" spans="1:22" hidden="1" x14ac:dyDescent="0.25">
      <c r="A86" s="14" t="s">
        <v>341</v>
      </c>
      <c r="B86" s="20" t="s">
        <v>342</v>
      </c>
      <c r="C86" s="71"/>
      <c r="D86" s="71"/>
      <c r="E86" s="71"/>
      <c r="F86" s="71"/>
      <c r="G86" s="71"/>
      <c r="H86" s="71"/>
      <c r="I86" s="71"/>
      <c r="J86" s="71"/>
      <c r="K86" s="71"/>
      <c r="L86" s="591">
        <f t="shared" si="20"/>
        <v>0</v>
      </c>
      <c r="M86" s="591">
        <f t="shared" si="20"/>
        <v>0</v>
      </c>
      <c r="N86" s="591">
        <f t="shared" si="20"/>
        <v>0</v>
      </c>
      <c r="O86" s="91"/>
      <c r="P86" s="81">
        <f t="shared" si="24"/>
        <v>0</v>
      </c>
      <c r="Q86" s="81">
        <f t="shared" si="25"/>
        <v>0</v>
      </c>
      <c r="R86" s="81">
        <f t="shared" si="26"/>
        <v>0</v>
      </c>
      <c r="S86" s="81">
        <f t="shared" si="23"/>
        <v>0</v>
      </c>
      <c r="T86" s="85">
        <f t="shared" si="16"/>
        <v>0</v>
      </c>
      <c r="U86" s="71"/>
      <c r="V86" s="192">
        <f t="shared" si="17"/>
        <v>0</v>
      </c>
    </row>
    <row r="87" spans="1:22" x14ac:dyDescent="0.25">
      <c r="A87" s="14" t="s">
        <v>343</v>
      </c>
      <c r="B87" s="558" t="s">
        <v>344</v>
      </c>
      <c r="C87" s="71">
        <f>+C88+C89</f>
        <v>410956549</v>
      </c>
      <c r="D87" s="71">
        <f>+D88+D89</f>
        <v>410956549</v>
      </c>
      <c r="E87" s="71">
        <f>+E88+E89</f>
        <v>410956549</v>
      </c>
      <c r="F87" s="68">
        <f>+F88</f>
        <v>410956549</v>
      </c>
      <c r="G87" s="68"/>
      <c r="H87" s="71">
        <f>+H88+H89</f>
        <v>410956549</v>
      </c>
      <c r="I87" s="71">
        <f>+I88+I89</f>
        <v>410956549</v>
      </c>
      <c r="J87" s="71">
        <f>+J88+J89</f>
        <v>432249173</v>
      </c>
      <c r="K87" s="68"/>
      <c r="L87" s="591">
        <f t="shared" si="20"/>
        <v>1</v>
      </c>
      <c r="M87" s="591">
        <f t="shared" si="20"/>
        <v>1</v>
      </c>
      <c r="N87" s="591">
        <f t="shared" si="20"/>
        <v>1.0518123486578139</v>
      </c>
      <c r="O87" s="93"/>
      <c r="P87" s="81">
        <f t="shared" si="24"/>
        <v>0</v>
      </c>
      <c r="Q87" s="382">
        <f t="shared" si="25"/>
        <v>0</v>
      </c>
      <c r="R87" s="81">
        <f t="shared" si="26"/>
        <v>0</v>
      </c>
      <c r="S87" s="81">
        <f t="shared" si="23"/>
        <v>0</v>
      </c>
      <c r="T87" s="85">
        <f t="shared" si="16"/>
        <v>0</v>
      </c>
      <c r="U87" s="68"/>
      <c r="V87" s="192">
        <f t="shared" si="17"/>
        <v>0</v>
      </c>
    </row>
    <row r="88" spans="1:22" ht="24" x14ac:dyDescent="0.3">
      <c r="A88" s="148" t="s">
        <v>345</v>
      </c>
      <c r="B88" s="710" t="s">
        <v>346</v>
      </c>
      <c r="C88" s="709">
        <v>410956549</v>
      </c>
      <c r="D88" s="712">
        <v>410956549</v>
      </c>
      <c r="E88" s="712">
        <v>410956549</v>
      </c>
      <c r="F88" s="71">
        <v>410956549</v>
      </c>
      <c r="G88" s="71"/>
      <c r="H88" s="712">
        <v>410956549</v>
      </c>
      <c r="I88" s="712">
        <v>410956549</v>
      </c>
      <c r="J88" s="71">
        <v>410956549</v>
      </c>
      <c r="K88" s="71"/>
      <c r="L88" s="591">
        <f t="shared" si="20"/>
        <v>1</v>
      </c>
      <c r="M88" s="591">
        <f t="shared" si="20"/>
        <v>1</v>
      </c>
      <c r="N88" s="591">
        <f t="shared" si="20"/>
        <v>1</v>
      </c>
      <c r="O88" s="91"/>
      <c r="P88" s="81">
        <f t="shared" si="24"/>
        <v>0</v>
      </c>
      <c r="Q88" s="81">
        <f t="shared" si="25"/>
        <v>0</v>
      </c>
      <c r="R88" s="81">
        <f t="shared" si="26"/>
        <v>0</v>
      </c>
      <c r="S88" s="81">
        <f t="shared" si="23"/>
        <v>0</v>
      </c>
      <c r="T88" s="85">
        <f t="shared" si="16"/>
        <v>0</v>
      </c>
      <c r="U88" s="71"/>
      <c r="V88" s="192">
        <f t="shared" si="17"/>
        <v>0</v>
      </c>
    </row>
    <row r="89" spans="1:22" x14ac:dyDescent="0.25">
      <c r="A89" s="148" t="s">
        <v>347</v>
      </c>
      <c r="B89" s="581" t="s">
        <v>348</v>
      </c>
      <c r="C89" s="71"/>
      <c r="D89" s="68"/>
      <c r="E89" s="71"/>
      <c r="F89" s="71"/>
      <c r="G89" s="71"/>
      <c r="H89" s="71"/>
      <c r="I89" s="71"/>
      <c r="J89" s="71">
        <v>21292624</v>
      </c>
      <c r="K89" s="71"/>
      <c r="L89" s="591">
        <f t="shared" si="20"/>
        <v>0</v>
      </c>
      <c r="M89" s="591">
        <f t="shared" si="20"/>
        <v>0</v>
      </c>
      <c r="N89" s="591" t="e">
        <f t="shared" si="20"/>
        <v>#DIV/0!</v>
      </c>
      <c r="O89" s="91"/>
      <c r="P89" s="81">
        <f t="shared" si="24"/>
        <v>0</v>
      </c>
      <c r="Q89" s="81">
        <f t="shared" si="25"/>
        <v>0</v>
      </c>
      <c r="R89" s="81">
        <f t="shared" si="26"/>
        <v>0</v>
      </c>
      <c r="S89" s="81">
        <f t="shared" si="23"/>
        <v>0</v>
      </c>
      <c r="T89" s="85">
        <f t="shared" si="16"/>
        <v>0</v>
      </c>
      <c r="U89" s="71"/>
      <c r="V89" s="192">
        <f t="shared" si="17"/>
        <v>0</v>
      </c>
    </row>
    <row r="90" spans="1:22" x14ac:dyDescent="0.25">
      <c r="A90" s="14" t="s">
        <v>349</v>
      </c>
      <c r="B90" s="20" t="s">
        <v>350</v>
      </c>
      <c r="C90" s="143">
        <v>0</v>
      </c>
      <c r="D90" s="68"/>
      <c r="E90" s="71"/>
      <c r="F90" s="71"/>
      <c r="G90" s="71"/>
      <c r="H90" s="71"/>
      <c r="I90" s="71"/>
      <c r="J90" s="71"/>
      <c r="K90" s="71"/>
      <c r="L90" s="591">
        <f t="shared" si="20"/>
        <v>0</v>
      </c>
      <c r="M90" s="591">
        <f t="shared" si="20"/>
        <v>0</v>
      </c>
      <c r="N90" s="591">
        <f t="shared" si="20"/>
        <v>0</v>
      </c>
      <c r="O90" s="91"/>
      <c r="P90" s="81">
        <f t="shared" si="24"/>
        <v>0</v>
      </c>
      <c r="Q90" s="81">
        <f t="shared" si="25"/>
        <v>0</v>
      </c>
      <c r="R90" s="81">
        <f t="shared" si="26"/>
        <v>0</v>
      </c>
      <c r="S90" s="81">
        <f t="shared" si="23"/>
        <v>0</v>
      </c>
      <c r="T90" s="85">
        <f t="shared" si="16"/>
        <v>0</v>
      </c>
      <c r="U90" s="71"/>
      <c r="V90" s="192">
        <f t="shared" si="17"/>
        <v>0</v>
      </c>
    </row>
    <row r="91" spans="1:22" ht="26.4" x14ac:dyDescent="0.25">
      <c r="A91" s="14" t="s">
        <v>351</v>
      </c>
      <c r="B91" s="20" t="s">
        <v>352</v>
      </c>
      <c r="C91" s="71"/>
      <c r="D91" s="68"/>
      <c r="E91" s="71"/>
      <c r="F91" s="71"/>
      <c r="G91" s="71"/>
      <c r="H91" s="71"/>
      <c r="I91" s="71"/>
      <c r="J91" s="71"/>
      <c r="K91" s="71"/>
      <c r="L91" s="591">
        <f t="shared" si="20"/>
        <v>0</v>
      </c>
      <c r="M91" s="591">
        <f t="shared" si="20"/>
        <v>0</v>
      </c>
      <c r="N91" s="591">
        <f t="shared" si="20"/>
        <v>0</v>
      </c>
      <c r="O91" s="91"/>
      <c r="P91" s="81">
        <f t="shared" si="24"/>
        <v>0</v>
      </c>
      <c r="Q91" s="81">
        <f t="shared" si="25"/>
        <v>0</v>
      </c>
      <c r="R91" s="81">
        <f t="shared" si="26"/>
        <v>0</v>
      </c>
      <c r="S91" s="81">
        <f t="shared" si="23"/>
        <v>0</v>
      </c>
      <c r="T91" s="85">
        <f t="shared" si="16"/>
        <v>0</v>
      </c>
      <c r="U91" s="71"/>
      <c r="V91" s="192">
        <f t="shared" si="17"/>
        <v>0</v>
      </c>
    </row>
    <row r="92" spans="1:22" x14ac:dyDescent="0.25">
      <c r="A92" s="14" t="s">
        <v>355</v>
      </c>
      <c r="B92" s="20" t="s">
        <v>353</v>
      </c>
      <c r="C92" s="71"/>
      <c r="D92" s="68"/>
      <c r="E92" s="71"/>
      <c r="F92" s="71"/>
      <c r="G92" s="71"/>
      <c r="H92" s="71"/>
      <c r="I92" s="71"/>
      <c r="J92" s="71"/>
      <c r="K92" s="71"/>
      <c r="L92" s="591">
        <f t="shared" si="20"/>
        <v>0</v>
      </c>
      <c r="M92" s="591">
        <f t="shared" si="20"/>
        <v>0</v>
      </c>
      <c r="N92" s="591">
        <f t="shared" si="20"/>
        <v>0</v>
      </c>
      <c r="O92" s="91"/>
      <c r="P92" s="81">
        <f t="shared" si="24"/>
        <v>0</v>
      </c>
      <c r="Q92" s="81">
        <f t="shared" si="25"/>
        <v>0</v>
      </c>
      <c r="R92" s="81">
        <f t="shared" si="26"/>
        <v>0</v>
      </c>
      <c r="S92" s="81">
        <f t="shared" si="23"/>
        <v>0</v>
      </c>
      <c r="T92" s="85">
        <f t="shared" si="16"/>
        <v>0</v>
      </c>
      <c r="U92" s="71"/>
      <c r="V92" s="192">
        <f t="shared" si="17"/>
        <v>0</v>
      </c>
    </row>
    <row r="93" spans="1:22" ht="26.4" hidden="1" x14ac:dyDescent="0.25">
      <c r="A93" s="14"/>
      <c r="B93" s="20" t="s">
        <v>354</v>
      </c>
      <c r="C93" s="71"/>
      <c r="D93" s="68"/>
      <c r="E93" s="71"/>
      <c r="F93" s="71"/>
      <c r="G93" s="71"/>
      <c r="H93" s="71"/>
      <c r="I93" s="71"/>
      <c r="J93" s="71"/>
      <c r="K93" s="71"/>
      <c r="L93" s="591">
        <f t="shared" si="20"/>
        <v>0</v>
      </c>
      <c r="M93" s="591">
        <f t="shared" si="20"/>
        <v>0</v>
      </c>
      <c r="N93" s="591">
        <f t="shared" si="20"/>
        <v>0</v>
      </c>
      <c r="O93" s="91"/>
      <c r="P93" s="81">
        <f t="shared" si="24"/>
        <v>0</v>
      </c>
      <c r="Q93" s="81">
        <f t="shared" si="25"/>
        <v>0</v>
      </c>
      <c r="R93" s="81">
        <f t="shared" si="26"/>
        <v>0</v>
      </c>
      <c r="S93" s="81">
        <f t="shared" si="23"/>
        <v>0</v>
      </c>
      <c r="T93" s="85">
        <f t="shared" si="16"/>
        <v>0</v>
      </c>
      <c r="U93" s="71"/>
      <c r="V93" s="192">
        <f t="shared" si="17"/>
        <v>0</v>
      </c>
    </row>
    <row r="94" spans="1:22" x14ac:dyDescent="0.25">
      <c r="A94" s="14" t="s">
        <v>356</v>
      </c>
      <c r="B94" s="20" t="s">
        <v>357</v>
      </c>
      <c r="C94" s="71">
        <v>0</v>
      </c>
      <c r="D94" s="68">
        <v>0</v>
      </c>
      <c r="E94" s="71"/>
      <c r="F94" s="71"/>
      <c r="G94" s="71"/>
      <c r="H94" s="71"/>
      <c r="I94" s="71"/>
      <c r="J94" s="71"/>
      <c r="K94" s="71"/>
      <c r="L94" s="591">
        <f t="shared" si="20"/>
        <v>0</v>
      </c>
      <c r="M94" s="591">
        <f t="shared" si="20"/>
        <v>0</v>
      </c>
      <c r="N94" s="591">
        <f t="shared" si="20"/>
        <v>0</v>
      </c>
      <c r="O94" s="91"/>
      <c r="P94" s="81">
        <f t="shared" si="24"/>
        <v>0</v>
      </c>
      <c r="Q94" s="81">
        <f t="shared" si="25"/>
        <v>0</v>
      </c>
      <c r="R94" s="81">
        <f t="shared" si="26"/>
        <v>0</v>
      </c>
      <c r="S94" s="81">
        <f t="shared" si="23"/>
        <v>0</v>
      </c>
      <c r="T94" s="85">
        <f t="shared" si="16"/>
        <v>0</v>
      </c>
      <c r="U94" s="71"/>
      <c r="V94" s="192">
        <f t="shared" si="17"/>
        <v>0</v>
      </c>
    </row>
    <row r="95" spans="1:22" hidden="1" x14ac:dyDescent="0.25">
      <c r="A95" s="14"/>
      <c r="B95" s="14"/>
      <c r="C95" s="71"/>
      <c r="D95" s="68"/>
      <c r="E95" s="71"/>
      <c r="F95" s="71"/>
      <c r="G95" s="71"/>
      <c r="H95" s="71"/>
      <c r="I95" s="71"/>
      <c r="J95" s="71"/>
      <c r="K95" s="71"/>
      <c r="L95" s="591">
        <f t="shared" si="20"/>
        <v>0</v>
      </c>
      <c r="M95" s="591">
        <f t="shared" si="20"/>
        <v>0</v>
      </c>
      <c r="N95" s="591">
        <f t="shared" si="20"/>
        <v>0</v>
      </c>
      <c r="O95" s="91"/>
      <c r="P95" s="81">
        <f t="shared" si="24"/>
        <v>0</v>
      </c>
      <c r="Q95" s="81">
        <f t="shared" si="25"/>
        <v>0</v>
      </c>
      <c r="R95" s="81">
        <f t="shared" si="26"/>
        <v>0</v>
      </c>
      <c r="S95" s="81">
        <f t="shared" si="23"/>
        <v>0</v>
      </c>
      <c r="T95" s="85">
        <f t="shared" si="16"/>
        <v>0</v>
      </c>
      <c r="U95" s="71"/>
      <c r="V95" s="192">
        <f t="shared" si="17"/>
        <v>0</v>
      </c>
    </row>
    <row r="96" spans="1:22" x14ac:dyDescent="0.25">
      <c r="A96" s="14"/>
      <c r="B96" s="3" t="s">
        <v>367</v>
      </c>
      <c r="C96" s="66">
        <f>C13+C30+C39+C50+C67+C72+C76+C80</f>
        <v>1895220607</v>
      </c>
      <c r="D96" s="66">
        <f>D13+D30+D39+D50+D67+D72+D76+D80</f>
        <v>1904849300</v>
      </c>
      <c r="E96" s="66">
        <f>E13+E30+E39+E50+E67+E72+E76+E80</f>
        <v>1914887247</v>
      </c>
      <c r="F96" s="66">
        <f>F13+F30+F39+F50+F67+F72+F76+F80</f>
        <v>1902457581</v>
      </c>
      <c r="G96" s="66"/>
      <c r="H96" s="66">
        <f>H13+H30+H39+H50+H67+H72+H76+H80</f>
        <v>1155612367</v>
      </c>
      <c r="I96" s="66">
        <f>I13+I30+I39+I50+I67+I72+I76+I80</f>
        <v>1445691287</v>
      </c>
      <c r="J96" s="66">
        <f>J13+J30+J39+J50+J67+J72+J76+J80</f>
        <v>1819510762</v>
      </c>
      <c r="K96" s="66"/>
      <c r="L96" s="588">
        <f t="shared" si="20"/>
        <v>0.60975084522178791</v>
      </c>
      <c r="M96" s="588">
        <f t="shared" si="20"/>
        <v>0.75895310300925123</v>
      </c>
      <c r="N96" s="588">
        <f t="shared" si="20"/>
        <v>0.95019211436630346</v>
      </c>
      <c r="O96" s="637"/>
      <c r="P96" s="66">
        <f>P13+P30+P39+P50+P67+P72+P76+P80</f>
        <v>9628693</v>
      </c>
      <c r="Q96" s="66">
        <f>Q13+Q30+Q39+Q50+Q67+Q72+Q76+Q80</f>
        <v>10037947</v>
      </c>
      <c r="R96" s="66">
        <f>R13+R30+R39+R50+R67+R72+R76+R80</f>
        <v>-12429666</v>
      </c>
      <c r="S96" s="66">
        <f t="shared" si="23"/>
        <v>19666640</v>
      </c>
      <c r="T96" s="85">
        <f t="shared" si="16"/>
        <v>1.0376966104822435E-2</v>
      </c>
      <c r="U96" s="66"/>
      <c r="V96" s="193">
        <f t="shared" si="17"/>
        <v>0</v>
      </c>
    </row>
    <row r="97" spans="3:15" x14ac:dyDescent="0.25">
      <c r="L97" s="605"/>
      <c r="M97" s="605"/>
      <c r="N97" s="602"/>
      <c r="O97" s="632"/>
    </row>
    <row r="98" spans="3:15" x14ac:dyDescent="0.25">
      <c r="C98" s="19"/>
      <c r="J98" s="122"/>
      <c r="L98" s="602"/>
      <c r="M98" s="602"/>
      <c r="N98" s="602"/>
      <c r="O98" s="632"/>
    </row>
    <row r="99" spans="3:15" x14ac:dyDescent="0.25">
      <c r="I99" s="572"/>
      <c r="L99" s="602"/>
      <c r="M99" s="602"/>
      <c r="N99" s="602"/>
      <c r="O99" s="632"/>
    </row>
    <row r="100" spans="3:15" x14ac:dyDescent="0.25">
      <c r="I100" s="572"/>
      <c r="L100" s="669"/>
      <c r="M100" s="669"/>
      <c r="N100" s="669"/>
      <c r="O100" s="632"/>
    </row>
    <row r="101" spans="3:15" x14ac:dyDescent="0.25">
      <c r="C101" s="19"/>
      <c r="L101" s="632"/>
      <c r="M101" s="632"/>
      <c r="N101" s="632"/>
      <c r="O101" s="632"/>
    </row>
    <row r="102" spans="3:15" x14ac:dyDescent="0.25">
      <c r="C102" s="19"/>
      <c r="L102" s="632"/>
      <c r="M102" s="632"/>
      <c r="N102" s="632"/>
      <c r="O102" s="632"/>
    </row>
    <row r="104" spans="3:15" x14ac:dyDescent="0.25">
      <c r="C104" s="19"/>
    </row>
    <row r="105" spans="3:15" x14ac:dyDescent="0.25">
      <c r="C105" s="19"/>
    </row>
    <row r="107" spans="3:15" x14ac:dyDescent="0.25">
      <c r="C107" s="19"/>
    </row>
  </sheetData>
  <mergeCells count="6">
    <mergeCell ref="H8:J8"/>
    <mergeCell ref="L8:N8"/>
    <mergeCell ref="H7:N7"/>
    <mergeCell ref="C7:F7"/>
    <mergeCell ref="P7:T7"/>
    <mergeCell ref="C8:F8"/>
  </mergeCells>
  <phoneticPr fontId="2" type="noConversion"/>
  <printOptions horizontalCentered="1"/>
  <pageMargins left="0" right="0" top="0.15748031496062992" bottom="0.15748031496062992" header="0.31496062992125984" footer="0.31496062992125984"/>
  <pageSetup paperSize="9" scale="36" fitToHeight="0" orientation="portrait" r:id="rId1"/>
  <headerFooter alignWithMargins="0">
    <oddHeader>&amp;R&amp;"Arial,Félkövér dőlt"&amp;12&amp;A  /&amp;10
&amp;"Arial,Dőlt"&amp;F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31"/>
  <sheetViews>
    <sheetView zoomScaleNormal="100" workbookViewId="0">
      <pane ySplit="11" topLeftCell="A141" activePane="bottomLeft" state="frozen"/>
      <selection pane="bottomLeft" activeCell="C156" sqref="C156"/>
    </sheetView>
  </sheetViews>
  <sheetFormatPr defaultRowHeight="13.2" x14ac:dyDescent="0.25"/>
  <cols>
    <col min="1" max="1" width="6.44140625" style="14" bestFit="1" customWidth="1"/>
    <col min="2" max="2" width="53.5546875" style="14" customWidth="1"/>
    <col min="3" max="3" width="15.5546875" style="14" customWidth="1"/>
    <col min="4" max="4" width="15.5546875" style="16" customWidth="1"/>
    <col min="5" max="5" width="15.5546875" style="23" customWidth="1"/>
    <col min="6" max="6" width="13.88671875" style="23" bestFit="1" customWidth="1"/>
    <col min="7" max="7" width="0.6640625" style="23" customWidth="1"/>
    <col min="8" max="8" width="15.5546875" style="14" customWidth="1"/>
    <col min="9" max="9" width="15.5546875" style="23" customWidth="1"/>
    <col min="10" max="10" width="15.109375" style="23" customWidth="1"/>
    <col min="11" max="11" width="0.6640625" style="23" customWidth="1"/>
    <col min="12" max="12" width="14" style="14" customWidth="1"/>
    <col min="13" max="13" width="14.5546875" style="13" customWidth="1"/>
    <col min="14" max="14" width="15.88671875" style="13" customWidth="1"/>
    <col min="15" max="15" width="0.6640625" style="23" customWidth="1"/>
    <col min="16" max="17" width="14.5546875" style="14" customWidth="1"/>
    <col min="18" max="18" width="13.6640625" style="14" customWidth="1"/>
    <col min="19" max="19" width="15.5546875" style="14" customWidth="1"/>
    <col min="20" max="20" width="10.5546875" style="13" customWidth="1"/>
    <col min="21" max="21" width="0.6640625" style="23" customWidth="1"/>
    <col min="22" max="22" width="6.33203125" customWidth="1"/>
  </cols>
  <sheetData>
    <row r="1" spans="1:27" ht="24.6" x14ac:dyDescent="0.4">
      <c r="A1" s="226" t="s">
        <v>467</v>
      </c>
      <c r="B1" s="225"/>
      <c r="C1" s="225"/>
      <c r="D1" s="225"/>
      <c r="E1" s="571"/>
      <c r="F1" s="338"/>
      <c r="G1" s="224"/>
      <c r="H1" s="223"/>
      <c r="I1" s="223" t="str">
        <f>+'1. Sülysáp összesen'!J1</f>
        <v>2019. ÉVI ZÁRSZÁMADÁS</v>
      </c>
      <c r="J1" s="221"/>
      <c r="K1" s="227"/>
      <c r="L1" s="227" t="s">
        <v>416</v>
      </c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46"/>
      <c r="Z1" s="46"/>
      <c r="AA1" s="46"/>
    </row>
    <row r="2" spans="1:27" ht="21" hidden="1" x14ac:dyDescent="0.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23"/>
    </row>
    <row r="3" spans="1:27" ht="21" hidden="1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23"/>
    </row>
    <row r="4" spans="1:27" x14ac:dyDescent="0.25">
      <c r="A4"/>
      <c r="B4"/>
      <c r="C4" s="61"/>
      <c r="D4" s="61"/>
      <c r="E4" s="570"/>
      <c r="F4" s="61"/>
      <c r="G4" s="61"/>
      <c r="H4" s="61"/>
      <c r="I4" s="61"/>
      <c r="J4" s="61"/>
      <c r="K4" s="65"/>
      <c r="L4" s="61"/>
      <c r="M4" s="61"/>
      <c r="N4" s="61"/>
      <c r="O4" s="61"/>
      <c r="P4" s="61"/>
      <c r="Q4" s="61"/>
      <c r="R4" s="61"/>
      <c r="S4" s="61"/>
      <c r="T4"/>
      <c r="U4"/>
    </row>
    <row r="5" spans="1:27" ht="14.1" hidden="1" customHeight="1" x14ac:dyDescent="0.25">
      <c r="A5"/>
      <c r="B5"/>
      <c r="C5" s="99"/>
      <c r="D5" s="100"/>
      <c r="E5" s="100"/>
      <c r="F5" s="101"/>
      <c r="G5" s="102"/>
      <c r="H5" s="103"/>
      <c r="I5" s="105"/>
      <c r="J5" s="105"/>
      <c r="K5" s="102"/>
      <c r="L5" s="104"/>
      <c r="M5" s="106"/>
      <c r="N5" s="107"/>
      <c r="O5" s="102"/>
      <c r="P5" s="103"/>
      <c r="Q5" s="105"/>
      <c r="R5" s="105"/>
      <c r="S5" s="105"/>
      <c r="T5" s="200"/>
      <c r="U5" s="263"/>
    </row>
    <row r="6" spans="1:27" ht="14.1" hidden="1" customHeight="1" x14ac:dyDescent="0.25">
      <c r="A6"/>
      <c r="B6"/>
      <c r="C6" s="108"/>
      <c r="D6" s="109"/>
      <c r="E6" s="109"/>
      <c r="F6" s="110"/>
      <c r="G6" s="111"/>
      <c r="H6" s="112"/>
      <c r="I6" s="114"/>
      <c r="J6" s="114"/>
      <c r="K6" s="111"/>
      <c r="L6" s="113"/>
      <c r="M6" s="115"/>
      <c r="N6" s="116"/>
      <c r="O6" s="111"/>
      <c r="P6" s="112"/>
      <c r="Q6" s="114"/>
      <c r="R6" s="114"/>
      <c r="S6" s="114"/>
      <c r="T6" s="116"/>
      <c r="U6" s="263"/>
    </row>
    <row r="7" spans="1:27" ht="15.6" x14ac:dyDescent="0.3">
      <c r="A7"/>
      <c r="B7"/>
      <c r="C7" s="1442" t="s">
        <v>403</v>
      </c>
      <c r="D7" s="1445"/>
      <c r="E7" s="1445"/>
      <c r="F7" s="1446"/>
      <c r="G7" s="153"/>
      <c r="H7" s="1442" t="s">
        <v>402</v>
      </c>
      <c r="I7" s="1443"/>
      <c r="J7" s="1443"/>
      <c r="K7" s="1443"/>
      <c r="L7" s="1443"/>
      <c r="M7" s="1443"/>
      <c r="N7" s="1444"/>
      <c r="O7" s="153"/>
      <c r="P7" s="1442" t="s">
        <v>399</v>
      </c>
      <c r="Q7" s="1445"/>
      <c r="R7" s="1445"/>
      <c r="S7" s="1445"/>
      <c r="T7" s="1446"/>
      <c r="U7"/>
    </row>
    <row r="8" spans="1:27" ht="13.8" x14ac:dyDescent="0.25">
      <c r="A8"/>
      <c r="B8"/>
      <c r="C8" s="1437" t="s">
        <v>412</v>
      </c>
      <c r="D8" s="1438"/>
      <c r="E8" s="1438"/>
      <c r="F8" s="1439"/>
      <c r="G8" s="79"/>
      <c r="H8" s="1437" t="s">
        <v>412</v>
      </c>
      <c r="I8" s="1440"/>
      <c r="J8" s="1441"/>
      <c r="K8" s="133"/>
      <c r="L8" s="1447" t="s">
        <v>411</v>
      </c>
      <c r="M8" s="1448"/>
      <c r="N8" s="1449"/>
      <c r="O8" s="642"/>
      <c r="P8" s="127">
        <f>+'1. Sülysáp összesen'!P8</f>
        <v>1</v>
      </c>
      <c r="Q8" s="127">
        <f>+'2. Önk. Bevételek'!Q8</f>
        <v>1</v>
      </c>
      <c r="R8" s="127">
        <f>+'1. Sülysáp összesen'!R8</f>
        <v>1</v>
      </c>
      <c r="S8" s="124"/>
      <c r="T8" s="125"/>
      <c r="U8"/>
    </row>
    <row r="9" spans="1:27" ht="20.100000000000001" customHeight="1" x14ac:dyDescent="0.25">
      <c r="A9" s="76"/>
      <c r="B9" s="240" t="s">
        <v>373</v>
      </c>
      <c r="C9" s="579">
        <f>+C168</f>
        <v>1895220607.03</v>
      </c>
      <c r="D9" s="579">
        <f>+D168</f>
        <v>1904849300</v>
      </c>
      <c r="E9" s="579">
        <f>+E168</f>
        <v>1914887247</v>
      </c>
      <c r="F9" s="579">
        <f>+F168</f>
        <v>1902457581</v>
      </c>
      <c r="G9" s="579"/>
      <c r="H9" s="579">
        <f>+H168</f>
        <v>572539112</v>
      </c>
      <c r="I9" s="579">
        <f>+I168</f>
        <v>958008396</v>
      </c>
      <c r="J9" s="241">
        <f>+J168</f>
        <v>1404158602</v>
      </c>
      <c r="K9" s="229"/>
      <c r="L9" s="640">
        <f>H9/C9</f>
        <v>0.30209628888387086</v>
      </c>
      <c r="M9" s="634">
        <f>I9/D9</f>
        <v>0.50293133215315244</v>
      </c>
      <c r="N9" s="634">
        <f>+J9/E9</f>
        <v>0.73328526481120793</v>
      </c>
      <c r="O9" s="641"/>
      <c r="P9" s="579">
        <f>IF(D9&gt;0,+D9-C9,0)</f>
        <v>9628692.9700000286</v>
      </c>
      <c r="Q9" s="579">
        <f>IF(E9&gt;0,+E9-D9,0)</f>
        <v>10037947</v>
      </c>
      <c r="R9" s="579">
        <f>IF(F9&gt;0,+F9-E9,0)</f>
        <v>-12429666</v>
      </c>
      <c r="S9" s="579">
        <f>SUM(P9:R9)</f>
        <v>7236973.9700000286</v>
      </c>
      <c r="T9" s="242">
        <f>+S9/C9</f>
        <v>3.8185390888826869E-3</v>
      </c>
      <c r="U9" s="244"/>
      <c r="V9" s="230">
        <f>+S9-E9+C9</f>
        <v>-12429666</v>
      </c>
    </row>
    <row r="10" spans="1:27" ht="13.8" x14ac:dyDescent="0.25">
      <c r="A10" s="77"/>
      <c r="B10" s="234"/>
      <c r="C10" s="79"/>
      <c r="D10" s="79"/>
      <c r="E10" s="79"/>
      <c r="F10" s="79"/>
      <c r="G10" s="79"/>
      <c r="H10" s="79"/>
      <c r="I10" s="79"/>
      <c r="J10" s="79"/>
      <c r="K10" s="79"/>
      <c r="L10" s="628"/>
      <c r="M10" s="635"/>
      <c r="N10" s="635"/>
      <c r="O10" s="642"/>
      <c r="P10" s="79"/>
      <c r="Q10" s="79"/>
      <c r="R10" s="79"/>
      <c r="S10" s="79"/>
      <c r="T10" s="235"/>
      <c r="U10" s="236"/>
      <c r="V10" s="237"/>
    </row>
    <row r="11" spans="1:27" s="1" customFormat="1" ht="64.5" customHeight="1" x14ac:dyDescent="0.25">
      <c r="A11" s="27" t="s">
        <v>368</v>
      </c>
      <c r="B11" s="27" t="s">
        <v>366</v>
      </c>
      <c r="C11" s="517" t="s">
        <v>484</v>
      </c>
      <c r="D11" s="355" t="s">
        <v>485</v>
      </c>
      <c r="E11" s="355" t="s">
        <v>486</v>
      </c>
      <c r="F11" s="518" t="s">
        <v>502</v>
      </c>
      <c r="G11" s="355"/>
      <c r="H11" s="491" t="s">
        <v>487</v>
      </c>
      <c r="I11" s="356" t="s">
        <v>488</v>
      </c>
      <c r="J11" s="356" t="s">
        <v>501</v>
      </c>
      <c r="K11" s="355"/>
      <c r="L11" s="357" t="s">
        <v>489</v>
      </c>
      <c r="M11" s="357" t="s">
        <v>490</v>
      </c>
      <c r="N11" s="492" t="s">
        <v>503</v>
      </c>
      <c r="O11" s="355"/>
      <c r="P11" s="491" t="s">
        <v>491</v>
      </c>
      <c r="Q11" s="356" t="s">
        <v>492</v>
      </c>
      <c r="R11" s="356" t="s">
        <v>510</v>
      </c>
      <c r="S11" s="356" t="s">
        <v>400</v>
      </c>
      <c r="T11" s="492" t="s">
        <v>401</v>
      </c>
      <c r="U11" s="186"/>
      <c r="V11" s="131" t="s">
        <v>405</v>
      </c>
    </row>
    <row r="12" spans="1:27" x14ac:dyDescent="0.25">
      <c r="A12" s="43"/>
      <c r="B12" s="20"/>
      <c r="C12" s="68"/>
      <c r="D12" s="69"/>
      <c r="E12" s="69"/>
      <c r="F12" s="69"/>
      <c r="G12" s="69"/>
      <c r="H12" s="81"/>
      <c r="I12" s="81"/>
      <c r="J12" s="81"/>
      <c r="K12" s="69"/>
      <c r="L12" s="628"/>
      <c r="M12" s="628"/>
      <c r="N12" s="628"/>
      <c r="O12" s="643"/>
      <c r="P12" s="81"/>
      <c r="Q12" s="81"/>
      <c r="R12" s="81"/>
      <c r="S12" s="81"/>
      <c r="T12" s="151"/>
      <c r="U12" s="188"/>
      <c r="V12" s="192"/>
    </row>
    <row r="13" spans="1:27" x14ac:dyDescent="0.25">
      <c r="A13" s="4" t="s">
        <v>0</v>
      </c>
      <c r="B13" s="3" t="s">
        <v>3</v>
      </c>
      <c r="C13" s="67">
        <f>SUM(C14:C28)</f>
        <v>66622000</v>
      </c>
      <c r="D13" s="67">
        <f>SUM(D14:D28)</f>
        <v>68241000</v>
      </c>
      <c r="E13" s="67">
        <f>SUM(E14:E28)</f>
        <v>68524797</v>
      </c>
      <c r="F13" s="67">
        <f>SUM(F14:F28)</f>
        <v>73579729</v>
      </c>
      <c r="G13" s="67"/>
      <c r="H13" s="80">
        <f>SUM(H14:H28)</f>
        <v>33091181</v>
      </c>
      <c r="I13" s="80">
        <f>SUM(I14:I28)</f>
        <v>52878824</v>
      </c>
      <c r="J13" s="80">
        <f>SUM(J14:J28)</f>
        <v>73579729</v>
      </c>
      <c r="K13" s="67"/>
      <c r="L13" s="629">
        <f>IF(H13&gt;0,H13/C13,0)</f>
        <v>0.49670050433790641</v>
      </c>
      <c r="M13" s="629">
        <f>IF(I13&gt;0,I13/D13,0)</f>
        <v>0.77488348646707994</v>
      </c>
      <c r="N13" s="629">
        <f>IF(J13&gt;0,J13/E13,0)</f>
        <v>1.0737679237488291</v>
      </c>
      <c r="O13" s="639"/>
      <c r="P13" s="80">
        <f>IF(D13&gt;0,+D13-C13,0)</f>
        <v>1619000</v>
      </c>
      <c r="Q13" s="80">
        <f>IF(E13&gt;0,+E13-D13,0)</f>
        <v>283797</v>
      </c>
      <c r="R13" s="80">
        <f>IF(F13&gt;0,+F13-E13,0)</f>
        <v>5054932</v>
      </c>
      <c r="S13" s="80">
        <f>+P13*P$8+Q13*Q$8+Q13*G$8</f>
        <v>1902797</v>
      </c>
      <c r="T13" s="85">
        <f>IF(C13=0,0,+S13/C13)</f>
        <v>2.8561090930923717E-2</v>
      </c>
      <c r="U13" s="187"/>
      <c r="V13" s="192">
        <f t="shared" ref="V13:V44" si="0">+S13-E13+C13</f>
        <v>0</v>
      </c>
    </row>
    <row r="14" spans="1:27" x14ac:dyDescent="0.25">
      <c r="A14" s="43" t="s">
        <v>1</v>
      </c>
      <c r="B14" s="20"/>
      <c r="C14" s="68"/>
      <c r="D14" s="69"/>
      <c r="E14" s="69"/>
      <c r="F14" s="69"/>
      <c r="G14" s="69"/>
      <c r="H14" s="81"/>
      <c r="I14" s="81"/>
      <c r="J14" s="81"/>
      <c r="K14" s="69"/>
      <c r="L14" s="628"/>
      <c r="M14" s="628"/>
      <c r="N14" s="628"/>
      <c r="O14" s="643"/>
      <c r="P14" s="81"/>
      <c r="Q14" s="81"/>
      <c r="R14" s="81"/>
      <c r="S14" s="81">
        <f>+P14*P$8+Q14*Q$8+Q14*G$8</f>
        <v>0</v>
      </c>
      <c r="T14" s="85"/>
      <c r="U14" s="188"/>
      <c r="V14" s="192">
        <f t="shared" si="0"/>
        <v>0</v>
      </c>
    </row>
    <row r="15" spans="1:27" x14ac:dyDescent="0.25">
      <c r="A15" s="43" t="s">
        <v>2</v>
      </c>
      <c r="B15" s="20" t="s">
        <v>358</v>
      </c>
      <c r="C15" s="68">
        <f>46789000-1000000</f>
        <v>45789000</v>
      </c>
      <c r="D15" s="68">
        <v>45789000</v>
      </c>
      <c r="E15" s="68">
        <v>45789000</v>
      </c>
      <c r="F15" s="717">
        <v>46335397</v>
      </c>
      <c r="G15" s="69"/>
      <c r="H15" s="68">
        <v>20939016</v>
      </c>
      <c r="I15" s="81">
        <v>35110277</v>
      </c>
      <c r="J15" s="717">
        <v>46335397</v>
      </c>
      <c r="K15" s="69"/>
      <c r="L15" s="628">
        <f>IF(H15&gt;0,H15/C15,0)</f>
        <v>0.45729358579571511</v>
      </c>
      <c r="M15" s="628">
        <f>IF(I15&gt;0,I15/D15,0)</f>
        <v>0.76678409661709146</v>
      </c>
      <c r="N15" s="628">
        <f>IF(J15&gt;0,J15/E15,0)</f>
        <v>1.0119329314900958</v>
      </c>
      <c r="O15" s="643"/>
      <c r="P15" s="81">
        <f t="shared" ref="P15:P23" si="1">+(D15-C15)*P$8</f>
        <v>0</v>
      </c>
      <c r="Q15" s="81">
        <f t="shared" ref="Q15:Q23" si="2">+(E15-D15)*Q$8</f>
        <v>0</v>
      </c>
      <c r="R15" s="81">
        <f t="shared" ref="R15:R23" si="3">+(F15-E15)*R$8</f>
        <v>546397</v>
      </c>
      <c r="S15" s="81">
        <f>+P15*P$8+Q15*Q$8+Q15*G$8</f>
        <v>0</v>
      </c>
      <c r="T15" s="85">
        <f t="shared" ref="T15:T23" si="4">IF(C15=0,0,+S15/C15)</f>
        <v>0</v>
      </c>
      <c r="U15" s="188"/>
      <c r="V15" s="192">
        <f t="shared" si="0"/>
        <v>0</v>
      </c>
    </row>
    <row r="16" spans="1:27" x14ac:dyDescent="0.25">
      <c r="A16" s="526" t="s">
        <v>507</v>
      </c>
      <c r="B16" s="479" t="s">
        <v>517</v>
      </c>
      <c r="C16" s="68">
        <v>0</v>
      </c>
      <c r="D16" s="68">
        <v>0</v>
      </c>
      <c r="E16" s="68">
        <v>0</v>
      </c>
      <c r="F16" s="716">
        <v>861095</v>
      </c>
      <c r="G16" s="69"/>
      <c r="H16" s="68">
        <v>0</v>
      </c>
      <c r="I16" s="81">
        <v>0</v>
      </c>
      <c r="J16" s="716">
        <v>861095</v>
      </c>
      <c r="K16" s="69"/>
      <c r="L16" s="628">
        <f t="shared" ref="L16:L27" si="5">IF(H16&gt;0,H16/C16,0)</f>
        <v>0</v>
      </c>
      <c r="M16" s="628">
        <f t="shared" ref="M16:M27" si="6">IF(I16&gt;0,I16/D16,0)</f>
        <v>0</v>
      </c>
      <c r="N16" s="628" t="e">
        <f t="shared" ref="N16:N27" si="7">IF(J16&gt;0,J16/E16,0)</f>
        <v>#DIV/0!</v>
      </c>
      <c r="O16" s="643"/>
      <c r="P16" s="81">
        <f t="shared" si="1"/>
        <v>0</v>
      </c>
      <c r="Q16" s="81">
        <f t="shared" si="2"/>
        <v>0</v>
      </c>
      <c r="R16" s="81">
        <f t="shared" si="3"/>
        <v>861095</v>
      </c>
      <c r="S16" s="81">
        <f t="shared" ref="S16:S27" si="8">+P16*P$8+Q16*Q$8+Q16*G$8</f>
        <v>0</v>
      </c>
      <c r="T16" s="85">
        <f t="shared" si="4"/>
        <v>0</v>
      </c>
      <c r="U16" s="188"/>
      <c r="V16" s="192">
        <f t="shared" si="0"/>
        <v>0</v>
      </c>
    </row>
    <row r="17" spans="1:22" x14ac:dyDescent="0.25">
      <c r="A17" s="43" t="s">
        <v>10</v>
      </c>
      <c r="B17" s="20" t="s">
        <v>4</v>
      </c>
      <c r="C17" s="68">
        <v>0</v>
      </c>
      <c r="D17" s="68">
        <v>0</v>
      </c>
      <c r="E17" s="68">
        <v>0</v>
      </c>
      <c r="F17" s="69">
        <v>0</v>
      </c>
      <c r="G17" s="69"/>
      <c r="H17" s="68">
        <v>0</v>
      </c>
      <c r="I17" s="81">
        <v>0</v>
      </c>
      <c r="J17" s="81">
        <v>0</v>
      </c>
      <c r="K17" s="69"/>
      <c r="L17" s="628">
        <f t="shared" si="5"/>
        <v>0</v>
      </c>
      <c r="M17" s="628">
        <f t="shared" si="6"/>
        <v>0</v>
      </c>
      <c r="N17" s="628">
        <f t="shared" si="7"/>
        <v>0</v>
      </c>
      <c r="O17" s="643"/>
      <c r="P17" s="81">
        <f t="shared" si="1"/>
        <v>0</v>
      </c>
      <c r="Q17" s="81">
        <f t="shared" si="2"/>
        <v>0</v>
      </c>
      <c r="R17" s="81">
        <f t="shared" si="3"/>
        <v>0</v>
      </c>
      <c r="S17" s="81">
        <f t="shared" si="8"/>
        <v>0</v>
      </c>
      <c r="T17" s="85">
        <f t="shared" si="4"/>
        <v>0</v>
      </c>
      <c r="U17" s="188"/>
      <c r="V17" s="192">
        <f t="shared" si="0"/>
        <v>0</v>
      </c>
    </row>
    <row r="18" spans="1:22" x14ac:dyDescent="0.25">
      <c r="A18" s="526" t="s">
        <v>380</v>
      </c>
      <c r="B18" s="20" t="s">
        <v>5</v>
      </c>
      <c r="C18" s="68">
        <v>0</v>
      </c>
      <c r="D18" s="68">
        <v>0</v>
      </c>
      <c r="E18" s="68">
        <v>0</v>
      </c>
      <c r="F18" s="69">
        <v>0</v>
      </c>
      <c r="G18" s="69"/>
      <c r="H18" s="68">
        <v>0</v>
      </c>
      <c r="I18" s="81">
        <v>0</v>
      </c>
      <c r="J18" s="81">
        <v>0</v>
      </c>
      <c r="K18" s="69"/>
      <c r="L18" s="628">
        <f t="shared" si="5"/>
        <v>0</v>
      </c>
      <c r="M18" s="628">
        <f t="shared" si="6"/>
        <v>0</v>
      </c>
      <c r="N18" s="628">
        <f t="shared" si="7"/>
        <v>0</v>
      </c>
      <c r="O18" s="643"/>
      <c r="P18" s="81">
        <f t="shared" si="1"/>
        <v>0</v>
      </c>
      <c r="Q18" s="81">
        <f t="shared" si="2"/>
        <v>0</v>
      </c>
      <c r="R18" s="81">
        <f t="shared" si="3"/>
        <v>0</v>
      </c>
      <c r="S18" s="81">
        <f t="shared" si="8"/>
        <v>0</v>
      </c>
      <c r="T18" s="85">
        <f t="shared" si="4"/>
        <v>0</v>
      </c>
      <c r="U18" s="188"/>
      <c r="V18" s="192">
        <f t="shared" si="0"/>
        <v>0</v>
      </c>
    </row>
    <row r="19" spans="1:22" x14ac:dyDescent="0.25">
      <c r="A19" s="526" t="s">
        <v>515</v>
      </c>
      <c r="B19" s="479" t="s">
        <v>516</v>
      </c>
      <c r="C19" s="68">
        <v>880000</v>
      </c>
      <c r="D19" s="68">
        <v>880000</v>
      </c>
      <c r="E19" s="68">
        <f>857825+305972</f>
        <v>1163797</v>
      </c>
      <c r="F19" s="716">
        <v>305972</v>
      </c>
      <c r="G19" s="69"/>
      <c r="H19" s="68">
        <v>0</v>
      </c>
      <c r="I19" s="81">
        <v>305972</v>
      </c>
      <c r="J19" s="716">
        <v>305972</v>
      </c>
      <c r="K19" s="69"/>
      <c r="L19" s="628">
        <f t="shared" si="5"/>
        <v>0</v>
      </c>
      <c r="M19" s="628">
        <f t="shared" si="6"/>
        <v>0.34769545454545453</v>
      </c>
      <c r="N19" s="628">
        <f t="shared" si="7"/>
        <v>0.26290839381782216</v>
      </c>
      <c r="O19" s="643"/>
      <c r="P19" s="81">
        <f t="shared" si="1"/>
        <v>0</v>
      </c>
      <c r="Q19" s="81">
        <f t="shared" si="2"/>
        <v>283797</v>
      </c>
      <c r="R19" s="81">
        <f t="shared" si="3"/>
        <v>-857825</v>
      </c>
      <c r="S19" s="81">
        <f t="shared" si="8"/>
        <v>283797</v>
      </c>
      <c r="T19" s="85">
        <f t="shared" si="4"/>
        <v>0.32249659090909089</v>
      </c>
      <c r="U19" s="188"/>
      <c r="V19" s="192">
        <f t="shared" si="0"/>
        <v>0</v>
      </c>
    </row>
    <row r="20" spans="1:22" x14ac:dyDescent="0.25">
      <c r="A20" s="43" t="s">
        <v>12</v>
      </c>
      <c r="B20" s="20" t="s">
        <v>7</v>
      </c>
      <c r="C20" s="68">
        <f>2*40000+2*40000</f>
        <v>160000</v>
      </c>
      <c r="D20" s="68">
        <f>2*40000+2*40000</f>
        <v>160000</v>
      </c>
      <c r="E20" s="68">
        <f>2*40000+2*40000</f>
        <v>160000</v>
      </c>
      <c r="F20" s="69"/>
      <c r="G20" s="69"/>
      <c r="H20" s="68">
        <v>0</v>
      </c>
      <c r="I20" s="81"/>
      <c r="J20" s="81"/>
      <c r="K20" s="69"/>
      <c r="L20" s="628">
        <f t="shared" si="5"/>
        <v>0</v>
      </c>
      <c r="M20" s="628">
        <f t="shared" si="6"/>
        <v>0</v>
      </c>
      <c r="N20" s="628">
        <f t="shared" si="7"/>
        <v>0</v>
      </c>
      <c r="O20" s="643"/>
      <c r="P20" s="81">
        <f t="shared" si="1"/>
        <v>0</v>
      </c>
      <c r="Q20" s="81">
        <f t="shared" si="2"/>
        <v>0</v>
      </c>
      <c r="R20" s="81">
        <f t="shared" si="3"/>
        <v>-160000</v>
      </c>
      <c r="S20" s="81">
        <f t="shared" si="8"/>
        <v>0</v>
      </c>
      <c r="T20" s="85">
        <f t="shared" si="4"/>
        <v>0</v>
      </c>
      <c r="U20" s="188"/>
      <c r="V20" s="192">
        <f t="shared" si="0"/>
        <v>0</v>
      </c>
    </row>
    <row r="21" spans="1:22" hidden="1" x14ac:dyDescent="0.25">
      <c r="A21" s="43" t="s">
        <v>13</v>
      </c>
      <c r="B21" s="20" t="s">
        <v>8</v>
      </c>
      <c r="C21" s="68">
        <v>0</v>
      </c>
      <c r="D21" s="68">
        <v>0</v>
      </c>
      <c r="E21" s="68">
        <v>0</v>
      </c>
      <c r="F21" s="69"/>
      <c r="G21" s="69"/>
      <c r="H21" s="68"/>
      <c r="I21" s="81"/>
      <c r="J21" s="81"/>
      <c r="K21" s="69"/>
      <c r="L21" s="628">
        <f t="shared" si="5"/>
        <v>0</v>
      </c>
      <c r="M21" s="628">
        <f t="shared" si="6"/>
        <v>0</v>
      </c>
      <c r="N21" s="628">
        <f t="shared" si="7"/>
        <v>0</v>
      </c>
      <c r="O21" s="643"/>
      <c r="P21" s="81">
        <f t="shared" si="1"/>
        <v>0</v>
      </c>
      <c r="Q21" s="81">
        <f t="shared" si="2"/>
        <v>0</v>
      </c>
      <c r="R21" s="81">
        <f t="shared" si="3"/>
        <v>0</v>
      </c>
      <c r="S21" s="81">
        <f t="shared" si="8"/>
        <v>0</v>
      </c>
      <c r="T21" s="85">
        <f t="shared" si="4"/>
        <v>0</v>
      </c>
      <c r="U21" s="188"/>
      <c r="V21" s="192">
        <f t="shared" si="0"/>
        <v>0</v>
      </c>
    </row>
    <row r="22" spans="1:22" x14ac:dyDescent="0.25">
      <c r="A22" s="43" t="s">
        <v>14</v>
      </c>
      <c r="B22" s="20" t="s">
        <v>9</v>
      </c>
      <c r="C22" s="68">
        <v>0</v>
      </c>
      <c r="D22" s="68">
        <v>0</v>
      </c>
      <c r="E22" s="68">
        <v>0</v>
      </c>
      <c r="F22" s="69"/>
      <c r="G22" s="69"/>
      <c r="H22" s="68">
        <v>0</v>
      </c>
      <c r="I22" s="81"/>
      <c r="J22" s="81"/>
      <c r="K22" s="69"/>
      <c r="L22" s="628">
        <f t="shared" si="5"/>
        <v>0</v>
      </c>
      <c r="M22" s="628">
        <f t="shared" si="6"/>
        <v>0</v>
      </c>
      <c r="N22" s="628">
        <f t="shared" si="7"/>
        <v>0</v>
      </c>
      <c r="O22" s="643"/>
      <c r="P22" s="81">
        <f t="shared" si="1"/>
        <v>0</v>
      </c>
      <c r="Q22" s="81">
        <f t="shared" si="2"/>
        <v>0</v>
      </c>
      <c r="R22" s="81">
        <f t="shared" si="3"/>
        <v>0</v>
      </c>
      <c r="S22" s="81">
        <f t="shared" si="8"/>
        <v>0</v>
      </c>
      <c r="T22" s="85">
        <f t="shared" si="4"/>
        <v>0</v>
      </c>
      <c r="U22" s="188"/>
      <c r="V22" s="192">
        <f t="shared" si="0"/>
        <v>0</v>
      </c>
    </row>
    <row r="23" spans="1:22" x14ac:dyDescent="0.25">
      <c r="A23" s="526" t="s">
        <v>522</v>
      </c>
      <c r="B23" s="479" t="s">
        <v>523</v>
      </c>
      <c r="C23" s="68">
        <v>1000000</v>
      </c>
      <c r="D23" s="68">
        <v>1000000</v>
      </c>
      <c r="E23" s="68">
        <v>1000000</v>
      </c>
      <c r="F23" s="716">
        <v>1189544</v>
      </c>
      <c r="G23" s="69"/>
      <c r="H23" s="68">
        <v>538476</v>
      </c>
      <c r="I23" s="81">
        <v>694571</v>
      </c>
      <c r="J23" s="716">
        <v>1189544</v>
      </c>
      <c r="K23" s="69"/>
      <c r="L23" s="628">
        <f>IF(H23&gt;0,H23/C23,0)</f>
        <v>0.53847599999999995</v>
      </c>
      <c r="M23" s="628">
        <f t="shared" si="6"/>
        <v>0.69457100000000005</v>
      </c>
      <c r="N23" s="628">
        <f t="shared" si="7"/>
        <v>1.1895439999999999</v>
      </c>
      <c r="O23" s="643"/>
      <c r="P23" s="81">
        <f t="shared" si="1"/>
        <v>0</v>
      </c>
      <c r="Q23" s="81">
        <f t="shared" si="2"/>
        <v>0</v>
      </c>
      <c r="R23" s="81">
        <f t="shared" si="3"/>
        <v>189544</v>
      </c>
      <c r="S23" s="81">
        <f t="shared" si="8"/>
        <v>0</v>
      </c>
      <c r="T23" s="85">
        <f t="shared" si="4"/>
        <v>0</v>
      </c>
      <c r="U23" s="188"/>
      <c r="V23" s="192">
        <f t="shared" si="0"/>
        <v>0</v>
      </c>
    </row>
    <row r="24" spans="1:22" x14ac:dyDescent="0.25">
      <c r="A24" s="43" t="s">
        <v>15</v>
      </c>
      <c r="B24" s="20"/>
      <c r="C24" s="68"/>
      <c r="D24" s="68"/>
      <c r="E24" s="68"/>
      <c r="F24" s="69"/>
      <c r="G24" s="69"/>
      <c r="H24" s="68"/>
      <c r="I24" s="81"/>
      <c r="J24" s="81"/>
      <c r="K24" s="69"/>
      <c r="L24" s="628">
        <f t="shared" si="5"/>
        <v>0</v>
      </c>
      <c r="M24" s="628">
        <f t="shared" si="6"/>
        <v>0</v>
      </c>
      <c r="N24" s="628">
        <f t="shared" si="7"/>
        <v>0</v>
      </c>
      <c r="O24" s="643"/>
      <c r="P24" s="81"/>
      <c r="Q24" s="81"/>
      <c r="R24" s="81"/>
      <c r="S24" s="81">
        <f t="shared" si="8"/>
        <v>0</v>
      </c>
      <c r="T24" s="85"/>
      <c r="U24" s="188"/>
      <c r="V24" s="192">
        <f t="shared" si="0"/>
        <v>0</v>
      </c>
    </row>
    <row r="25" spans="1:22" x14ac:dyDescent="0.25">
      <c r="A25" s="14" t="s">
        <v>16</v>
      </c>
      <c r="B25" s="20" t="s">
        <v>17</v>
      </c>
      <c r="C25" s="68">
        <v>18793000</v>
      </c>
      <c r="D25" s="68">
        <v>17793000</v>
      </c>
      <c r="E25" s="68">
        <v>17793000</v>
      </c>
      <c r="F25" s="716">
        <v>21800586</v>
      </c>
      <c r="G25" s="69"/>
      <c r="H25" s="68">
        <v>10359641</v>
      </c>
      <c r="I25" s="81">
        <v>14847842</v>
      </c>
      <c r="J25" s="716">
        <v>21800586</v>
      </c>
      <c r="K25" s="69"/>
      <c r="L25" s="628">
        <f t="shared" si="5"/>
        <v>0.55124998669717451</v>
      </c>
      <c r="M25" s="628">
        <f t="shared" si="6"/>
        <v>0.83447659191817003</v>
      </c>
      <c r="N25" s="628">
        <f t="shared" si="7"/>
        <v>1.2252338560107907</v>
      </c>
      <c r="O25" s="643"/>
      <c r="P25" s="81">
        <f t="shared" ref="P25:R27" si="9">+(D25-C25)*P$8</f>
        <v>-1000000</v>
      </c>
      <c r="Q25" s="81">
        <f t="shared" si="9"/>
        <v>0</v>
      </c>
      <c r="R25" s="81">
        <f t="shared" si="9"/>
        <v>4007586</v>
      </c>
      <c r="S25" s="81">
        <f t="shared" si="8"/>
        <v>-1000000</v>
      </c>
      <c r="T25" s="85">
        <f>IF(C25=0,0,+S25/C25)</f>
        <v>-5.3211302080561913E-2</v>
      </c>
      <c r="U25" s="188"/>
      <c r="V25" s="192">
        <f t="shared" si="0"/>
        <v>0</v>
      </c>
    </row>
    <row r="26" spans="1:22" x14ac:dyDescent="0.25">
      <c r="A26" s="14" t="s">
        <v>18</v>
      </c>
      <c r="B26" s="20" t="s">
        <v>19</v>
      </c>
      <c r="C26" s="68">
        <v>0</v>
      </c>
      <c r="D26" s="68">
        <v>0</v>
      </c>
      <c r="E26" s="68">
        <v>0</v>
      </c>
      <c r="F26" s="69">
        <v>0</v>
      </c>
      <c r="G26" s="69"/>
      <c r="H26" s="68">
        <v>0</v>
      </c>
      <c r="I26" s="81">
        <v>0</v>
      </c>
      <c r="J26" s="81">
        <v>0</v>
      </c>
      <c r="K26" s="69"/>
      <c r="L26" s="628">
        <f t="shared" si="5"/>
        <v>0</v>
      </c>
      <c r="M26" s="628">
        <f t="shared" si="6"/>
        <v>0</v>
      </c>
      <c r="N26" s="628">
        <f t="shared" si="7"/>
        <v>0</v>
      </c>
      <c r="O26" s="643"/>
      <c r="P26" s="81">
        <f t="shared" si="9"/>
        <v>0</v>
      </c>
      <c r="Q26" s="81">
        <f t="shared" si="9"/>
        <v>0</v>
      </c>
      <c r="R26" s="81">
        <f t="shared" si="9"/>
        <v>0</v>
      </c>
      <c r="S26" s="81">
        <f t="shared" si="8"/>
        <v>0</v>
      </c>
      <c r="T26" s="85">
        <f>IF(C26=0,0,+S26/C26)</f>
        <v>0</v>
      </c>
      <c r="U26" s="188"/>
      <c r="V26" s="192">
        <f t="shared" si="0"/>
        <v>0</v>
      </c>
    </row>
    <row r="27" spans="1:22" x14ac:dyDescent="0.25">
      <c r="A27" s="14" t="s">
        <v>20</v>
      </c>
      <c r="B27" s="20" t="s">
        <v>21</v>
      </c>
      <c r="C27" s="68">
        <v>0</v>
      </c>
      <c r="D27" s="68">
        <v>2619000</v>
      </c>
      <c r="E27" s="68">
        <v>2619000</v>
      </c>
      <c r="F27" s="716">
        <v>3087135</v>
      </c>
      <c r="G27" s="69"/>
      <c r="H27" s="68">
        <v>1254048</v>
      </c>
      <c r="I27" s="81">
        <v>1920162</v>
      </c>
      <c r="J27" s="716">
        <v>3087135</v>
      </c>
      <c r="K27" s="69"/>
      <c r="L27" s="628" t="e">
        <f t="shared" si="5"/>
        <v>#DIV/0!</v>
      </c>
      <c r="M27" s="628">
        <f t="shared" si="6"/>
        <v>0.73316609392898058</v>
      </c>
      <c r="N27" s="628">
        <f t="shared" si="7"/>
        <v>1.1787457044673539</v>
      </c>
      <c r="O27" s="643"/>
      <c r="P27" s="81">
        <f t="shared" si="9"/>
        <v>2619000</v>
      </c>
      <c r="Q27" s="81">
        <f t="shared" si="9"/>
        <v>0</v>
      </c>
      <c r="R27" s="81">
        <f t="shared" si="9"/>
        <v>468135</v>
      </c>
      <c r="S27" s="81">
        <f t="shared" si="8"/>
        <v>2619000</v>
      </c>
      <c r="T27" s="85">
        <f>IF(C27=0,0,+S27/C27)</f>
        <v>0</v>
      </c>
      <c r="U27" s="188"/>
      <c r="V27" s="192">
        <f t="shared" si="0"/>
        <v>0</v>
      </c>
    </row>
    <row r="28" spans="1:22" x14ac:dyDescent="0.25">
      <c r="C28" s="68"/>
      <c r="D28" s="69"/>
      <c r="E28" s="69"/>
      <c r="F28" s="69"/>
      <c r="G28" s="69"/>
      <c r="H28" s="81"/>
      <c r="I28" s="81"/>
      <c r="J28" s="81"/>
      <c r="K28" s="69"/>
      <c r="L28" s="628"/>
      <c r="M28" s="628"/>
      <c r="N28" s="628"/>
      <c r="O28" s="643"/>
      <c r="P28" s="81"/>
      <c r="Q28" s="81"/>
      <c r="R28" s="81"/>
      <c r="S28" s="81"/>
      <c r="T28" s="85"/>
      <c r="U28" s="188"/>
      <c r="V28" s="192">
        <f t="shared" si="0"/>
        <v>0</v>
      </c>
    </row>
    <row r="29" spans="1:22" x14ac:dyDescent="0.25">
      <c r="A29" s="4" t="s">
        <v>22</v>
      </c>
      <c r="B29" s="3" t="s">
        <v>23</v>
      </c>
      <c r="C29" s="70">
        <f>SUM(C30:C31)</f>
        <v>11000000</v>
      </c>
      <c r="D29" s="70">
        <f>SUM(D30:D31)</f>
        <v>11000000</v>
      </c>
      <c r="E29" s="70">
        <f>SUM(E30:E31)</f>
        <v>11000000</v>
      </c>
      <c r="F29" s="70">
        <f>SUM(F30:F31)</f>
        <v>11762014</v>
      </c>
      <c r="G29" s="70"/>
      <c r="H29" s="82">
        <f>SUM(H30:H31)</f>
        <v>5790855</v>
      </c>
      <c r="I29" s="82">
        <f>SUM(I30:I31)</f>
        <v>8980382</v>
      </c>
      <c r="J29" s="70">
        <f>SUM(J30:J31)</f>
        <v>11762014</v>
      </c>
      <c r="K29" s="70"/>
      <c r="L29" s="629">
        <f>H29/C29</f>
        <v>0.52644136363636362</v>
      </c>
      <c r="M29" s="629">
        <f>I29/D29</f>
        <v>0.81639836363636364</v>
      </c>
      <c r="N29" s="629">
        <f>+J29/E29</f>
        <v>1.0692740000000001</v>
      </c>
      <c r="O29" s="639"/>
      <c r="P29" s="82">
        <f>IF(D29&gt;0,+D29-C29,0)</f>
        <v>0</v>
      </c>
      <c r="Q29" s="82">
        <f>IF(E29&gt;0,+E29-D29,0)</f>
        <v>0</v>
      </c>
      <c r="R29" s="82">
        <f>IF(F29&gt;0,+F29-E29,0)</f>
        <v>762014</v>
      </c>
      <c r="S29" s="82">
        <f>+P29*P$8+Q29*Q$8+Q29*G$8</f>
        <v>0</v>
      </c>
      <c r="T29" s="85">
        <f>IF(C29=0,0,+S29/C29)</f>
        <v>0</v>
      </c>
      <c r="U29" s="189"/>
      <c r="V29" s="192">
        <f t="shared" si="0"/>
        <v>0</v>
      </c>
    </row>
    <row r="30" spans="1:22" x14ac:dyDescent="0.25">
      <c r="B30" s="20" t="s">
        <v>24</v>
      </c>
      <c r="C30" s="71">
        <v>11000000</v>
      </c>
      <c r="D30" s="71">
        <v>11000000</v>
      </c>
      <c r="E30" s="71">
        <v>11000000</v>
      </c>
      <c r="F30" s="718">
        <v>11762014</v>
      </c>
      <c r="G30" s="69"/>
      <c r="H30" s="81">
        <v>5790855</v>
      </c>
      <c r="I30" s="81">
        <v>8980382</v>
      </c>
      <c r="J30" s="718">
        <v>11762014</v>
      </c>
      <c r="K30" s="69"/>
      <c r="L30" s="628">
        <f>H30/C30</f>
        <v>0.52644136363636362</v>
      </c>
      <c r="M30" s="628">
        <f>I30/D30</f>
        <v>0.81639836363636364</v>
      </c>
      <c r="N30" s="628">
        <f>+J30/E30</f>
        <v>1.0692740000000001</v>
      </c>
      <c r="O30" s="643"/>
      <c r="P30" s="81">
        <f>+(D30-C30)*P$8</f>
        <v>0</v>
      </c>
      <c r="Q30" s="81">
        <f>+(E30-D30)*Q$8</f>
        <v>0</v>
      </c>
      <c r="R30" s="81">
        <f>+(F30-E30)*R$8</f>
        <v>762014</v>
      </c>
      <c r="S30" s="81">
        <f>+P30*P$8+Q30*Q$8+Q30*G$8</f>
        <v>0</v>
      </c>
      <c r="T30" s="85">
        <f>IF(C30=0,0,+S30/C30)</f>
        <v>0</v>
      </c>
      <c r="U30" s="188"/>
      <c r="V30" s="192">
        <f t="shared" si="0"/>
        <v>0</v>
      </c>
    </row>
    <row r="31" spans="1:22" x14ac:dyDescent="0.25">
      <c r="C31" s="71"/>
      <c r="D31" s="69"/>
      <c r="E31" s="69"/>
      <c r="F31" s="69"/>
      <c r="G31" s="69"/>
      <c r="H31" s="81"/>
      <c r="I31" s="81"/>
      <c r="J31" s="81"/>
      <c r="K31" s="69"/>
      <c r="L31" s="628"/>
      <c r="M31" s="628"/>
      <c r="N31" s="628"/>
      <c r="O31" s="643"/>
      <c r="P31" s="81"/>
      <c r="Q31" s="81"/>
      <c r="R31" s="81"/>
      <c r="S31" s="81"/>
      <c r="T31" s="85"/>
      <c r="U31" s="188"/>
      <c r="V31" s="192">
        <f t="shared" si="0"/>
        <v>0</v>
      </c>
    </row>
    <row r="32" spans="1:22" x14ac:dyDescent="0.25">
      <c r="A32" s="4" t="s">
        <v>25</v>
      </c>
      <c r="B32" s="3" t="s">
        <v>26</v>
      </c>
      <c r="C32" s="66">
        <f>SUM(C33:C80)</f>
        <v>162428000</v>
      </c>
      <c r="D32" s="66">
        <f>SUM(D33:D80)</f>
        <v>150452970</v>
      </c>
      <c r="E32" s="66">
        <f>SUM(E33:E80)</f>
        <v>201226541</v>
      </c>
      <c r="F32" s="66">
        <f>SUM(F33:F80)</f>
        <v>199302595</v>
      </c>
      <c r="G32" s="66"/>
      <c r="H32" s="83">
        <f>SUM(H33:H80)</f>
        <v>67263471</v>
      </c>
      <c r="I32" s="83">
        <f>SUM(I33:I80)</f>
        <v>127937757</v>
      </c>
      <c r="J32" s="83">
        <f>SUM(J33:J80)</f>
        <v>180172052</v>
      </c>
      <c r="K32" s="66"/>
      <c r="L32" s="629">
        <f t="shared" ref="L32:N34" si="10">IF(H32&gt;0,H32/C32,0)</f>
        <v>0.41411253601595782</v>
      </c>
      <c r="M32" s="629">
        <f t="shared" si="10"/>
        <v>0.85035049158551013</v>
      </c>
      <c r="N32" s="629">
        <f t="shared" si="10"/>
        <v>0.89536922467896518</v>
      </c>
      <c r="O32" s="644"/>
      <c r="P32" s="83">
        <f>IF(D32&gt;0,+D32-C32,0)</f>
        <v>-11975030</v>
      </c>
      <c r="Q32" s="83">
        <f>IF(E32&gt;0,+E32-D32,0)</f>
        <v>50773571</v>
      </c>
      <c r="R32" s="83">
        <f>IF(F32&gt;0,+F32-E32,0)</f>
        <v>-1923946</v>
      </c>
      <c r="S32" s="83">
        <f t="shared" ref="S32:S79" si="11">+P32*P$8+Q32*Q$8+Q32*G$8</f>
        <v>38798541</v>
      </c>
      <c r="T32" s="85">
        <f t="shared" ref="T32:T79" si="12">IF(C32=0,0,+S32/C32)</f>
        <v>0.23886608835914991</v>
      </c>
      <c r="U32" s="190"/>
      <c r="V32" s="192">
        <f t="shared" si="0"/>
        <v>0</v>
      </c>
    </row>
    <row r="33" spans="1:22" x14ac:dyDescent="0.25">
      <c r="A33" s="14" t="s">
        <v>27</v>
      </c>
      <c r="B33" s="20" t="s">
        <v>28</v>
      </c>
      <c r="C33" s="71"/>
      <c r="D33" s="69"/>
      <c r="E33" s="69">
        <v>0</v>
      </c>
      <c r="F33" s="69"/>
      <c r="G33" s="69"/>
      <c r="H33" s="81"/>
      <c r="I33" s="81"/>
      <c r="J33" s="81"/>
      <c r="K33" s="69"/>
      <c r="L33" s="628">
        <f t="shared" si="10"/>
        <v>0</v>
      </c>
      <c r="M33" s="628">
        <f t="shared" si="10"/>
        <v>0</v>
      </c>
      <c r="N33" s="628">
        <f t="shared" si="10"/>
        <v>0</v>
      </c>
      <c r="O33" s="643"/>
      <c r="P33" s="81">
        <f t="shared" ref="P33:P79" si="13">+(D33-C33)*P$8</f>
        <v>0</v>
      </c>
      <c r="Q33" s="81">
        <f t="shared" ref="Q33:Q79" si="14">+(E33-D33)*Q$8</f>
        <v>0</v>
      </c>
      <c r="R33" s="81">
        <f t="shared" ref="R33:R79" si="15">+(F33-E33)*R$8</f>
        <v>0</v>
      </c>
      <c r="S33" s="81">
        <f t="shared" si="11"/>
        <v>0</v>
      </c>
      <c r="T33" s="85">
        <f t="shared" si="12"/>
        <v>0</v>
      </c>
      <c r="U33" s="188"/>
      <c r="V33" s="192">
        <f t="shared" si="0"/>
        <v>0</v>
      </c>
    </row>
    <row r="34" spans="1:22" x14ac:dyDescent="0.25">
      <c r="A34" s="14" t="s">
        <v>29</v>
      </c>
      <c r="B34" s="20" t="s">
        <v>31</v>
      </c>
      <c r="C34" s="71">
        <v>1625000</v>
      </c>
      <c r="D34" s="71">
        <v>1625000</v>
      </c>
      <c r="E34" s="69">
        <v>910000</v>
      </c>
      <c r="F34" s="716">
        <v>952596</v>
      </c>
      <c r="G34" s="69"/>
      <c r="H34" s="81">
        <v>634156</v>
      </c>
      <c r="I34" s="81">
        <v>652616</v>
      </c>
      <c r="J34" s="716">
        <v>727933</v>
      </c>
      <c r="K34" s="69"/>
      <c r="L34" s="628">
        <f t="shared" si="10"/>
        <v>0.39024984615384617</v>
      </c>
      <c r="M34" s="628">
        <f t="shared" si="10"/>
        <v>0.40160984615384615</v>
      </c>
      <c r="N34" s="628">
        <f t="shared" si="10"/>
        <v>0.79992637362637364</v>
      </c>
      <c r="O34" s="643"/>
      <c r="P34" s="81">
        <f t="shared" si="13"/>
        <v>0</v>
      </c>
      <c r="Q34" s="81">
        <f t="shared" si="14"/>
        <v>-715000</v>
      </c>
      <c r="R34" s="81">
        <f t="shared" si="15"/>
        <v>42596</v>
      </c>
      <c r="S34" s="81">
        <f t="shared" si="11"/>
        <v>-715000</v>
      </c>
      <c r="T34" s="85">
        <f t="shared" si="12"/>
        <v>-0.44</v>
      </c>
      <c r="U34" s="188"/>
      <c r="V34" s="192">
        <f t="shared" si="0"/>
        <v>0</v>
      </c>
    </row>
    <row r="35" spans="1:22" x14ac:dyDescent="0.25">
      <c r="B35" s="20" t="s">
        <v>360</v>
      </c>
      <c r="C35" s="71"/>
      <c r="D35" s="71"/>
      <c r="E35" s="69"/>
      <c r="F35" s="69"/>
      <c r="G35" s="69"/>
      <c r="H35" s="81"/>
      <c r="I35" s="81"/>
      <c r="J35" s="81"/>
      <c r="K35" s="69"/>
      <c r="L35" s="628"/>
      <c r="M35" s="628"/>
      <c r="N35" s="628"/>
      <c r="O35" s="643"/>
      <c r="P35" s="81">
        <f t="shared" si="13"/>
        <v>0</v>
      </c>
      <c r="Q35" s="81">
        <f t="shared" si="14"/>
        <v>0</v>
      </c>
      <c r="R35" s="81">
        <f t="shared" si="15"/>
        <v>0</v>
      </c>
      <c r="S35" s="81">
        <f t="shared" si="11"/>
        <v>0</v>
      </c>
      <c r="T35" s="85">
        <f t="shared" si="12"/>
        <v>0</v>
      </c>
      <c r="U35" s="188"/>
      <c r="V35" s="192">
        <f t="shared" si="0"/>
        <v>0</v>
      </c>
    </row>
    <row r="36" spans="1:22" x14ac:dyDescent="0.25">
      <c r="A36" s="14" t="s">
        <v>30</v>
      </c>
      <c r="B36" s="20" t="s">
        <v>32</v>
      </c>
      <c r="C36" s="71">
        <v>11040000</v>
      </c>
      <c r="D36" s="71">
        <v>11040000</v>
      </c>
      <c r="E36" s="69">
        <v>14732364</v>
      </c>
      <c r="F36" s="716">
        <v>14871096</v>
      </c>
      <c r="G36" s="69"/>
      <c r="H36" s="81">
        <v>8675387</v>
      </c>
      <c r="I36" s="81">
        <v>9916473</v>
      </c>
      <c r="J36" s="716">
        <v>12730668</v>
      </c>
      <c r="K36" s="69"/>
      <c r="L36" s="628">
        <f>IF(H36&gt;0,H36/C36,0)</f>
        <v>0.78581403985507248</v>
      </c>
      <c r="M36" s="628">
        <f>IF(I36&gt;0,I36/D36,0)</f>
        <v>0.89823125000000004</v>
      </c>
      <c r="N36" s="628">
        <f>IF(J36&gt;0,J36/E36,0)</f>
        <v>0.86412934136028674</v>
      </c>
      <c r="O36" s="643"/>
      <c r="P36" s="81">
        <f t="shared" si="13"/>
        <v>0</v>
      </c>
      <c r="Q36" s="81">
        <f t="shared" si="14"/>
        <v>3692364</v>
      </c>
      <c r="R36" s="81">
        <f t="shared" si="15"/>
        <v>138732</v>
      </c>
      <c r="S36" s="81">
        <f t="shared" si="11"/>
        <v>3692364</v>
      </c>
      <c r="T36" s="85">
        <f t="shared" si="12"/>
        <v>0.33445326086956523</v>
      </c>
      <c r="U36" s="188"/>
      <c r="V36" s="192">
        <f t="shared" si="0"/>
        <v>0</v>
      </c>
    </row>
    <row r="37" spans="1:22" ht="17.25" customHeight="1" x14ac:dyDescent="0.25">
      <c r="B37" s="583" t="s">
        <v>361</v>
      </c>
      <c r="C37" s="71"/>
      <c r="D37" s="71"/>
      <c r="E37" s="69"/>
      <c r="F37" s="69"/>
      <c r="G37" s="69"/>
      <c r="H37" s="81"/>
      <c r="I37" s="81"/>
      <c r="J37" s="81"/>
      <c r="K37" s="69"/>
      <c r="L37" s="628"/>
      <c r="M37" s="628"/>
      <c r="N37" s="628"/>
      <c r="O37" s="643"/>
      <c r="P37" s="81">
        <f t="shared" si="13"/>
        <v>0</v>
      </c>
      <c r="Q37" s="81">
        <f t="shared" si="14"/>
        <v>0</v>
      </c>
      <c r="R37" s="81">
        <f t="shared" si="15"/>
        <v>0</v>
      </c>
      <c r="S37" s="81">
        <f t="shared" si="11"/>
        <v>0</v>
      </c>
      <c r="T37" s="85">
        <f t="shared" si="12"/>
        <v>0</v>
      </c>
      <c r="U37" s="188"/>
      <c r="V37" s="192">
        <f t="shared" si="0"/>
        <v>0</v>
      </c>
    </row>
    <row r="38" spans="1:22" x14ac:dyDescent="0.25">
      <c r="B38" s="20" t="s">
        <v>104</v>
      </c>
      <c r="C38" s="71"/>
      <c r="D38" s="71"/>
      <c r="E38" s="69"/>
      <c r="F38" s="69"/>
      <c r="G38" s="69"/>
      <c r="H38" s="81"/>
      <c r="I38" s="81"/>
      <c r="J38" s="81"/>
      <c r="K38" s="69"/>
      <c r="L38" s="628"/>
      <c r="M38" s="628"/>
      <c r="N38" s="628"/>
      <c r="O38" s="643"/>
      <c r="P38" s="81">
        <f t="shared" si="13"/>
        <v>0</v>
      </c>
      <c r="Q38" s="81">
        <f t="shared" si="14"/>
        <v>0</v>
      </c>
      <c r="R38" s="81">
        <f t="shared" si="15"/>
        <v>0</v>
      </c>
      <c r="S38" s="81">
        <f t="shared" si="11"/>
        <v>0</v>
      </c>
      <c r="T38" s="85">
        <f t="shared" si="12"/>
        <v>0</v>
      </c>
      <c r="U38" s="188"/>
      <c r="V38" s="192">
        <f t="shared" si="0"/>
        <v>0</v>
      </c>
    </row>
    <row r="39" spans="1:22" x14ac:dyDescent="0.25">
      <c r="A39" s="14" t="s">
        <v>33</v>
      </c>
      <c r="B39" s="20" t="s">
        <v>34</v>
      </c>
      <c r="C39" s="71"/>
      <c r="D39" s="71"/>
      <c r="E39" s="69"/>
      <c r="F39" s="69"/>
      <c r="G39" s="69"/>
      <c r="H39" s="81"/>
      <c r="I39" s="81"/>
      <c r="J39" s="81"/>
      <c r="K39" s="69"/>
      <c r="L39" s="628"/>
      <c r="M39" s="628"/>
      <c r="N39" s="628"/>
      <c r="O39" s="643"/>
      <c r="P39" s="81">
        <f t="shared" si="13"/>
        <v>0</v>
      </c>
      <c r="Q39" s="81">
        <f t="shared" si="14"/>
        <v>0</v>
      </c>
      <c r="R39" s="81">
        <f t="shared" si="15"/>
        <v>0</v>
      </c>
      <c r="S39" s="81">
        <f t="shared" si="11"/>
        <v>0</v>
      </c>
      <c r="T39" s="85">
        <f t="shared" si="12"/>
        <v>0</v>
      </c>
      <c r="U39" s="188"/>
      <c r="V39" s="192">
        <f t="shared" si="0"/>
        <v>0</v>
      </c>
    </row>
    <row r="40" spans="1:22" x14ac:dyDescent="0.25">
      <c r="A40" s="14" t="s">
        <v>35</v>
      </c>
      <c r="B40" s="20" t="s">
        <v>36</v>
      </c>
      <c r="C40" s="71">
        <v>600000</v>
      </c>
      <c r="D40" s="71">
        <v>6300000</v>
      </c>
      <c r="E40" s="69">
        <v>4900000</v>
      </c>
      <c r="F40" s="716">
        <v>4750000</v>
      </c>
      <c r="G40" s="69"/>
      <c r="H40" s="81">
        <v>2298606</v>
      </c>
      <c r="I40" s="81">
        <v>3464151</v>
      </c>
      <c r="J40" s="717">
        <v>4605696</v>
      </c>
      <c r="K40" s="69"/>
      <c r="L40" s="628">
        <f t="shared" ref="L40:N44" si="16">IF(H40&gt;0,H40/C40,0)</f>
        <v>3.83101</v>
      </c>
      <c r="M40" s="628">
        <f t="shared" si="16"/>
        <v>0.54986523809523813</v>
      </c>
      <c r="N40" s="628">
        <f t="shared" si="16"/>
        <v>0.93993795918367351</v>
      </c>
      <c r="O40" s="643"/>
      <c r="P40" s="81">
        <f t="shared" si="13"/>
        <v>5700000</v>
      </c>
      <c r="Q40" s="81">
        <f t="shared" si="14"/>
        <v>-1400000</v>
      </c>
      <c r="R40" s="81">
        <f t="shared" si="15"/>
        <v>-150000</v>
      </c>
      <c r="S40" s="81">
        <f t="shared" si="11"/>
        <v>4300000</v>
      </c>
      <c r="T40" s="85">
        <f t="shared" si="12"/>
        <v>7.166666666666667</v>
      </c>
      <c r="U40" s="188"/>
      <c r="V40" s="192">
        <f t="shared" si="0"/>
        <v>0</v>
      </c>
    </row>
    <row r="41" spans="1:22" hidden="1" x14ac:dyDescent="0.25">
      <c r="B41" s="20" t="s">
        <v>37</v>
      </c>
      <c r="C41" s="71"/>
      <c r="D41" s="71"/>
      <c r="E41" s="69"/>
      <c r="F41" s="716"/>
      <c r="G41" s="69"/>
      <c r="H41" s="81"/>
      <c r="I41" s="81"/>
      <c r="J41" s="716"/>
      <c r="K41" s="69"/>
      <c r="L41" s="628">
        <f t="shared" si="16"/>
        <v>0</v>
      </c>
      <c r="M41" s="628">
        <f t="shared" si="16"/>
        <v>0</v>
      </c>
      <c r="N41" s="628">
        <f t="shared" si="16"/>
        <v>0</v>
      </c>
      <c r="O41" s="643"/>
      <c r="P41" s="81">
        <f t="shared" si="13"/>
        <v>0</v>
      </c>
      <c r="Q41" s="81">
        <f t="shared" si="14"/>
        <v>0</v>
      </c>
      <c r="R41" s="81">
        <f t="shared" si="15"/>
        <v>0</v>
      </c>
      <c r="S41" s="81">
        <f t="shared" si="11"/>
        <v>0</v>
      </c>
      <c r="T41" s="85">
        <f t="shared" si="12"/>
        <v>0</v>
      </c>
      <c r="U41" s="188"/>
      <c r="V41" s="192">
        <f t="shared" si="0"/>
        <v>0</v>
      </c>
    </row>
    <row r="42" spans="1:22" hidden="1" x14ac:dyDescent="0.25">
      <c r="B42" s="20" t="s">
        <v>38</v>
      </c>
      <c r="C42" s="71"/>
      <c r="D42" s="71"/>
      <c r="E42" s="69"/>
      <c r="F42" s="69"/>
      <c r="G42" s="69"/>
      <c r="H42" s="81"/>
      <c r="I42" s="81"/>
      <c r="J42" s="81"/>
      <c r="K42" s="69"/>
      <c r="L42" s="628">
        <f t="shared" si="16"/>
        <v>0</v>
      </c>
      <c r="M42" s="628">
        <f t="shared" si="16"/>
        <v>0</v>
      </c>
      <c r="N42" s="628">
        <f t="shared" si="16"/>
        <v>0</v>
      </c>
      <c r="O42" s="643"/>
      <c r="P42" s="81">
        <f t="shared" si="13"/>
        <v>0</v>
      </c>
      <c r="Q42" s="81">
        <f t="shared" si="14"/>
        <v>0</v>
      </c>
      <c r="R42" s="81">
        <f t="shared" si="15"/>
        <v>0</v>
      </c>
      <c r="S42" s="81">
        <f t="shared" si="11"/>
        <v>0</v>
      </c>
      <c r="T42" s="85">
        <f t="shared" si="12"/>
        <v>0</v>
      </c>
      <c r="U42" s="188"/>
      <c r="V42" s="192">
        <f t="shared" si="0"/>
        <v>0</v>
      </c>
    </row>
    <row r="43" spans="1:22" hidden="1" x14ac:dyDescent="0.25">
      <c r="B43" s="20" t="s">
        <v>39</v>
      </c>
      <c r="C43" s="71"/>
      <c r="D43" s="71"/>
      <c r="E43" s="69"/>
      <c r="F43" s="69"/>
      <c r="G43" s="69"/>
      <c r="H43" s="81"/>
      <c r="I43" s="81"/>
      <c r="J43" s="81"/>
      <c r="K43" s="69"/>
      <c r="L43" s="628">
        <f t="shared" si="16"/>
        <v>0</v>
      </c>
      <c r="M43" s="628">
        <f t="shared" si="16"/>
        <v>0</v>
      </c>
      <c r="N43" s="628">
        <f t="shared" si="16"/>
        <v>0</v>
      </c>
      <c r="O43" s="643"/>
      <c r="P43" s="81">
        <f t="shared" si="13"/>
        <v>0</v>
      </c>
      <c r="Q43" s="81">
        <f t="shared" si="14"/>
        <v>0</v>
      </c>
      <c r="R43" s="81">
        <f t="shared" si="15"/>
        <v>0</v>
      </c>
      <c r="S43" s="81">
        <f t="shared" si="11"/>
        <v>0</v>
      </c>
      <c r="T43" s="85">
        <f t="shared" si="12"/>
        <v>0</v>
      </c>
      <c r="U43" s="188"/>
      <c r="V43" s="192">
        <f t="shared" si="0"/>
        <v>0</v>
      </c>
    </row>
    <row r="44" spans="1:22" x14ac:dyDescent="0.25">
      <c r="A44" s="14" t="s">
        <v>40</v>
      </c>
      <c r="B44" s="20" t="s">
        <v>41</v>
      </c>
      <c r="C44" s="71">
        <v>2050000</v>
      </c>
      <c r="D44" s="71">
        <v>2050000</v>
      </c>
      <c r="E44" s="69">
        <v>2050000</v>
      </c>
      <c r="F44" s="69">
        <v>1700000</v>
      </c>
      <c r="G44" s="69"/>
      <c r="H44" s="81">
        <v>708960</v>
      </c>
      <c r="I44" s="81">
        <v>1113031</v>
      </c>
      <c r="J44" s="716">
        <v>1512013</v>
      </c>
      <c r="K44" s="69"/>
      <c r="L44" s="628">
        <f t="shared" si="16"/>
        <v>0.34583414634146342</v>
      </c>
      <c r="M44" s="628">
        <f t="shared" si="16"/>
        <v>0.54294195121951216</v>
      </c>
      <c r="N44" s="628">
        <f t="shared" si="16"/>
        <v>0.73756731707317069</v>
      </c>
      <c r="O44" s="643"/>
      <c r="P44" s="81">
        <f t="shared" si="13"/>
        <v>0</v>
      </c>
      <c r="Q44" s="81">
        <f t="shared" si="14"/>
        <v>0</v>
      </c>
      <c r="R44" s="81">
        <f t="shared" si="15"/>
        <v>-350000</v>
      </c>
      <c r="S44" s="81">
        <f t="shared" si="11"/>
        <v>0</v>
      </c>
      <c r="T44" s="85">
        <f t="shared" si="12"/>
        <v>0</v>
      </c>
      <c r="U44" s="188"/>
      <c r="V44" s="192">
        <f t="shared" si="0"/>
        <v>0</v>
      </c>
    </row>
    <row r="45" spans="1:22" x14ac:dyDescent="0.25">
      <c r="B45" s="20" t="s">
        <v>42</v>
      </c>
      <c r="C45" s="71"/>
      <c r="D45" s="71"/>
      <c r="E45" s="69"/>
      <c r="F45" s="69"/>
      <c r="G45" s="69"/>
      <c r="H45" s="81"/>
      <c r="I45" s="81"/>
      <c r="J45" s="81"/>
      <c r="K45" s="69"/>
      <c r="L45" s="628"/>
      <c r="M45" s="628"/>
      <c r="N45" s="628"/>
      <c r="O45" s="643"/>
      <c r="P45" s="81">
        <f t="shared" si="13"/>
        <v>0</v>
      </c>
      <c r="Q45" s="81">
        <f t="shared" si="14"/>
        <v>0</v>
      </c>
      <c r="R45" s="81">
        <f t="shared" si="15"/>
        <v>0</v>
      </c>
      <c r="S45" s="81">
        <f t="shared" si="11"/>
        <v>0</v>
      </c>
      <c r="T45" s="85">
        <f t="shared" si="12"/>
        <v>0</v>
      </c>
      <c r="U45" s="188"/>
      <c r="V45" s="192">
        <f t="shared" ref="V45:V76" si="17">+S45-E45+C45</f>
        <v>0</v>
      </c>
    </row>
    <row r="46" spans="1:22" x14ac:dyDescent="0.25">
      <c r="A46" s="14" t="s">
        <v>43</v>
      </c>
      <c r="B46" s="20" t="s">
        <v>44</v>
      </c>
      <c r="C46" s="71"/>
      <c r="D46" s="69"/>
      <c r="E46" s="69"/>
      <c r="F46" s="69"/>
      <c r="G46" s="69"/>
      <c r="H46" s="81"/>
      <c r="I46" s="81"/>
      <c r="J46" s="81"/>
      <c r="K46" s="69"/>
      <c r="L46" s="628"/>
      <c r="M46" s="628"/>
      <c r="N46" s="628"/>
      <c r="O46" s="643"/>
      <c r="P46" s="81">
        <f t="shared" si="13"/>
        <v>0</v>
      </c>
      <c r="Q46" s="81">
        <f t="shared" si="14"/>
        <v>0</v>
      </c>
      <c r="R46" s="81">
        <f t="shared" si="15"/>
        <v>0</v>
      </c>
      <c r="S46" s="81">
        <f t="shared" si="11"/>
        <v>0</v>
      </c>
      <c r="T46" s="85">
        <f t="shared" si="12"/>
        <v>0</v>
      </c>
      <c r="U46" s="188"/>
      <c r="V46" s="192">
        <f t="shared" si="17"/>
        <v>0</v>
      </c>
    </row>
    <row r="47" spans="1:22" x14ac:dyDescent="0.25">
      <c r="A47" s="14" t="s">
        <v>45</v>
      </c>
      <c r="B47" s="20" t="s">
        <v>46</v>
      </c>
      <c r="C47" s="71">
        <v>15000000</v>
      </c>
      <c r="D47" s="69">
        <v>15000000</v>
      </c>
      <c r="E47" s="69">
        <v>14000000</v>
      </c>
      <c r="F47" s="716">
        <v>15009000</v>
      </c>
      <c r="G47" s="69"/>
      <c r="H47" s="81">
        <v>6431692</v>
      </c>
      <c r="I47" s="81">
        <v>9406700</v>
      </c>
      <c r="J47" s="716">
        <v>12959038</v>
      </c>
      <c r="K47" s="69"/>
      <c r="L47" s="628">
        <f>IF(H47&gt;0,H47/C47,0)</f>
        <v>0.42877946666666666</v>
      </c>
      <c r="M47" s="628">
        <f>IF(I47&gt;0,I47/D47,0)</f>
        <v>0.6271133333333333</v>
      </c>
      <c r="N47" s="628">
        <f>IF(J47&gt;0,J47/E47,0)</f>
        <v>0.9256455714285714</v>
      </c>
      <c r="O47" s="643"/>
      <c r="P47" s="81">
        <f t="shared" si="13"/>
        <v>0</v>
      </c>
      <c r="Q47" s="81">
        <f t="shared" si="14"/>
        <v>-1000000</v>
      </c>
      <c r="R47" s="81">
        <f t="shared" si="15"/>
        <v>1009000</v>
      </c>
      <c r="S47" s="81">
        <f t="shared" si="11"/>
        <v>-1000000</v>
      </c>
      <c r="T47" s="85">
        <f t="shared" si="12"/>
        <v>-6.6666666666666666E-2</v>
      </c>
      <c r="U47" s="188"/>
      <c r="V47" s="192">
        <f t="shared" si="17"/>
        <v>0</v>
      </c>
    </row>
    <row r="48" spans="1:22" x14ac:dyDescent="0.25">
      <c r="B48" s="20" t="s">
        <v>93</v>
      </c>
      <c r="C48" s="71"/>
      <c r="D48" s="69"/>
      <c r="E48" s="69"/>
      <c r="F48" s="69"/>
      <c r="G48" s="69"/>
      <c r="H48" s="81"/>
      <c r="I48" s="81"/>
      <c r="J48" s="81"/>
      <c r="K48" s="69"/>
      <c r="L48" s="628"/>
      <c r="M48" s="628"/>
      <c r="N48" s="628"/>
      <c r="O48" s="643"/>
      <c r="P48" s="81">
        <f t="shared" si="13"/>
        <v>0</v>
      </c>
      <c r="Q48" s="81">
        <f t="shared" si="14"/>
        <v>0</v>
      </c>
      <c r="R48" s="81">
        <f t="shared" si="15"/>
        <v>0</v>
      </c>
      <c r="S48" s="81">
        <f t="shared" si="11"/>
        <v>0</v>
      </c>
      <c r="T48" s="85">
        <f t="shared" si="12"/>
        <v>0</v>
      </c>
      <c r="U48" s="188"/>
      <c r="V48" s="192">
        <f t="shared" si="17"/>
        <v>0</v>
      </c>
    </row>
    <row r="49" spans="1:22" x14ac:dyDescent="0.25">
      <c r="B49" s="20" t="s">
        <v>94</v>
      </c>
      <c r="C49" s="71"/>
      <c r="D49" s="69"/>
      <c r="E49" s="69"/>
      <c r="F49" s="69"/>
      <c r="G49" s="69"/>
      <c r="H49" s="81"/>
      <c r="I49" s="81"/>
      <c r="J49" s="81"/>
      <c r="K49" s="69"/>
      <c r="L49" s="628"/>
      <c r="M49" s="628"/>
      <c r="N49" s="628"/>
      <c r="O49" s="643"/>
      <c r="P49" s="81">
        <f t="shared" si="13"/>
        <v>0</v>
      </c>
      <c r="Q49" s="81">
        <f t="shared" si="14"/>
        <v>0</v>
      </c>
      <c r="R49" s="81">
        <f t="shared" si="15"/>
        <v>0</v>
      </c>
      <c r="S49" s="81">
        <f t="shared" si="11"/>
        <v>0</v>
      </c>
      <c r="T49" s="85">
        <f t="shared" si="12"/>
        <v>0</v>
      </c>
      <c r="U49" s="188"/>
      <c r="V49" s="192">
        <f t="shared" si="17"/>
        <v>0</v>
      </c>
    </row>
    <row r="50" spans="1:22" x14ac:dyDescent="0.25">
      <c r="B50" s="20" t="s">
        <v>95</v>
      </c>
      <c r="C50" s="71"/>
      <c r="D50" s="69"/>
      <c r="E50" s="69"/>
      <c r="F50" s="69"/>
      <c r="G50" s="69"/>
      <c r="H50" s="81"/>
      <c r="I50" s="81"/>
      <c r="J50" s="81"/>
      <c r="K50" s="69"/>
      <c r="L50" s="628"/>
      <c r="M50" s="628"/>
      <c r="N50" s="628"/>
      <c r="O50" s="643"/>
      <c r="P50" s="81">
        <f t="shared" si="13"/>
        <v>0</v>
      </c>
      <c r="Q50" s="81">
        <f t="shared" si="14"/>
        <v>0</v>
      </c>
      <c r="R50" s="81">
        <f t="shared" si="15"/>
        <v>0</v>
      </c>
      <c r="S50" s="81">
        <f t="shared" si="11"/>
        <v>0</v>
      </c>
      <c r="T50" s="85">
        <f t="shared" si="12"/>
        <v>0</v>
      </c>
      <c r="U50" s="188"/>
      <c r="V50" s="192">
        <f t="shared" si="17"/>
        <v>0</v>
      </c>
    </row>
    <row r="51" spans="1:22" x14ac:dyDescent="0.25">
      <c r="A51" s="14" t="s">
        <v>47</v>
      </c>
      <c r="B51" s="20" t="s">
        <v>48</v>
      </c>
      <c r="C51" s="71">
        <v>0</v>
      </c>
      <c r="D51" s="71">
        <v>0</v>
      </c>
      <c r="E51" s="69">
        <v>0</v>
      </c>
      <c r="F51" s="69">
        <v>0</v>
      </c>
      <c r="G51" s="69"/>
      <c r="H51" s="81">
        <v>0</v>
      </c>
      <c r="I51" s="81">
        <v>0</v>
      </c>
      <c r="J51" s="81">
        <v>0</v>
      </c>
      <c r="K51" s="69"/>
      <c r="L51" s="628">
        <f>IF(H51&gt;0,H51/C51,0)</f>
        <v>0</v>
      </c>
      <c r="M51" s="628">
        <f>IF(I51&gt;0,I51/D51,0)</f>
        <v>0</v>
      </c>
      <c r="N51" s="628">
        <f>IF(J51&gt;0,J51/E51,0)</f>
        <v>0</v>
      </c>
      <c r="O51" s="643"/>
      <c r="P51" s="81">
        <f t="shared" si="13"/>
        <v>0</v>
      </c>
      <c r="Q51" s="81">
        <f t="shared" si="14"/>
        <v>0</v>
      </c>
      <c r="R51" s="81">
        <f t="shared" si="15"/>
        <v>0</v>
      </c>
      <c r="S51" s="81">
        <f t="shared" si="11"/>
        <v>0</v>
      </c>
      <c r="T51" s="85">
        <f t="shared" si="12"/>
        <v>0</v>
      </c>
      <c r="U51" s="188"/>
      <c r="V51" s="192">
        <f t="shared" si="17"/>
        <v>0</v>
      </c>
    </row>
    <row r="52" spans="1:22" x14ac:dyDescent="0.25">
      <c r="B52" s="20" t="s">
        <v>86</v>
      </c>
      <c r="C52" s="71"/>
      <c r="D52" s="69"/>
      <c r="E52" s="69"/>
      <c r="F52" s="69"/>
      <c r="G52" s="69"/>
      <c r="H52" s="81"/>
      <c r="I52" s="81"/>
      <c r="J52" s="81"/>
      <c r="K52" s="69"/>
      <c r="L52" s="628"/>
      <c r="M52" s="628"/>
      <c r="N52" s="628"/>
      <c r="O52" s="643"/>
      <c r="P52" s="81">
        <f t="shared" si="13"/>
        <v>0</v>
      </c>
      <c r="Q52" s="81">
        <f t="shared" si="14"/>
        <v>0</v>
      </c>
      <c r="R52" s="81">
        <f t="shared" si="15"/>
        <v>0</v>
      </c>
      <c r="S52" s="81">
        <f t="shared" si="11"/>
        <v>0</v>
      </c>
      <c r="T52" s="85">
        <f t="shared" si="12"/>
        <v>0</v>
      </c>
      <c r="U52" s="188"/>
      <c r="V52" s="192">
        <f t="shared" si="17"/>
        <v>0</v>
      </c>
    </row>
    <row r="53" spans="1:22" x14ac:dyDescent="0.25">
      <c r="B53" s="20" t="s">
        <v>49</v>
      </c>
      <c r="C53" s="71"/>
      <c r="D53" s="69"/>
      <c r="E53" s="69"/>
      <c r="F53" s="69"/>
      <c r="G53" s="69"/>
      <c r="H53" s="81"/>
      <c r="I53" s="81"/>
      <c r="J53" s="81"/>
      <c r="K53" s="69"/>
      <c r="L53" s="628"/>
      <c r="M53" s="628"/>
      <c r="N53" s="628"/>
      <c r="O53" s="643"/>
      <c r="P53" s="81">
        <f t="shared" si="13"/>
        <v>0</v>
      </c>
      <c r="Q53" s="81">
        <f t="shared" si="14"/>
        <v>0</v>
      </c>
      <c r="R53" s="81">
        <f t="shared" si="15"/>
        <v>0</v>
      </c>
      <c r="S53" s="81">
        <f t="shared" si="11"/>
        <v>0</v>
      </c>
      <c r="T53" s="85">
        <f t="shared" si="12"/>
        <v>0</v>
      </c>
      <c r="U53" s="188"/>
      <c r="V53" s="192">
        <f t="shared" si="17"/>
        <v>0</v>
      </c>
    </row>
    <row r="54" spans="1:22" x14ac:dyDescent="0.25">
      <c r="A54" s="14" t="s">
        <v>50</v>
      </c>
      <c r="B54" s="20" t="s">
        <v>51</v>
      </c>
      <c r="C54" s="71">
        <v>1500000</v>
      </c>
      <c r="D54" s="69">
        <v>1900000</v>
      </c>
      <c r="E54" s="69">
        <v>1900000</v>
      </c>
      <c r="F54" s="716">
        <v>1900000</v>
      </c>
      <c r="G54" s="69"/>
      <c r="H54" s="81">
        <v>784000</v>
      </c>
      <c r="I54" s="81">
        <v>1084000</v>
      </c>
      <c r="J54" s="81">
        <v>1284000</v>
      </c>
      <c r="K54" s="69"/>
      <c r="L54" s="628">
        <f>IF(H54&gt;0,H54/C54,0)</f>
        <v>0.52266666666666661</v>
      </c>
      <c r="M54" s="628">
        <f>IF(I54&gt;0,I54/D54,0)</f>
        <v>0.57052631578947366</v>
      </c>
      <c r="N54" s="628">
        <f>IF(J54&gt;0,J54/E54,0)</f>
        <v>0.6757894736842105</v>
      </c>
      <c r="O54" s="643"/>
      <c r="P54" s="81">
        <f t="shared" si="13"/>
        <v>400000</v>
      </c>
      <c r="Q54" s="81">
        <f t="shared" si="14"/>
        <v>0</v>
      </c>
      <c r="R54" s="81">
        <f t="shared" si="15"/>
        <v>0</v>
      </c>
      <c r="S54" s="81">
        <f t="shared" si="11"/>
        <v>400000</v>
      </c>
      <c r="T54" s="85">
        <f t="shared" si="12"/>
        <v>0.26666666666666666</v>
      </c>
      <c r="U54" s="188"/>
      <c r="V54" s="192">
        <f t="shared" si="17"/>
        <v>0</v>
      </c>
    </row>
    <row r="55" spans="1:22" x14ac:dyDescent="0.25">
      <c r="B55" s="20" t="s">
        <v>52</v>
      </c>
      <c r="C55" s="71"/>
      <c r="D55" s="69"/>
      <c r="E55" s="69"/>
      <c r="F55" s="69"/>
      <c r="G55" s="69"/>
      <c r="H55" s="81"/>
      <c r="I55" s="81"/>
      <c r="J55" s="81"/>
      <c r="K55" s="69"/>
      <c r="L55" s="628"/>
      <c r="M55" s="628"/>
      <c r="N55" s="628"/>
      <c r="O55" s="643"/>
      <c r="P55" s="81">
        <f t="shared" si="13"/>
        <v>0</v>
      </c>
      <c r="Q55" s="81">
        <f t="shared" si="14"/>
        <v>0</v>
      </c>
      <c r="R55" s="81">
        <f t="shared" si="15"/>
        <v>0</v>
      </c>
      <c r="S55" s="81">
        <f t="shared" si="11"/>
        <v>0</v>
      </c>
      <c r="T55" s="85">
        <f t="shared" si="12"/>
        <v>0</v>
      </c>
      <c r="U55" s="188"/>
      <c r="V55" s="192">
        <f t="shared" si="17"/>
        <v>0</v>
      </c>
    </row>
    <row r="56" spans="1:22" x14ac:dyDescent="0.25">
      <c r="A56" s="14" t="s">
        <v>53</v>
      </c>
      <c r="B56" s="20" t="s">
        <v>87</v>
      </c>
      <c r="C56" s="71">
        <v>11500000</v>
      </c>
      <c r="D56" s="69">
        <v>7719500</v>
      </c>
      <c r="E56" s="69">
        <v>5336110</v>
      </c>
      <c r="F56" s="69">
        <v>5727457</v>
      </c>
      <c r="G56" s="69"/>
      <c r="H56" s="81">
        <v>1722777</v>
      </c>
      <c r="I56" s="81">
        <v>4637911</v>
      </c>
      <c r="J56" s="81">
        <v>5570457</v>
      </c>
      <c r="K56" s="69"/>
      <c r="L56" s="628">
        <f>IF(H56&gt;0,H56/C56,0)</f>
        <v>0.14980669565217392</v>
      </c>
      <c r="M56" s="628">
        <f>IF(I56&gt;0,I56/D56,0)</f>
        <v>0.60080458578923501</v>
      </c>
      <c r="N56" s="628">
        <f>IF(J56&gt;0,J56/E56,0)</f>
        <v>1.0439171981087347</v>
      </c>
      <c r="O56" s="643"/>
      <c r="P56" s="81">
        <f t="shared" si="13"/>
        <v>-3780500</v>
      </c>
      <c r="Q56" s="81">
        <f t="shared" si="14"/>
        <v>-2383390</v>
      </c>
      <c r="R56" s="81">
        <f t="shared" si="15"/>
        <v>391347</v>
      </c>
      <c r="S56" s="81">
        <f t="shared" si="11"/>
        <v>-6163890</v>
      </c>
      <c r="T56" s="85">
        <f t="shared" si="12"/>
        <v>-0.53599043478260866</v>
      </c>
      <c r="U56" s="188"/>
      <c r="V56" s="192">
        <f t="shared" si="17"/>
        <v>0</v>
      </c>
    </row>
    <row r="57" spans="1:22" x14ac:dyDescent="0.25">
      <c r="B57" s="20" t="s">
        <v>54</v>
      </c>
      <c r="C57" s="71"/>
      <c r="D57" s="69"/>
      <c r="E57" s="69"/>
      <c r="F57" s="69"/>
      <c r="G57" s="69"/>
      <c r="H57" s="81"/>
      <c r="I57" s="81"/>
      <c r="J57" s="81"/>
      <c r="K57" s="69"/>
      <c r="L57" s="628"/>
      <c r="M57" s="628"/>
      <c r="N57" s="628"/>
      <c r="O57" s="643"/>
      <c r="P57" s="81">
        <f t="shared" si="13"/>
        <v>0</v>
      </c>
      <c r="Q57" s="81">
        <f t="shared" si="14"/>
        <v>0</v>
      </c>
      <c r="R57" s="81">
        <f t="shared" si="15"/>
        <v>0</v>
      </c>
      <c r="S57" s="81">
        <f t="shared" si="11"/>
        <v>0</v>
      </c>
      <c r="T57" s="85">
        <f t="shared" si="12"/>
        <v>0</v>
      </c>
      <c r="U57" s="188"/>
      <c r="V57" s="192">
        <f t="shared" si="17"/>
        <v>0</v>
      </c>
    </row>
    <row r="58" spans="1:22" x14ac:dyDescent="0.25">
      <c r="A58" s="14" t="s">
        <v>55</v>
      </c>
      <c r="B58" s="20" t="s">
        <v>56</v>
      </c>
      <c r="C58" s="71">
        <v>25000000</v>
      </c>
      <c r="D58" s="71">
        <v>16319325</v>
      </c>
      <c r="E58" s="69">
        <v>19819325</v>
      </c>
      <c r="F58" s="69">
        <v>16038304</v>
      </c>
      <c r="G58" s="69"/>
      <c r="H58" s="81">
        <v>7414863</v>
      </c>
      <c r="I58" s="81">
        <v>9880442</v>
      </c>
      <c r="J58" s="81">
        <v>13144853</v>
      </c>
      <c r="K58" s="69"/>
      <c r="L58" s="628">
        <f t="shared" ref="L58:L72" si="18">IF(H58&gt;0,H58/C58,0)</f>
        <v>0.29659451999999997</v>
      </c>
      <c r="M58" s="628">
        <f t="shared" ref="M58:M72" si="19">IF(I58&gt;0,I58/D58,0)</f>
        <v>0.60544428154963514</v>
      </c>
      <c r="N58" s="628">
        <f t="shared" ref="N58:N72" si="20">IF(J58&gt;0,J58/E58,0)</f>
        <v>0.66323414142509896</v>
      </c>
      <c r="O58" s="643"/>
      <c r="P58" s="81">
        <f t="shared" si="13"/>
        <v>-8680675</v>
      </c>
      <c r="Q58" s="81">
        <f t="shared" si="14"/>
        <v>3500000</v>
      </c>
      <c r="R58" s="81">
        <f t="shared" si="15"/>
        <v>-3781021</v>
      </c>
      <c r="S58" s="81">
        <f t="shared" si="11"/>
        <v>-5180675</v>
      </c>
      <c r="T58" s="85">
        <f t="shared" si="12"/>
        <v>-0.20722699999999999</v>
      </c>
      <c r="U58" s="188"/>
      <c r="V58" s="192">
        <f t="shared" si="17"/>
        <v>0</v>
      </c>
    </row>
    <row r="59" spans="1:22" ht="26.4" hidden="1" x14ac:dyDescent="0.25">
      <c r="A59" s="20"/>
      <c r="B59" s="20" t="s">
        <v>57</v>
      </c>
      <c r="C59" s="71"/>
      <c r="D59" s="69"/>
      <c r="E59" s="69"/>
      <c r="F59" s="69"/>
      <c r="G59" s="69"/>
      <c r="H59" s="81"/>
      <c r="I59" s="81"/>
      <c r="J59" s="81"/>
      <c r="K59" s="69"/>
      <c r="L59" s="628">
        <f t="shared" si="18"/>
        <v>0</v>
      </c>
      <c r="M59" s="628">
        <f t="shared" si="19"/>
        <v>0</v>
      </c>
      <c r="N59" s="628">
        <f t="shared" si="20"/>
        <v>0</v>
      </c>
      <c r="O59" s="643"/>
      <c r="P59" s="81">
        <f t="shared" si="13"/>
        <v>0</v>
      </c>
      <c r="Q59" s="81">
        <f t="shared" si="14"/>
        <v>0</v>
      </c>
      <c r="R59" s="81">
        <f t="shared" si="15"/>
        <v>0</v>
      </c>
      <c r="S59" s="81">
        <f t="shared" si="11"/>
        <v>0</v>
      </c>
      <c r="T59" s="85">
        <f t="shared" si="12"/>
        <v>0</v>
      </c>
      <c r="U59" s="188"/>
      <c r="V59" s="192">
        <f t="shared" si="17"/>
        <v>0</v>
      </c>
    </row>
    <row r="60" spans="1:22" x14ac:dyDescent="0.25">
      <c r="A60" s="14" t="s">
        <v>58</v>
      </c>
      <c r="B60" s="20" t="s">
        <v>59</v>
      </c>
      <c r="C60" s="71">
        <v>1700000</v>
      </c>
      <c r="D60" s="71">
        <v>1700000</v>
      </c>
      <c r="E60" s="69">
        <v>1224000</v>
      </c>
      <c r="F60" s="69">
        <v>1224000</v>
      </c>
      <c r="G60" s="69"/>
      <c r="H60" s="81">
        <v>564454</v>
      </c>
      <c r="I60" s="81">
        <v>721754</v>
      </c>
      <c r="J60" s="81">
        <v>881754</v>
      </c>
      <c r="K60" s="69"/>
      <c r="L60" s="628">
        <f t="shared" si="18"/>
        <v>0.33203176470588236</v>
      </c>
      <c r="M60" s="628">
        <f t="shared" si="19"/>
        <v>0.42456117647058822</v>
      </c>
      <c r="N60" s="628">
        <f t="shared" si="20"/>
        <v>0.72038725490196076</v>
      </c>
      <c r="O60" s="643"/>
      <c r="P60" s="81">
        <f t="shared" si="13"/>
        <v>0</v>
      </c>
      <c r="Q60" s="81">
        <f t="shared" si="14"/>
        <v>-476000</v>
      </c>
      <c r="R60" s="81">
        <f t="shared" si="15"/>
        <v>0</v>
      </c>
      <c r="S60" s="81">
        <f t="shared" si="11"/>
        <v>-476000</v>
      </c>
      <c r="T60" s="85">
        <f t="shared" si="12"/>
        <v>-0.28000000000000003</v>
      </c>
      <c r="U60" s="188"/>
      <c r="V60" s="192">
        <f t="shared" si="17"/>
        <v>0</v>
      </c>
    </row>
    <row r="61" spans="1:22" ht="66" hidden="1" x14ac:dyDescent="0.25">
      <c r="B61" s="20" t="s">
        <v>359</v>
      </c>
      <c r="C61" s="71"/>
      <c r="D61" s="69"/>
      <c r="E61" s="69"/>
      <c r="F61" s="69"/>
      <c r="G61" s="69"/>
      <c r="H61" s="81"/>
      <c r="I61" s="81"/>
      <c r="J61" s="81"/>
      <c r="K61" s="69"/>
      <c r="L61" s="628">
        <f t="shared" si="18"/>
        <v>0</v>
      </c>
      <c r="M61" s="628">
        <f t="shared" si="19"/>
        <v>0</v>
      </c>
      <c r="N61" s="628">
        <f t="shared" si="20"/>
        <v>0</v>
      </c>
      <c r="O61" s="643"/>
      <c r="P61" s="81">
        <f t="shared" si="13"/>
        <v>0</v>
      </c>
      <c r="Q61" s="81">
        <f t="shared" si="14"/>
        <v>0</v>
      </c>
      <c r="R61" s="81">
        <f t="shared" si="15"/>
        <v>0</v>
      </c>
      <c r="S61" s="81">
        <f t="shared" si="11"/>
        <v>0</v>
      </c>
      <c r="T61" s="85">
        <f t="shared" si="12"/>
        <v>0</v>
      </c>
      <c r="U61" s="188"/>
      <c r="V61" s="192">
        <f t="shared" si="17"/>
        <v>0</v>
      </c>
    </row>
    <row r="62" spans="1:22" x14ac:dyDescent="0.25">
      <c r="A62" s="14" t="s">
        <v>60</v>
      </c>
      <c r="B62" s="20" t="s">
        <v>61</v>
      </c>
      <c r="C62" s="71">
        <v>40823000</v>
      </c>
      <c r="D62" s="71">
        <v>31444670</v>
      </c>
      <c r="E62" s="69">
        <v>37949267</v>
      </c>
      <c r="F62" s="69">
        <v>38236267</v>
      </c>
      <c r="G62" s="69"/>
      <c r="H62" s="81">
        <v>19135900</v>
      </c>
      <c r="I62" s="81">
        <v>29408568</v>
      </c>
      <c r="J62" s="81">
        <v>36717488</v>
      </c>
      <c r="K62" s="69"/>
      <c r="L62" s="628">
        <f t="shared" si="18"/>
        <v>0.46875290889939497</v>
      </c>
      <c r="M62" s="628">
        <f t="shared" si="19"/>
        <v>0.93524810405070236</v>
      </c>
      <c r="N62" s="628">
        <f t="shared" si="20"/>
        <v>0.96754142840229296</v>
      </c>
      <c r="O62" s="643"/>
      <c r="P62" s="81">
        <f t="shared" si="13"/>
        <v>-9378330</v>
      </c>
      <c r="Q62" s="81">
        <f t="shared" si="14"/>
        <v>6504597</v>
      </c>
      <c r="R62" s="81">
        <f t="shared" si="15"/>
        <v>287000</v>
      </c>
      <c r="S62" s="81">
        <f t="shared" si="11"/>
        <v>-2873733</v>
      </c>
      <c r="T62" s="85">
        <f t="shared" si="12"/>
        <v>-7.0394948925850617E-2</v>
      </c>
      <c r="U62" s="188"/>
      <c r="V62" s="192">
        <f t="shared" si="17"/>
        <v>0</v>
      </c>
    </row>
    <row r="63" spans="1:22" ht="39.6" hidden="1" x14ac:dyDescent="0.25">
      <c r="B63" s="20" t="s">
        <v>62</v>
      </c>
      <c r="C63" s="71"/>
      <c r="D63" s="69"/>
      <c r="E63" s="69"/>
      <c r="F63" s="69"/>
      <c r="G63" s="69"/>
      <c r="H63" s="81"/>
      <c r="I63" s="81"/>
      <c r="J63" s="81"/>
      <c r="K63" s="69"/>
      <c r="L63" s="628">
        <f t="shared" si="18"/>
        <v>0</v>
      </c>
      <c r="M63" s="628">
        <f t="shared" si="19"/>
        <v>0</v>
      </c>
      <c r="N63" s="628">
        <f t="shared" si="20"/>
        <v>0</v>
      </c>
      <c r="O63" s="643"/>
      <c r="P63" s="81">
        <f t="shared" si="13"/>
        <v>0</v>
      </c>
      <c r="Q63" s="81">
        <f t="shared" si="14"/>
        <v>0</v>
      </c>
      <c r="R63" s="81">
        <f t="shared" si="15"/>
        <v>0</v>
      </c>
      <c r="S63" s="81">
        <f t="shared" si="11"/>
        <v>0</v>
      </c>
      <c r="T63" s="85">
        <f t="shared" si="12"/>
        <v>0</v>
      </c>
      <c r="U63" s="188"/>
      <c r="V63" s="192">
        <f t="shared" si="17"/>
        <v>0</v>
      </c>
    </row>
    <row r="64" spans="1:22" x14ac:dyDescent="0.25">
      <c r="A64" s="14" t="s">
        <v>63</v>
      </c>
      <c r="B64" s="20" t="s">
        <v>64</v>
      </c>
      <c r="C64" s="71"/>
      <c r="D64" s="69"/>
      <c r="E64" s="69"/>
      <c r="F64" s="69"/>
      <c r="G64" s="69"/>
      <c r="H64" s="81"/>
      <c r="I64" s="81"/>
      <c r="J64" s="81"/>
      <c r="K64" s="69"/>
      <c r="L64" s="628">
        <f t="shared" si="18"/>
        <v>0</v>
      </c>
      <c r="M64" s="628">
        <f t="shared" si="19"/>
        <v>0</v>
      </c>
      <c r="N64" s="628">
        <f t="shared" si="20"/>
        <v>0</v>
      </c>
      <c r="O64" s="643"/>
      <c r="P64" s="81">
        <f t="shared" si="13"/>
        <v>0</v>
      </c>
      <c r="Q64" s="81">
        <f t="shared" si="14"/>
        <v>0</v>
      </c>
      <c r="R64" s="81">
        <f t="shared" si="15"/>
        <v>0</v>
      </c>
      <c r="S64" s="81">
        <f t="shared" si="11"/>
        <v>0</v>
      </c>
      <c r="T64" s="85">
        <f t="shared" si="12"/>
        <v>0</v>
      </c>
      <c r="U64" s="188"/>
      <c r="V64" s="192">
        <f t="shared" si="17"/>
        <v>0</v>
      </c>
    </row>
    <row r="65" spans="1:22" x14ac:dyDescent="0.25">
      <c r="A65" s="14" t="s">
        <v>65</v>
      </c>
      <c r="B65" s="20" t="s">
        <v>66</v>
      </c>
      <c r="C65" s="71">
        <v>250000</v>
      </c>
      <c r="D65" s="69">
        <v>250000</v>
      </c>
      <c r="E65" s="69">
        <v>250000</v>
      </c>
      <c r="F65" s="69">
        <v>250000</v>
      </c>
      <c r="G65" s="69"/>
      <c r="H65" s="81">
        <v>35475</v>
      </c>
      <c r="I65" s="81">
        <v>54430</v>
      </c>
      <c r="J65" s="81">
        <v>76155</v>
      </c>
      <c r="K65" s="69"/>
      <c r="L65" s="628">
        <f t="shared" si="18"/>
        <v>0.1419</v>
      </c>
      <c r="M65" s="628">
        <f t="shared" si="19"/>
        <v>0.21772</v>
      </c>
      <c r="N65" s="628">
        <f t="shared" si="20"/>
        <v>0.30462</v>
      </c>
      <c r="O65" s="643"/>
      <c r="P65" s="81">
        <f t="shared" si="13"/>
        <v>0</v>
      </c>
      <c r="Q65" s="81">
        <f t="shared" si="14"/>
        <v>0</v>
      </c>
      <c r="R65" s="81">
        <f t="shared" si="15"/>
        <v>0</v>
      </c>
      <c r="S65" s="81">
        <f t="shared" si="11"/>
        <v>0</v>
      </c>
      <c r="T65" s="85">
        <f t="shared" si="12"/>
        <v>0</v>
      </c>
      <c r="U65" s="188"/>
      <c r="V65" s="192">
        <f t="shared" si="17"/>
        <v>0</v>
      </c>
    </row>
    <row r="66" spans="1:22" ht="39.6" hidden="1" x14ac:dyDescent="0.25">
      <c r="B66" s="20" t="s">
        <v>67</v>
      </c>
      <c r="C66" s="71"/>
      <c r="D66" s="69"/>
      <c r="E66" s="69"/>
      <c r="F66" s="69"/>
      <c r="G66" s="69"/>
      <c r="H66" s="81"/>
      <c r="I66" s="81"/>
      <c r="J66" s="81"/>
      <c r="K66" s="69"/>
      <c r="L66" s="628">
        <f t="shared" si="18"/>
        <v>0</v>
      </c>
      <c r="M66" s="628">
        <f t="shared" si="19"/>
        <v>0</v>
      </c>
      <c r="N66" s="628">
        <f t="shared" si="20"/>
        <v>0</v>
      </c>
      <c r="O66" s="643"/>
      <c r="P66" s="81">
        <f t="shared" si="13"/>
        <v>0</v>
      </c>
      <c r="Q66" s="81">
        <f t="shared" si="14"/>
        <v>0</v>
      </c>
      <c r="R66" s="81">
        <f t="shared" si="15"/>
        <v>0</v>
      </c>
      <c r="S66" s="81">
        <f t="shared" si="11"/>
        <v>0</v>
      </c>
      <c r="T66" s="85">
        <f t="shared" si="12"/>
        <v>0</v>
      </c>
      <c r="U66" s="188"/>
      <c r="V66" s="192">
        <f t="shared" si="17"/>
        <v>0</v>
      </c>
    </row>
    <row r="67" spans="1:22" x14ac:dyDescent="0.25">
      <c r="A67" s="14" t="s">
        <v>68</v>
      </c>
      <c r="B67" s="20" t="s">
        <v>105</v>
      </c>
      <c r="C67" s="71">
        <v>0</v>
      </c>
      <c r="D67" s="69"/>
      <c r="E67" s="69"/>
      <c r="F67" s="69"/>
      <c r="G67" s="69"/>
      <c r="H67" s="81"/>
      <c r="I67" s="81"/>
      <c r="J67" s="81"/>
      <c r="K67" s="69"/>
      <c r="L67" s="628">
        <f t="shared" si="18"/>
        <v>0</v>
      </c>
      <c r="M67" s="628">
        <f t="shared" si="19"/>
        <v>0</v>
      </c>
      <c r="N67" s="628">
        <f t="shared" si="20"/>
        <v>0</v>
      </c>
      <c r="O67" s="643"/>
      <c r="P67" s="81">
        <f t="shared" si="13"/>
        <v>0</v>
      </c>
      <c r="Q67" s="81">
        <f t="shared" si="14"/>
        <v>0</v>
      </c>
      <c r="R67" s="81">
        <f t="shared" si="15"/>
        <v>0</v>
      </c>
      <c r="S67" s="81">
        <f t="shared" si="11"/>
        <v>0</v>
      </c>
      <c r="T67" s="85">
        <f t="shared" si="12"/>
        <v>0</v>
      </c>
      <c r="U67" s="188"/>
      <c r="V67" s="192">
        <f t="shared" si="17"/>
        <v>0</v>
      </c>
    </row>
    <row r="68" spans="1:22" ht="39.6" hidden="1" x14ac:dyDescent="0.25">
      <c r="B68" s="20" t="s">
        <v>69</v>
      </c>
      <c r="C68" s="71"/>
      <c r="D68" s="69"/>
      <c r="E68" s="69"/>
      <c r="F68" s="69"/>
      <c r="G68" s="69"/>
      <c r="H68" s="81"/>
      <c r="I68" s="81"/>
      <c r="J68" s="81"/>
      <c r="K68" s="69"/>
      <c r="L68" s="628">
        <f t="shared" si="18"/>
        <v>0</v>
      </c>
      <c r="M68" s="628">
        <f t="shared" si="19"/>
        <v>0</v>
      </c>
      <c r="N68" s="628">
        <f t="shared" si="20"/>
        <v>0</v>
      </c>
      <c r="O68" s="643"/>
      <c r="P68" s="81">
        <f t="shared" si="13"/>
        <v>0</v>
      </c>
      <c r="Q68" s="81">
        <f t="shared" si="14"/>
        <v>0</v>
      </c>
      <c r="R68" s="81">
        <f t="shared" si="15"/>
        <v>0</v>
      </c>
      <c r="S68" s="81">
        <f t="shared" si="11"/>
        <v>0</v>
      </c>
      <c r="T68" s="85">
        <f t="shared" si="12"/>
        <v>0</v>
      </c>
      <c r="U68" s="188"/>
      <c r="V68" s="192">
        <f t="shared" si="17"/>
        <v>0</v>
      </c>
    </row>
    <row r="69" spans="1:22" x14ac:dyDescent="0.25">
      <c r="A69" s="14" t="s">
        <v>70</v>
      </c>
      <c r="B69" s="20" t="s">
        <v>71</v>
      </c>
      <c r="C69" s="71"/>
      <c r="D69" s="69"/>
      <c r="E69" s="69"/>
      <c r="F69" s="69"/>
      <c r="G69" s="69"/>
      <c r="H69" s="81"/>
      <c r="I69" s="81"/>
      <c r="J69" s="81"/>
      <c r="K69" s="69"/>
      <c r="L69" s="628">
        <f t="shared" si="18"/>
        <v>0</v>
      </c>
      <c r="M69" s="628">
        <f t="shared" si="19"/>
        <v>0</v>
      </c>
      <c r="N69" s="628">
        <f t="shared" si="20"/>
        <v>0</v>
      </c>
      <c r="O69" s="643"/>
      <c r="P69" s="81">
        <f t="shared" si="13"/>
        <v>0</v>
      </c>
      <c r="Q69" s="81">
        <f t="shared" si="14"/>
        <v>0</v>
      </c>
      <c r="R69" s="81">
        <f t="shared" si="15"/>
        <v>0</v>
      </c>
      <c r="S69" s="81">
        <f t="shared" si="11"/>
        <v>0</v>
      </c>
      <c r="T69" s="85">
        <f t="shared" si="12"/>
        <v>0</v>
      </c>
      <c r="U69" s="188"/>
      <c r="V69" s="192">
        <f t="shared" si="17"/>
        <v>0</v>
      </c>
    </row>
    <row r="70" spans="1:22" x14ac:dyDescent="0.25">
      <c r="A70" s="14" t="s">
        <v>72</v>
      </c>
      <c r="B70" s="20" t="s">
        <v>73</v>
      </c>
      <c r="C70" s="71">
        <v>28000000</v>
      </c>
      <c r="D70" s="69">
        <v>27264947</v>
      </c>
      <c r="E70" s="69">
        <v>21911947</v>
      </c>
      <c r="F70" s="69">
        <v>18521947</v>
      </c>
      <c r="G70" s="69"/>
      <c r="H70" s="81">
        <v>9508817</v>
      </c>
      <c r="I70" s="81">
        <v>13334138</v>
      </c>
      <c r="J70" s="81">
        <v>17528469</v>
      </c>
      <c r="K70" s="69"/>
      <c r="L70" s="628">
        <f t="shared" si="18"/>
        <v>0.33960060714285717</v>
      </c>
      <c r="M70" s="628">
        <f t="shared" si="19"/>
        <v>0.48905791014374611</v>
      </c>
      <c r="N70" s="628">
        <f t="shared" si="20"/>
        <v>0.7999503193394909</v>
      </c>
      <c r="O70" s="643"/>
      <c r="P70" s="81">
        <f t="shared" si="13"/>
        <v>-735053</v>
      </c>
      <c r="Q70" s="81">
        <f t="shared" si="14"/>
        <v>-5353000</v>
      </c>
      <c r="R70" s="81">
        <f t="shared" si="15"/>
        <v>-3390000</v>
      </c>
      <c r="S70" s="81">
        <f t="shared" si="11"/>
        <v>-6088053</v>
      </c>
      <c r="T70" s="85">
        <f t="shared" si="12"/>
        <v>-0.21743046428571428</v>
      </c>
      <c r="U70" s="188"/>
      <c r="V70" s="192">
        <f t="shared" si="17"/>
        <v>0</v>
      </c>
    </row>
    <row r="71" spans="1:22" x14ac:dyDescent="0.25">
      <c r="B71" s="20" t="s">
        <v>74</v>
      </c>
      <c r="C71" s="71"/>
      <c r="D71" s="69"/>
      <c r="E71" s="69"/>
      <c r="F71" s="69"/>
      <c r="G71" s="69"/>
      <c r="H71" s="81"/>
      <c r="I71" s="81"/>
      <c r="J71" s="81"/>
      <c r="K71" s="69"/>
      <c r="L71" s="628">
        <f t="shared" si="18"/>
        <v>0</v>
      </c>
      <c r="M71" s="628">
        <f t="shared" si="19"/>
        <v>0</v>
      </c>
      <c r="N71" s="628">
        <f t="shared" si="20"/>
        <v>0</v>
      </c>
      <c r="O71" s="643"/>
      <c r="P71" s="81">
        <f t="shared" si="13"/>
        <v>0</v>
      </c>
      <c r="Q71" s="81">
        <f t="shared" si="14"/>
        <v>0</v>
      </c>
      <c r="R71" s="81">
        <f t="shared" si="15"/>
        <v>0</v>
      </c>
      <c r="S71" s="81">
        <f t="shared" si="11"/>
        <v>0</v>
      </c>
      <c r="T71" s="85">
        <f t="shared" si="12"/>
        <v>0</v>
      </c>
      <c r="U71" s="188"/>
      <c r="V71" s="192">
        <f t="shared" si="17"/>
        <v>0</v>
      </c>
    </row>
    <row r="72" spans="1:22" x14ac:dyDescent="0.25">
      <c r="A72" s="14" t="s">
        <v>75</v>
      </c>
      <c r="B72" s="20" t="s">
        <v>76</v>
      </c>
      <c r="C72" s="71">
        <v>23000000</v>
      </c>
      <c r="D72" s="69">
        <v>23000000</v>
      </c>
      <c r="E72" s="69">
        <v>70504000</v>
      </c>
      <c r="F72" s="69">
        <v>69007800</v>
      </c>
      <c r="G72" s="69"/>
      <c r="H72" s="81">
        <v>6238000</v>
      </c>
      <c r="I72" s="81">
        <v>40063000</v>
      </c>
      <c r="J72" s="81">
        <v>61388000</v>
      </c>
      <c r="K72" s="69"/>
      <c r="L72" s="628">
        <f t="shared" si="18"/>
        <v>0.2712173913043478</v>
      </c>
      <c r="M72" s="628">
        <f t="shared" si="19"/>
        <v>1.7418695652173912</v>
      </c>
      <c r="N72" s="628">
        <f t="shared" si="20"/>
        <v>0.87070237149665264</v>
      </c>
      <c r="O72" s="643"/>
      <c r="P72" s="81">
        <f t="shared" si="13"/>
        <v>0</v>
      </c>
      <c r="Q72" s="81">
        <f t="shared" si="14"/>
        <v>47504000</v>
      </c>
      <c r="R72" s="81">
        <f t="shared" si="15"/>
        <v>-1496200</v>
      </c>
      <c r="S72" s="81">
        <f t="shared" si="11"/>
        <v>47504000</v>
      </c>
      <c r="T72" s="85">
        <f t="shared" si="12"/>
        <v>2.065391304347826</v>
      </c>
      <c r="U72" s="188"/>
      <c r="V72" s="192">
        <f t="shared" si="17"/>
        <v>0</v>
      </c>
    </row>
    <row r="73" spans="1:22" ht="26.4" x14ac:dyDescent="0.25">
      <c r="B73" s="20" t="s">
        <v>106</v>
      </c>
      <c r="C73" s="71"/>
      <c r="D73" s="69"/>
      <c r="E73" s="69"/>
      <c r="F73" s="69"/>
      <c r="G73" s="69"/>
      <c r="H73" s="81"/>
      <c r="I73" s="81"/>
      <c r="J73" s="81"/>
      <c r="K73" s="69"/>
      <c r="L73" s="628"/>
      <c r="M73" s="628"/>
      <c r="N73" s="628"/>
      <c r="O73" s="643"/>
      <c r="P73" s="81">
        <f t="shared" si="13"/>
        <v>0</v>
      </c>
      <c r="Q73" s="81">
        <f t="shared" si="14"/>
        <v>0</v>
      </c>
      <c r="R73" s="81">
        <f t="shared" si="15"/>
        <v>0</v>
      </c>
      <c r="S73" s="81">
        <f t="shared" si="11"/>
        <v>0</v>
      </c>
      <c r="T73" s="85">
        <f t="shared" si="12"/>
        <v>0</v>
      </c>
      <c r="U73" s="188"/>
      <c r="V73" s="192">
        <f t="shared" si="17"/>
        <v>0</v>
      </c>
    </row>
    <row r="74" spans="1:22" x14ac:dyDescent="0.25">
      <c r="A74" s="14" t="s">
        <v>77</v>
      </c>
      <c r="B74" s="20" t="s">
        <v>78</v>
      </c>
      <c r="C74" s="71">
        <v>0</v>
      </c>
      <c r="D74" s="69">
        <v>0</v>
      </c>
      <c r="E74" s="69"/>
      <c r="F74" s="69"/>
      <c r="G74" s="69"/>
      <c r="H74" s="81">
        <v>0</v>
      </c>
      <c r="I74" s="81"/>
      <c r="J74" s="81"/>
      <c r="K74" s="69"/>
      <c r="L74" s="628">
        <f t="shared" ref="L74:N78" si="21">IF(H74&gt;0,H74/C74,0)</f>
        <v>0</v>
      </c>
      <c r="M74" s="628">
        <f t="shared" si="21"/>
        <v>0</v>
      </c>
      <c r="N74" s="628">
        <f t="shared" si="21"/>
        <v>0</v>
      </c>
      <c r="O74" s="643"/>
      <c r="P74" s="81">
        <f t="shared" si="13"/>
        <v>0</v>
      </c>
      <c r="Q74" s="81">
        <f t="shared" si="14"/>
        <v>0</v>
      </c>
      <c r="R74" s="81">
        <f t="shared" si="15"/>
        <v>0</v>
      </c>
      <c r="S74" s="81">
        <f t="shared" si="11"/>
        <v>0</v>
      </c>
      <c r="T74" s="85">
        <f t="shared" si="12"/>
        <v>0</v>
      </c>
      <c r="U74" s="188"/>
      <c r="V74" s="192">
        <f t="shared" si="17"/>
        <v>0</v>
      </c>
    </row>
    <row r="75" spans="1:22" ht="26.4" hidden="1" x14ac:dyDescent="0.25">
      <c r="B75" s="20" t="s">
        <v>79</v>
      </c>
      <c r="C75" s="71"/>
      <c r="D75" s="69"/>
      <c r="E75" s="69"/>
      <c r="F75" s="69"/>
      <c r="G75" s="69"/>
      <c r="H75" s="81"/>
      <c r="I75" s="81"/>
      <c r="J75" s="81"/>
      <c r="K75" s="69"/>
      <c r="L75" s="628">
        <f t="shared" si="21"/>
        <v>0</v>
      </c>
      <c r="M75" s="628">
        <f t="shared" si="21"/>
        <v>0</v>
      </c>
      <c r="N75" s="628">
        <f t="shared" si="21"/>
        <v>0</v>
      </c>
      <c r="O75" s="643"/>
      <c r="P75" s="81">
        <f t="shared" si="13"/>
        <v>0</v>
      </c>
      <c r="Q75" s="81">
        <f t="shared" si="14"/>
        <v>0</v>
      </c>
      <c r="R75" s="81">
        <f t="shared" si="15"/>
        <v>0</v>
      </c>
      <c r="S75" s="81">
        <f t="shared" si="11"/>
        <v>0</v>
      </c>
      <c r="T75" s="85">
        <f t="shared" si="12"/>
        <v>0</v>
      </c>
      <c r="U75" s="188"/>
      <c r="V75" s="192">
        <f t="shared" si="17"/>
        <v>0</v>
      </c>
    </row>
    <row r="76" spans="1:22" x14ac:dyDescent="0.25">
      <c r="A76" s="14" t="s">
        <v>80</v>
      </c>
      <c r="B76" s="20" t="s">
        <v>81</v>
      </c>
      <c r="C76" s="71">
        <v>0</v>
      </c>
      <c r="D76" s="69">
        <v>2415728</v>
      </c>
      <c r="E76" s="69">
        <v>2415728</v>
      </c>
      <c r="F76" s="69">
        <v>2415728</v>
      </c>
      <c r="G76" s="69"/>
      <c r="H76" s="81">
        <v>2415728</v>
      </c>
      <c r="I76" s="69">
        <v>2415728</v>
      </c>
      <c r="J76" s="81">
        <v>2415728</v>
      </c>
      <c r="K76" s="69"/>
      <c r="L76" s="628" t="e">
        <f t="shared" si="21"/>
        <v>#DIV/0!</v>
      </c>
      <c r="M76" s="628">
        <f t="shared" si="21"/>
        <v>1</v>
      </c>
      <c r="N76" s="628">
        <f t="shared" si="21"/>
        <v>1</v>
      </c>
      <c r="O76" s="643"/>
      <c r="P76" s="81">
        <f t="shared" si="13"/>
        <v>2415728</v>
      </c>
      <c r="Q76" s="81">
        <f t="shared" si="14"/>
        <v>0</v>
      </c>
      <c r="R76" s="81">
        <f t="shared" si="15"/>
        <v>0</v>
      </c>
      <c r="S76" s="81">
        <f t="shared" si="11"/>
        <v>2415728</v>
      </c>
      <c r="T76" s="85">
        <f t="shared" si="12"/>
        <v>0</v>
      </c>
      <c r="U76" s="188"/>
      <c r="V76" s="192">
        <f t="shared" si="17"/>
        <v>0</v>
      </c>
    </row>
    <row r="77" spans="1:22" x14ac:dyDescent="0.25">
      <c r="B77" s="20" t="s">
        <v>82</v>
      </c>
      <c r="C77" s="71"/>
      <c r="D77" s="69"/>
      <c r="E77" s="69"/>
      <c r="F77" s="69"/>
      <c r="G77" s="69"/>
      <c r="H77" s="81"/>
      <c r="I77" s="81"/>
      <c r="J77" s="81"/>
      <c r="K77" s="69"/>
      <c r="L77" s="628">
        <f t="shared" si="21"/>
        <v>0</v>
      </c>
      <c r="M77" s="628">
        <f t="shared" si="21"/>
        <v>0</v>
      </c>
      <c r="N77" s="628">
        <f t="shared" si="21"/>
        <v>0</v>
      </c>
      <c r="O77" s="643"/>
      <c r="P77" s="81">
        <f t="shared" si="13"/>
        <v>0</v>
      </c>
      <c r="Q77" s="81">
        <f t="shared" si="14"/>
        <v>0</v>
      </c>
      <c r="R77" s="81">
        <f t="shared" si="15"/>
        <v>0</v>
      </c>
      <c r="S77" s="81">
        <f t="shared" si="11"/>
        <v>0</v>
      </c>
      <c r="T77" s="85">
        <f t="shared" si="12"/>
        <v>0</v>
      </c>
      <c r="U77" s="188"/>
      <c r="V77" s="192">
        <f t="shared" ref="V77:V104" si="22">+S77-E77+C77</f>
        <v>0</v>
      </c>
    </row>
    <row r="78" spans="1:22" x14ac:dyDescent="0.25">
      <c r="A78" s="14" t="s">
        <v>83</v>
      </c>
      <c r="B78" s="20" t="s">
        <v>84</v>
      </c>
      <c r="C78" s="71">
        <v>340000</v>
      </c>
      <c r="D78" s="69">
        <v>2423800</v>
      </c>
      <c r="E78" s="69">
        <v>3323800</v>
      </c>
      <c r="F78" s="69">
        <v>8698400</v>
      </c>
      <c r="G78" s="69"/>
      <c r="H78" s="81">
        <v>694656</v>
      </c>
      <c r="I78" s="81">
        <v>1784815</v>
      </c>
      <c r="J78" s="81">
        <v>8629800</v>
      </c>
      <c r="K78" s="69"/>
      <c r="L78" s="628">
        <f t="shared" si="21"/>
        <v>2.0431058823529411</v>
      </c>
      <c r="M78" s="628">
        <f t="shared" si="21"/>
        <v>0.73637057512996118</v>
      </c>
      <c r="N78" s="628">
        <f t="shared" si="21"/>
        <v>2.5963656056321076</v>
      </c>
      <c r="O78" s="643"/>
      <c r="P78" s="81">
        <f t="shared" si="13"/>
        <v>2083800</v>
      </c>
      <c r="Q78" s="81">
        <f t="shared" si="14"/>
        <v>900000</v>
      </c>
      <c r="R78" s="81">
        <f t="shared" si="15"/>
        <v>5374600</v>
      </c>
      <c r="S78" s="81">
        <f t="shared" si="11"/>
        <v>2983800</v>
      </c>
      <c r="T78" s="85">
        <f t="shared" si="12"/>
        <v>8.775882352941176</v>
      </c>
      <c r="U78" s="188"/>
      <c r="V78" s="192">
        <f t="shared" si="22"/>
        <v>0</v>
      </c>
    </row>
    <row r="79" spans="1:22" ht="46.2" customHeight="1" x14ac:dyDescent="0.25">
      <c r="B79" s="584" t="s">
        <v>88</v>
      </c>
      <c r="C79" s="71"/>
      <c r="D79" s="69"/>
      <c r="E79" s="69">
        <v>0</v>
      </c>
      <c r="F79" s="69"/>
      <c r="G79" s="69"/>
      <c r="H79" s="81"/>
      <c r="I79" s="81"/>
      <c r="J79" s="81"/>
      <c r="K79" s="69"/>
      <c r="L79" s="628"/>
      <c r="M79" s="628"/>
      <c r="N79" s="628"/>
      <c r="O79" s="643"/>
      <c r="P79" s="81">
        <f t="shared" si="13"/>
        <v>0</v>
      </c>
      <c r="Q79" s="81">
        <f t="shared" si="14"/>
        <v>0</v>
      </c>
      <c r="R79" s="81">
        <f t="shared" si="15"/>
        <v>0</v>
      </c>
      <c r="S79" s="81">
        <f t="shared" si="11"/>
        <v>0</v>
      </c>
      <c r="T79" s="85">
        <f t="shared" si="12"/>
        <v>0</v>
      </c>
      <c r="U79" s="188"/>
      <c r="V79" s="192">
        <f t="shared" si="22"/>
        <v>0</v>
      </c>
    </row>
    <row r="80" spans="1:22" x14ac:dyDescent="0.25">
      <c r="A80" s="29"/>
      <c r="B80" s="21"/>
      <c r="C80" s="71"/>
      <c r="D80" s="69"/>
      <c r="E80" s="69"/>
      <c r="F80" s="69"/>
      <c r="G80" s="69"/>
      <c r="H80" s="81"/>
      <c r="I80" s="81"/>
      <c r="J80" s="81"/>
      <c r="K80" s="69"/>
      <c r="L80" s="628"/>
      <c r="M80" s="628"/>
      <c r="N80" s="628"/>
      <c r="O80" s="643"/>
      <c r="P80" s="81"/>
      <c r="Q80" s="81"/>
      <c r="R80" s="81"/>
      <c r="S80" s="81"/>
      <c r="T80" s="85"/>
      <c r="U80" s="188"/>
      <c r="V80" s="192">
        <f t="shared" si="22"/>
        <v>0</v>
      </c>
    </row>
    <row r="81" spans="1:22" x14ac:dyDescent="0.25">
      <c r="A81" s="4" t="s">
        <v>107</v>
      </c>
      <c r="B81" s="3" t="s">
        <v>108</v>
      </c>
      <c r="C81" s="66">
        <f>SUM(C82:C105)</f>
        <v>22100000</v>
      </c>
      <c r="D81" s="66">
        <f>SUM(D82:D105)</f>
        <v>24267500</v>
      </c>
      <c r="E81" s="66">
        <f>SUM(E82:E105)</f>
        <v>20200000</v>
      </c>
      <c r="F81" s="66">
        <f>SUM(F82:F105)</f>
        <v>20200000</v>
      </c>
      <c r="G81" s="66"/>
      <c r="H81" s="83">
        <f>SUM(H82:H105)</f>
        <v>7396231</v>
      </c>
      <c r="I81" s="83">
        <f>SUM(I82:I105)</f>
        <v>10496866</v>
      </c>
      <c r="J81" s="83">
        <f>SUM(J82:J105)</f>
        <v>13764056</v>
      </c>
      <c r="K81" s="66"/>
      <c r="L81" s="629">
        <f t="shared" ref="L81:L92" si="23">IF(H81&gt;0,H81/C81,0)</f>
        <v>0.33467108597285067</v>
      </c>
      <c r="M81" s="629">
        <f t="shared" ref="M81:M92" si="24">IF(I81&gt;0,I81/D81,0)</f>
        <v>0.43254830534665706</v>
      </c>
      <c r="N81" s="629">
        <f t="shared" ref="N81:N92" si="25">IF(J81&gt;0,J81/E81,0)</f>
        <v>0.68138891089108911</v>
      </c>
      <c r="O81" s="644"/>
      <c r="P81" s="83">
        <f t="shared" ref="P81:R82" si="26">IF(D81&gt;0,+D81-C81,0)</f>
        <v>2167500</v>
      </c>
      <c r="Q81" s="83">
        <f t="shared" si="26"/>
        <v>-4067500</v>
      </c>
      <c r="R81" s="83">
        <f t="shared" si="26"/>
        <v>0</v>
      </c>
      <c r="S81" s="83">
        <f t="shared" ref="S81:S103" si="27">+P81*P$8+Q81*Q$8+Q81*G$8</f>
        <v>-1900000</v>
      </c>
      <c r="T81" s="85">
        <f t="shared" ref="T81:T104" si="28">IF(C81=0,0,+S81/C81)</f>
        <v>-8.5972850678733032E-2</v>
      </c>
      <c r="U81" s="190"/>
      <c r="V81" s="192">
        <f t="shared" si="22"/>
        <v>0</v>
      </c>
    </row>
    <row r="82" spans="1:22" x14ac:dyDescent="0.25">
      <c r="A82" s="14" t="s">
        <v>109</v>
      </c>
      <c r="B82" s="20" t="s">
        <v>110</v>
      </c>
      <c r="C82" s="71">
        <v>2100000</v>
      </c>
      <c r="D82" s="69">
        <v>2100000</v>
      </c>
      <c r="E82" s="265">
        <v>200000</v>
      </c>
      <c r="F82" s="69">
        <v>200000</v>
      </c>
      <c r="G82" s="69"/>
      <c r="H82" s="81">
        <v>54160</v>
      </c>
      <c r="I82" s="81">
        <v>96040</v>
      </c>
      <c r="J82" s="81">
        <v>0</v>
      </c>
      <c r="K82" s="69"/>
      <c r="L82" s="628">
        <f t="shared" si="23"/>
        <v>2.579047619047619E-2</v>
      </c>
      <c r="M82" s="628">
        <f t="shared" si="24"/>
        <v>4.5733333333333334E-2</v>
      </c>
      <c r="N82" s="628">
        <f t="shared" si="25"/>
        <v>0</v>
      </c>
      <c r="O82" s="643"/>
      <c r="P82" s="81">
        <f t="shared" si="26"/>
        <v>0</v>
      </c>
      <c r="Q82" s="81">
        <f t="shared" si="26"/>
        <v>-1900000</v>
      </c>
      <c r="R82" s="81">
        <f t="shared" si="26"/>
        <v>0</v>
      </c>
      <c r="S82" s="81">
        <f t="shared" si="27"/>
        <v>-1900000</v>
      </c>
      <c r="T82" s="85">
        <f t="shared" si="28"/>
        <v>-0.90476190476190477</v>
      </c>
      <c r="U82" s="188"/>
      <c r="V82" s="192">
        <f t="shared" si="22"/>
        <v>0</v>
      </c>
    </row>
    <row r="83" spans="1:22" ht="41.4" x14ac:dyDescent="0.25">
      <c r="B83" s="584" t="s">
        <v>362</v>
      </c>
      <c r="C83" s="71"/>
      <c r="D83" s="69">
        <v>0</v>
      </c>
      <c r="E83" s="69">
        <v>0</v>
      </c>
      <c r="F83" s="69"/>
      <c r="G83" s="69"/>
      <c r="H83" s="81">
        <v>0</v>
      </c>
      <c r="I83" s="81">
        <v>0</v>
      </c>
      <c r="J83" s="81"/>
      <c r="K83" s="69"/>
      <c r="L83" s="628">
        <f t="shared" si="23"/>
        <v>0</v>
      </c>
      <c r="M83" s="628">
        <f t="shared" si="24"/>
        <v>0</v>
      </c>
      <c r="N83" s="628">
        <f t="shared" si="25"/>
        <v>0</v>
      </c>
      <c r="O83" s="643"/>
      <c r="P83" s="81">
        <f t="shared" ref="P83:P104" si="29">+(D83-C83)*P$8</f>
        <v>0</v>
      </c>
      <c r="Q83" s="81">
        <f t="shared" ref="Q83:Q104" si="30">+(E83-D83)*Q$8</f>
        <v>0</v>
      </c>
      <c r="R83" s="81">
        <f t="shared" ref="R83:R104" si="31">+(F83-E83)*R$8</f>
        <v>0</v>
      </c>
      <c r="S83" s="81">
        <f t="shared" si="27"/>
        <v>0</v>
      </c>
      <c r="T83" s="85">
        <f t="shared" si="28"/>
        <v>0</v>
      </c>
      <c r="U83" s="188"/>
      <c r="V83" s="192">
        <f t="shared" si="22"/>
        <v>0</v>
      </c>
    </row>
    <row r="84" spans="1:22" x14ac:dyDescent="0.25">
      <c r="A84" s="14" t="s">
        <v>111</v>
      </c>
      <c r="B84" s="20" t="s">
        <v>112</v>
      </c>
      <c r="C84" s="71">
        <v>0</v>
      </c>
      <c r="D84" s="69">
        <v>0</v>
      </c>
      <c r="E84" s="69">
        <f>I84*1.13</f>
        <v>0</v>
      </c>
      <c r="F84" s="69"/>
      <c r="G84" s="69"/>
      <c r="H84" s="81">
        <v>0</v>
      </c>
      <c r="I84" s="81"/>
      <c r="J84" s="81"/>
      <c r="K84" s="69"/>
      <c r="L84" s="628">
        <f t="shared" si="23"/>
        <v>0</v>
      </c>
      <c r="M84" s="628">
        <f t="shared" si="24"/>
        <v>0</v>
      </c>
      <c r="N84" s="628">
        <f t="shared" si="25"/>
        <v>0</v>
      </c>
      <c r="O84" s="643"/>
      <c r="P84" s="81">
        <f t="shared" si="29"/>
        <v>0</v>
      </c>
      <c r="Q84" s="81">
        <f t="shared" si="30"/>
        <v>0</v>
      </c>
      <c r="R84" s="81">
        <f t="shared" si="31"/>
        <v>0</v>
      </c>
      <c r="S84" s="81">
        <f t="shared" si="27"/>
        <v>0</v>
      </c>
      <c r="T84" s="85">
        <f t="shared" si="28"/>
        <v>0</v>
      </c>
      <c r="U84" s="188"/>
      <c r="V84" s="192">
        <f t="shared" si="22"/>
        <v>0</v>
      </c>
    </row>
    <row r="85" spans="1:22" x14ac:dyDescent="0.25">
      <c r="B85" s="20" t="s">
        <v>113</v>
      </c>
      <c r="C85" s="71"/>
      <c r="D85" s="69"/>
      <c r="E85" s="69">
        <f>I85*1.13</f>
        <v>0</v>
      </c>
      <c r="F85" s="69"/>
      <c r="G85" s="69"/>
      <c r="H85" s="81"/>
      <c r="I85" s="81"/>
      <c r="J85" s="81"/>
      <c r="K85" s="69"/>
      <c r="L85" s="628">
        <f t="shared" si="23"/>
        <v>0</v>
      </c>
      <c r="M85" s="628">
        <f t="shared" si="24"/>
        <v>0</v>
      </c>
      <c r="N85" s="628">
        <f t="shared" si="25"/>
        <v>0</v>
      </c>
      <c r="O85" s="643"/>
      <c r="P85" s="81">
        <f t="shared" si="29"/>
        <v>0</v>
      </c>
      <c r="Q85" s="81">
        <f t="shared" si="30"/>
        <v>0</v>
      </c>
      <c r="R85" s="81">
        <f t="shared" si="31"/>
        <v>0</v>
      </c>
      <c r="S85" s="81">
        <f t="shared" si="27"/>
        <v>0</v>
      </c>
      <c r="T85" s="85">
        <f t="shared" si="28"/>
        <v>0</v>
      </c>
      <c r="U85" s="188"/>
      <c r="V85" s="192">
        <f t="shared" si="22"/>
        <v>0</v>
      </c>
    </row>
    <row r="86" spans="1:22" x14ac:dyDescent="0.25">
      <c r="B86" s="20" t="s">
        <v>114</v>
      </c>
      <c r="C86" s="71"/>
      <c r="D86" s="69"/>
      <c r="E86" s="69">
        <f>I86*1.13</f>
        <v>0</v>
      </c>
      <c r="F86" s="69"/>
      <c r="G86" s="69"/>
      <c r="H86" s="81">
        <v>0</v>
      </c>
      <c r="I86" s="81"/>
      <c r="J86" s="81"/>
      <c r="K86" s="69"/>
      <c r="L86" s="628">
        <f t="shared" si="23"/>
        <v>0</v>
      </c>
      <c r="M86" s="628">
        <f t="shared" si="24"/>
        <v>0</v>
      </c>
      <c r="N86" s="628">
        <f t="shared" si="25"/>
        <v>0</v>
      </c>
      <c r="O86" s="643"/>
      <c r="P86" s="81">
        <f t="shared" si="29"/>
        <v>0</v>
      </c>
      <c r="Q86" s="81">
        <f t="shared" si="30"/>
        <v>0</v>
      </c>
      <c r="R86" s="81">
        <f t="shared" si="31"/>
        <v>0</v>
      </c>
      <c r="S86" s="81">
        <f t="shared" si="27"/>
        <v>0</v>
      </c>
      <c r="T86" s="85">
        <f t="shared" si="28"/>
        <v>0</v>
      </c>
      <c r="U86" s="188"/>
      <c r="V86" s="192">
        <f t="shared" si="22"/>
        <v>0</v>
      </c>
    </row>
    <row r="87" spans="1:22" x14ac:dyDescent="0.25">
      <c r="B87" s="20" t="s">
        <v>115</v>
      </c>
      <c r="C87" s="71"/>
      <c r="D87" s="69">
        <v>0</v>
      </c>
      <c r="E87" s="69">
        <v>0</v>
      </c>
      <c r="F87" s="69"/>
      <c r="G87" s="69"/>
      <c r="H87" s="81">
        <v>0</v>
      </c>
      <c r="I87" s="81">
        <v>0</v>
      </c>
      <c r="J87" s="81"/>
      <c r="K87" s="69"/>
      <c r="L87" s="628">
        <f t="shared" si="23"/>
        <v>0</v>
      </c>
      <c r="M87" s="628">
        <f t="shared" si="24"/>
        <v>0</v>
      </c>
      <c r="N87" s="628">
        <f t="shared" si="25"/>
        <v>0</v>
      </c>
      <c r="O87" s="643"/>
      <c r="P87" s="81">
        <f t="shared" si="29"/>
        <v>0</v>
      </c>
      <c r="Q87" s="81">
        <f t="shared" si="30"/>
        <v>0</v>
      </c>
      <c r="R87" s="81">
        <f t="shared" si="31"/>
        <v>0</v>
      </c>
      <c r="S87" s="81">
        <f t="shared" si="27"/>
        <v>0</v>
      </c>
      <c r="T87" s="85">
        <f t="shared" si="28"/>
        <v>0</v>
      </c>
      <c r="U87" s="188"/>
      <c r="V87" s="192">
        <f t="shared" si="22"/>
        <v>0</v>
      </c>
    </row>
    <row r="88" spans="1:22" x14ac:dyDescent="0.25">
      <c r="A88" s="14" t="s">
        <v>116</v>
      </c>
      <c r="B88" s="20" t="s">
        <v>117</v>
      </c>
      <c r="C88" s="71">
        <v>0</v>
      </c>
      <c r="D88" s="69">
        <v>0</v>
      </c>
      <c r="E88" s="69">
        <v>0</v>
      </c>
      <c r="F88" s="69"/>
      <c r="G88" s="69"/>
      <c r="H88" s="81">
        <v>0</v>
      </c>
      <c r="I88" s="81">
        <v>0</v>
      </c>
      <c r="J88" s="81"/>
      <c r="K88" s="69"/>
      <c r="L88" s="628">
        <f t="shared" si="23"/>
        <v>0</v>
      </c>
      <c r="M88" s="628">
        <f t="shared" si="24"/>
        <v>0</v>
      </c>
      <c r="N88" s="628">
        <f t="shared" si="25"/>
        <v>0</v>
      </c>
      <c r="O88" s="643"/>
      <c r="P88" s="81">
        <f t="shared" si="29"/>
        <v>0</v>
      </c>
      <c r="Q88" s="81">
        <f t="shared" si="30"/>
        <v>0</v>
      </c>
      <c r="R88" s="81">
        <f t="shared" si="31"/>
        <v>0</v>
      </c>
      <c r="S88" s="81">
        <f t="shared" si="27"/>
        <v>0</v>
      </c>
      <c r="T88" s="85">
        <f t="shared" si="28"/>
        <v>0</v>
      </c>
      <c r="U88" s="188"/>
      <c r="V88" s="192">
        <f t="shared" si="22"/>
        <v>0</v>
      </c>
    </row>
    <row r="89" spans="1:22" x14ac:dyDescent="0.25">
      <c r="B89" s="20" t="s">
        <v>118</v>
      </c>
      <c r="C89" s="71"/>
      <c r="D89" s="69"/>
      <c r="E89" s="69"/>
      <c r="F89" s="69"/>
      <c r="G89" s="69"/>
      <c r="H89" s="81"/>
      <c r="I89" s="81"/>
      <c r="J89" s="81"/>
      <c r="K89" s="69"/>
      <c r="L89" s="628">
        <f t="shared" si="23"/>
        <v>0</v>
      </c>
      <c r="M89" s="628">
        <f t="shared" si="24"/>
        <v>0</v>
      </c>
      <c r="N89" s="628">
        <f t="shared" si="25"/>
        <v>0</v>
      </c>
      <c r="O89" s="643"/>
      <c r="P89" s="81">
        <f t="shared" si="29"/>
        <v>0</v>
      </c>
      <c r="Q89" s="81">
        <f t="shared" si="30"/>
        <v>0</v>
      </c>
      <c r="R89" s="81">
        <f t="shared" si="31"/>
        <v>0</v>
      </c>
      <c r="S89" s="81">
        <f t="shared" si="27"/>
        <v>0</v>
      </c>
      <c r="T89" s="85">
        <f t="shared" si="28"/>
        <v>0</v>
      </c>
      <c r="U89" s="188"/>
      <c r="V89" s="192">
        <f t="shared" si="22"/>
        <v>0</v>
      </c>
    </row>
    <row r="90" spans="1:22" x14ac:dyDescent="0.25">
      <c r="A90" s="14" t="s">
        <v>119</v>
      </c>
      <c r="B90" s="20" t="s">
        <v>120</v>
      </c>
      <c r="C90" s="71">
        <v>0</v>
      </c>
      <c r="D90" s="69"/>
      <c r="E90" s="69">
        <v>0</v>
      </c>
      <c r="F90" s="69"/>
      <c r="G90" s="69"/>
      <c r="H90" s="81"/>
      <c r="I90" s="81">
        <v>0</v>
      </c>
      <c r="J90" s="81"/>
      <c r="K90" s="69"/>
      <c r="L90" s="628">
        <f t="shared" si="23"/>
        <v>0</v>
      </c>
      <c r="M90" s="628">
        <f t="shared" si="24"/>
        <v>0</v>
      </c>
      <c r="N90" s="628">
        <f t="shared" si="25"/>
        <v>0</v>
      </c>
      <c r="O90" s="643"/>
      <c r="P90" s="81">
        <f t="shared" si="29"/>
        <v>0</v>
      </c>
      <c r="Q90" s="81">
        <f t="shared" si="30"/>
        <v>0</v>
      </c>
      <c r="R90" s="81">
        <f t="shared" si="31"/>
        <v>0</v>
      </c>
      <c r="S90" s="81">
        <f t="shared" si="27"/>
        <v>0</v>
      </c>
      <c r="T90" s="85">
        <f t="shared" si="28"/>
        <v>0</v>
      </c>
      <c r="U90" s="188"/>
      <c r="V90" s="192">
        <f t="shared" si="22"/>
        <v>0</v>
      </c>
    </row>
    <row r="91" spans="1:22" x14ac:dyDescent="0.25">
      <c r="B91" s="20" t="s">
        <v>121</v>
      </c>
      <c r="C91" s="71"/>
      <c r="D91" s="69"/>
      <c r="E91" s="69">
        <v>0</v>
      </c>
      <c r="F91" s="69"/>
      <c r="G91" s="69"/>
      <c r="H91" s="81">
        <v>0</v>
      </c>
      <c r="I91" s="81">
        <v>0</v>
      </c>
      <c r="J91" s="81"/>
      <c r="K91" s="69"/>
      <c r="L91" s="628">
        <f t="shared" si="23"/>
        <v>0</v>
      </c>
      <c r="M91" s="628">
        <f t="shared" si="24"/>
        <v>0</v>
      </c>
      <c r="N91" s="628">
        <f t="shared" si="25"/>
        <v>0</v>
      </c>
      <c r="O91" s="643"/>
      <c r="P91" s="81">
        <f t="shared" si="29"/>
        <v>0</v>
      </c>
      <c r="Q91" s="81">
        <f t="shared" si="30"/>
        <v>0</v>
      </c>
      <c r="R91" s="81">
        <f t="shared" si="31"/>
        <v>0</v>
      </c>
      <c r="S91" s="81">
        <f t="shared" si="27"/>
        <v>0</v>
      </c>
      <c r="T91" s="85">
        <f t="shared" si="28"/>
        <v>0</v>
      </c>
      <c r="U91" s="188"/>
      <c r="V91" s="192">
        <f t="shared" si="22"/>
        <v>0</v>
      </c>
    </row>
    <row r="92" spans="1:22" x14ac:dyDescent="0.25">
      <c r="A92" s="14" t="s">
        <v>122</v>
      </c>
      <c r="B92" s="20" t="s">
        <v>123</v>
      </c>
      <c r="C92" s="71">
        <v>20000000</v>
      </c>
      <c r="D92" s="69">
        <v>22167500</v>
      </c>
      <c r="E92" s="69">
        <v>20000000</v>
      </c>
      <c r="F92" s="69">
        <v>20000000</v>
      </c>
      <c r="G92" s="69"/>
      <c r="H92" s="81">
        <v>7342071</v>
      </c>
      <c r="I92" s="81">
        <v>10400826</v>
      </c>
      <c r="J92" s="81">
        <v>13764056</v>
      </c>
      <c r="K92" s="69"/>
      <c r="L92" s="628">
        <f t="shared" si="23"/>
        <v>0.36710355</v>
      </c>
      <c r="M92" s="628">
        <f t="shared" si="24"/>
        <v>0.46919255667080184</v>
      </c>
      <c r="N92" s="628">
        <f t="shared" si="25"/>
        <v>0.6882028</v>
      </c>
      <c r="O92" s="643"/>
      <c r="P92" s="81">
        <f t="shared" si="29"/>
        <v>2167500</v>
      </c>
      <c r="Q92" s="81">
        <f t="shared" si="30"/>
        <v>-2167500</v>
      </c>
      <c r="R92" s="81">
        <f t="shared" si="31"/>
        <v>0</v>
      </c>
      <c r="S92" s="81">
        <f t="shared" si="27"/>
        <v>0</v>
      </c>
      <c r="T92" s="85">
        <f t="shared" si="28"/>
        <v>0</v>
      </c>
      <c r="U92" s="188"/>
      <c r="V92" s="192">
        <f t="shared" si="22"/>
        <v>0</v>
      </c>
    </row>
    <row r="93" spans="1:22" ht="21" x14ac:dyDescent="0.25">
      <c r="B93" s="584" t="s">
        <v>124</v>
      </c>
      <c r="C93" s="585"/>
      <c r="D93" s="586"/>
      <c r="E93" s="69"/>
      <c r="F93" s="69"/>
      <c r="G93" s="69"/>
      <c r="H93" s="81"/>
      <c r="I93" s="81"/>
      <c r="J93" s="81"/>
      <c r="K93" s="69"/>
      <c r="L93" s="628"/>
      <c r="M93" s="628"/>
      <c r="N93" s="628"/>
      <c r="O93" s="643"/>
      <c r="P93" s="81">
        <f t="shared" si="29"/>
        <v>0</v>
      </c>
      <c r="Q93" s="81">
        <f t="shared" si="30"/>
        <v>0</v>
      </c>
      <c r="R93" s="81">
        <f t="shared" si="31"/>
        <v>0</v>
      </c>
      <c r="S93" s="81">
        <f t="shared" si="27"/>
        <v>0</v>
      </c>
      <c r="T93" s="85">
        <f t="shared" si="28"/>
        <v>0</v>
      </c>
      <c r="U93" s="188"/>
      <c r="V93" s="192">
        <f t="shared" si="22"/>
        <v>0</v>
      </c>
    </row>
    <row r="94" spans="1:22" x14ac:dyDescent="0.25">
      <c r="B94" s="20" t="s">
        <v>125</v>
      </c>
      <c r="C94" s="71"/>
      <c r="D94" s="69"/>
      <c r="E94" s="69"/>
      <c r="F94" s="69"/>
      <c r="G94" s="69"/>
      <c r="H94" s="81"/>
      <c r="I94" s="81"/>
      <c r="J94" s="81"/>
      <c r="K94" s="69"/>
      <c r="L94" s="628"/>
      <c r="M94" s="628"/>
      <c r="N94" s="628"/>
      <c r="O94" s="643"/>
      <c r="P94" s="81">
        <f t="shared" si="29"/>
        <v>0</v>
      </c>
      <c r="Q94" s="81">
        <f t="shared" si="30"/>
        <v>0</v>
      </c>
      <c r="R94" s="81">
        <f t="shared" si="31"/>
        <v>0</v>
      </c>
      <c r="S94" s="81">
        <f t="shared" si="27"/>
        <v>0</v>
      </c>
      <c r="T94" s="85">
        <f t="shared" si="28"/>
        <v>0</v>
      </c>
      <c r="U94" s="188"/>
      <c r="V94" s="192">
        <f t="shared" si="22"/>
        <v>0</v>
      </c>
    </row>
    <row r="95" spans="1:22" x14ac:dyDescent="0.25">
      <c r="B95" s="20" t="s">
        <v>126</v>
      </c>
      <c r="C95" s="71"/>
      <c r="D95" s="69"/>
      <c r="E95" s="69"/>
      <c r="F95" s="69"/>
      <c r="G95" s="69"/>
      <c r="H95" s="81"/>
      <c r="I95" s="81"/>
      <c r="J95" s="81"/>
      <c r="K95" s="69"/>
      <c r="L95" s="628"/>
      <c r="M95" s="628"/>
      <c r="N95" s="628"/>
      <c r="O95" s="643"/>
      <c r="P95" s="81">
        <f t="shared" si="29"/>
        <v>0</v>
      </c>
      <c r="Q95" s="81">
        <f t="shared" si="30"/>
        <v>0</v>
      </c>
      <c r="R95" s="81">
        <f t="shared" si="31"/>
        <v>0</v>
      </c>
      <c r="S95" s="81">
        <f t="shared" si="27"/>
        <v>0</v>
      </c>
      <c r="T95" s="85">
        <f t="shared" si="28"/>
        <v>0</v>
      </c>
      <c r="U95" s="188"/>
      <c r="V95" s="192">
        <f t="shared" si="22"/>
        <v>0</v>
      </c>
    </row>
    <row r="96" spans="1:22" x14ac:dyDescent="0.25">
      <c r="B96" s="20" t="s">
        <v>127</v>
      </c>
      <c r="C96" s="71"/>
      <c r="D96" s="69"/>
      <c r="E96" s="69"/>
      <c r="F96" s="69"/>
      <c r="G96" s="69"/>
      <c r="H96" s="81"/>
      <c r="I96" s="81"/>
      <c r="J96" s="81"/>
      <c r="K96" s="69"/>
      <c r="L96" s="628"/>
      <c r="M96" s="628"/>
      <c r="N96" s="628"/>
      <c r="O96" s="643"/>
      <c r="P96" s="81">
        <f t="shared" si="29"/>
        <v>0</v>
      </c>
      <c r="Q96" s="81">
        <f t="shared" si="30"/>
        <v>0</v>
      </c>
      <c r="R96" s="81">
        <f t="shared" si="31"/>
        <v>0</v>
      </c>
      <c r="S96" s="81">
        <f t="shared" si="27"/>
        <v>0</v>
      </c>
      <c r="T96" s="85">
        <f t="shared" si="28"/>
        <v>0</v>
      </c>
      <c r="U96" s="188"/>
      <c r="V96" s="192">
        <f t="shared" si="22"/>
        <v>0</v>
      </c>
    </row>
    <row r="97" spans="1:22" x14ac:dyDescent="0.25">
      <c r="B97" s="20" t="s">
        <v>128</v>
      </c>
      <c r="C97" s="71"/>
      <c r="D97" s="69"/>
      <c r="E97" s="69"/>
      <c r="F97" s="69"/>
      <c r="G97" s="69"/>
      <c r="H97" s="81"/>
      <c r="I97" s="81"/>
      <c r="J97" s="81"/>
      <c r="K97" s="69"/>
      <c r="L97" s="628"/>
      <c r="M97" s="628"/>
      <c r="N97" s="628"/>
      <c r="O97" s="643"/>
      <c r="P97" s="81">
        <f t="shared" si="29"/>
        <v>0</v>
      </c>
      <c r="Q97" s="81">
        <f t="shared" si="30"/>
        <v>0</v>
      </c>
      <c r="R97" s="81">
        <f t="shared" si="31"/>
        <v>0</v>
      </c>
      <c r="S97" s="81">
        <f t="shared" si="27"/>
        <v>0</v>
      </c>
      <c r="T97" s="85">
        <f t="shared" si="28"/>
        <v>0</v>
      </c>
      <c r="U97" s="188"/>
      <c r="V97" s="192">
        <f t="shared" si="22"/>
        <v>0</v>
      </c>
    </row>
    <row r="98" spans="1:22" x14ac:dyDescent="0.25">
      <c r="B98" s="20" t="s">
        <v>129</v>
      </c>
      <c r="C98" s="71"/>
      <c r="D98" s="69"/>
      <c r="E98" s="69"/>
      <c r="F98" s="69"/>
      <c r="G98" s="69"/>
      <c r="H98" s="81"/>
      <c r="I98" s="81"/>
      <c r="J98" s="81"/>
      <c r="K98" s="69"/>
      <c r="L98" s="628"/>
      <c r="M98" s="628"/>
      <c r="N98" s="628"/>
      <c r="O98" s="643"/>
      <c r="P98" s="81">
        <f t="shared" si="29"/>
        <v>0</v>
      </c>
      <c r="Q98" s="81">
        <f t="shared" si="30"/>
        <v>0</v>
      </c>
      <c r="R98" s="81">
        <f t="shared" si="31"/>
        <v>0</v>
      </c>
      <c r="S98" s="81">
        <f t="shared" si="27"/>
        <v>0</v>
      </c>
      <c r="T98" s="85">
        <f t="shared" si="28"/>
        <v>0</v>
      </c>
      <c r="U98" s="188"/>
      <c r="V98" s="192">
        <f t="shared" si="22"/>
        <v>0</v>
      </c>
    </row>
    <row r="99" spans="1:22" x14ac:dyDescent="0.25">
      <c r="B99" s="20" t="s">
        <v>130</v>
      </c>
      <c r="C99" s="71"/>
      <c r="D99" s="69"/>
      <c r="E99" s="69"/>
      <c r="F99" s="69"/>
      <c r="G99" s="69"/>
      <c r="H99" s="81"/>
      <c r="I99" s="81"/>
      <c r="J99" s="81"/>
      <c r="K99" s="69"/>
      <c r="L99" s="628"/>
      <c r="M99" s="628"/>
      <c r="N99" s="628"/>
      <c r="O99" s="643"/>
      <c r="P99" s="81">
        <f t="shared" si="29"/>
        <v>0</v>
      </c>
      <c r="Q99" s="81">
        <f t="shared" si="30"/>
        <v>0</v>
      </c>
      <c r="R99" s="81">
        <f t="shared" si="31"/>
        <v>0</v>
      </c>
      <c r="S99" s="81">
        <f t="shared" si="27"/>
        <v>0</v>
      </c>
      <c r="T99" s="85">
        <f t="shared" si="28"/>
        <v>0</v>
      </c>
      <c r="U99" s="188"/>
      <c r="V99" s="192">
        <f t="shared" si="22"/>
        <v>0</v>
      </c>
    </row>
    <row r="100" spans="1:22" x14ac:dyDescent="0.25">
      <c r="B100" s="20" t="s">
        <v>131</v>
      </c>
      <c r="C100" s="71"/>
      <c r="D100" s="69"/>
      <c r="E100" s="69"/>
      <c r="F100" s="69"/>
      <c r="G100" s="69"/>
      <c r="H100" s="81"/>
      <c r="I100" s="81"/>
      <c r="J100" s="81"/>
      <c r="K100" s="69"/>
      <c r="L100" s="628"/>
      <c r="M100" s="628"/>
      <c r="N100" s="628"/>
      <c r="O100" s="643"/>
      <c r="P100" s="81">
        <f t="shared" si="29"/>
        <v>0</v>
      </c>
      <c r="Q100" s="81">
        <f t="shared" si="30"/>
        <v>0</v>
      </c>
      <c r="R100" s="81">
        <f t="shared" si="31"/>
        <v>0</v>
      </c>
      <c r="S100" s="81">
        <f t="shared" si="27"/>
        <v>0</v>
      </c>
      <c r="T100" s="85">
        <f t="shared" si="28"/>
        <v>0</v>
      </c>
      <c r="U100" s="188"/>
      <c r="V100" s="192">
        <f t="shared" si="22"/>
        <v>0</v>
      </c>
    </row>
    <row r="101" spans="1:22" x14ac:dyDescent="0.25">
      <c r="B101" s="20" t="s">
        <v>132</v>
      </c>
      <c r="C101" s="71"/>
      <c r="D101" s="69"/>
      <c r="E101" s="69"/>
      <c r="F101" s="69"/>
      <c r="G101" s="69"/>
      <c r="H101" s="81"/>
      <c r="I101" s="81"/>
      <c r="J101" s="81"/>
      <c r="K101" s="69"/>
      <c r="L101" s="628"/>
      <c r="M101" s="628"/>
      <c r="N101" s="628"/>
      <c r="O101" s="643"/>
      <c r="P101" s="81">
        <f t="shared" si="29"/>
        <v>0</v>
      </c>
      <c r="Q101" s="81">
        <f t="shared" si="30"/>
        <v>0</v>
      </c>
      <c r="R101" s="81">
        <f t="shared" si="31"/>
        <v>0</v>
      </c>
      <c r="S101" s="81">
        <f t="shared" si="27"/>
        <v>0</v>
      </c>
      <c r="T101" s="85">
        <f t="shared" si="28"/>
        <v>0</v>
      </c>
      <c r="U101" s="188"/>
      <c r="V101" s="192">
        <f t="shared" si="22"/>
        <v>0</v>
      </c>
    </row>
    <row r="102" spans="1:22" x14ac:dyDescent="0.25">
      <c r="B102" s="20" t="s">
        <v>133</v>
      </c>
      <c r="C102" s="71"/>
      <c r="D102" s="69"/>
      <c r="E102" s="69"/>
      <c r="F102" s="69"/>
      <c r="G102" s="69"/>
      <c r="H102" s="81"/>
      <c r="I102" s="81"/>
      <c r="J102" s="81"/>
      <c r="K102" s="69"/>
      <c r="L102" s="628"/>
      <c r="M102" s="628"/>
      <c r="N102" s="628"/>
      <c r="O102" s="643"/>
      <c r="P102" s="81">
        <f t="shared" si="29"/>
        <v>0</v>
      </c>
      <c r="Q102" s="81">
        <f t="shared" si="30"/>
        <v>0</v>
      </c>
      <c r="R102" s="81">
        <f t="shared" si="31"/>
        <v>0</v>
      </c>
      <c r="S102" s="81">
        <f t="shared" si="27"/>
        <v>0</v>
      </c>
      <c r="T102" s="85">
        <f t="shared" si="28"/>
        <v>0</v>
      </c>
      <c r="U102" s="188"/>
      <c r="V102" s="192">
        <f t="shared" si="22"/>
        <v>0</v>
      </c>
    </row>
    <row r="103" spans="1:22" ht="26.4" x14ac:dyDescent="0.25">
      <c r="B103" s="20" t="s">
        <v>134</v>
      </c>
      <c r="C103" s="71"/>
      <c r="D103" s="69"/>
      <c r="E103" s="69"/>
      <c r="F103" s="69"/>
      <c r="G103" s="69"/>
      <c r="H103" s="81"/>
      <c r="I103" s="81"/>
      <c r="J103" s="81"/>
      <c r="K103" s="69"/>
      <c r="L103" s="628"/>
      <c r="M103" s="628"/>
      <c r="N103" s="628"/>
      <c r="O103" s="643"/>
      <c r="P103" s="81">
        <f t="shared" si="29"/>
        <v>0</v>
      </c>
      <c r="Q103" s="81">
        <f t="shared" si="30"/>
        <v>0</v>
      </c>
      <c r="R103" s="81">
        <f t="shared" si="31"/>
        <v>0</v>
      </c>
      <c r="S103" s="81">
        <f t="shared" si="27"/>
        <v>0</v>
      </c>
      <c r="T103" s="85">
        <f t="shared" si="28"/>
        <v>0</v>
      </c>
      <c r="U103" s="188"/>
      <c r="V103" s="192">
        <f t="shared" si="22"/>
        <v>0</v>
      </c>
    </row>
    <row r="104" spans="1:22" ht="26.4" hidden="1" x14ac:dyDescent="0.25">
      <c r="B104" s="20" t="s">
        <v>135</v>
      </c>
      <c r="C104" s="71"/>
      <c r="D104" s="69"/>
      <c r="E104" s="69"/>
      <c r="F104" s="69"/>
      <c r="G104" s="69"/>
      <c r="H104" s="81"/>
      <c r="I104" s="81"/>
      <c r="J104" s="81"/>
      <c r="K104" s="69"/>
      <c r="L104" s="628"/>
      <c r="M104" s="628"/>
      <c r="N104" s="628"/>
      <c r="O104" s="643"/>
      <c r="P104" s="81">
        <f t="shared" si="29"/>
        <v>0</v>
      </c>
      <c r="Q104" s="81">
        <f t="shared" si="30"/>
        <v>0</v>
      </c>
      <c r="R104" s="81">
        <f t="shared" si="31"/>
        <v>0</v>
      </c>
      <c r="S104" s="81">
        <f>SUM(P104:R104)</f>
        <v>0</v>
      </c>
      <c r="T104" s="85">
        <f t="shared" si="28"/>
        <v>0</v>
      </c>
      <c r="U104" s="188"/>
      <c r="V104" s="192">
        <f t="shared" si="22"/>
        <v>0</v>
      </c>
    </row>
    <row r="105" spans="1:22" x14ac:dyDescent="0.25">
      <c r="C105" s="71"/>
      <c r="D105" s="69"/>
      <c r="E105" s="69"/>
      <c r="F105" s="69"/>
      <c r="G105" s="69"/>
      <c r="H105" s="81"/>
      <c r="I105" s="81"/>
      <c r="J105" s="81"/>
      <c r="K105" s="69"/>
      <c r="L105" s="628"/>
      <c r="M105" s="628"/>
      <c r="N105" s="628"/>
      <c r="O105" s="643"/>
      <c r="P105" s="81"/>
      <c r="Q105" s="81"/>
      <c r="R105" s="81"/>
      <c r="S105" s="81"/>
      <c r="T105" s="85"/>
      <c r="U105" s="188"/>
      <c r="V105" s="192"/>
    </row>
    <row r="106" spans="1:22" x14ac:dyDescent="0.25">
      <c r="A106" s="4" t="s">
        <v>136</v>
      </c>
      <c r="B106" s="3" t="s">
        <v>137</v>
      </c>
      <c r="C106" s="66">
        <f>SUM(C107:C119)</f>
        <v>106777000</v>
      </c>
      <c r="D106" s="66">
        <f>SUM(D107:D119)</f>
        <v>114831425</v>
      </c>
      <c r="E106" s="66">
        <f>SUM(E107:E118)</f>
        <v>126926504</v>
      </c>
      <c r="F106" s="66">
        <f>SUM(F107:F118)</f>
        <v>141693781</v>
      </c>
      <c r="G106" s="66"/>
      <c r="H106" s="83">
        <f>SUM(H107:H119)</f>
        <v>68417711</v>
      </c>
      <c r="I106" s="83">
        <f>SUM(I107:I118)</f>
        <v>111271404</v>
      </c>
      <c r="J106" s="83">
        <f>SUM(J107:J118)</f>
        <v>136017681</v>
      </c>
      <c r="K106" s="66"/>
      <c r="L106" s="629">
        <f t="shared" ref="L106:L118" si="32">IF(H106&gt;0,H106/C106,0)</f>
        <v>0.64075326147016676</v>
      </c>
      <c r="M106" s="629">
        <f t="shared" ref="M106:M118" si="33">IF(I106&gt;0,I106/D106,0)</f>
        <v>0.96899785054483123</v>
      </c>
      <c r="N106" s="629">
        <f t="shared" ref="N106:N118" si="34">IF(J106&gt;0,J106/E106,0)</f>
        <v>1.0716255211756247</v>
      </c>
      <c r="O106" s="644"/>
      <c r="P106" s="83">
        <f>IF(D106&gt;0,+D106-C106,0)</f>
        <v>8054425</v>
      </c>
      <c r="Q106" s="83">
        <f>IF(E106&gt;0,+E106-D106,0)</f>
        <v>12095079</v>
      </c>
      <c r="R106" s="83">
        <f>IF(F106&gt;0,+F106-E106,0)</f>
        <v>14767277</v>
      </c>
      <c r="S106" s="83">
        <f t="shared" ref="S106:S118" si="35">+P106*P$8+Q106*Q$8+Q106*G$8</f>
        <v>20149504</v>
      </c>
      <c r="T106" s="85">
        <f t="shared" ref="T106:T118" si="36">IF(C106=0,0,+S106/C106)</f>
        <v>0.18870640681045545</v>
      </c>
      <c r="U106" s="190"/>
      <c r="V106" s="192">
        <f t="shared" ref="V106:V137" si="37">+S106-E106+C106</f>
        <v>0</v>
      </c>
    </row>
    <row r="107" spans="1:22" x14ac:dyDescent="0.25">
      <c r="A107" s="14" t="s">
        <v>138</v>
      </c>
      <c r="B107" s="20" t="s">
        <v>139</v>
      </c>
      <c r="C107" s="71"/>
      <c r="D107" s="69">
        <v>1264732</v>
      </c>
      <c r="E107" s="69">
        <v>2451325</v>
      </c>
      <c r="F107" s="69">
        <v>1264732</v>
      </c>
      <c r="G107" s="69"/>
      <c r="H107" s="81">
        <v>1264732</v>
      </c>
      <c r="I107" s="69">
        <v>2451325</v>
      </c>
      <c r="J107" s="81">
        <v>1264732</v>
      </c>
      <c r="K107" s="69"/>
      <c r="L107" s="628" t="e">
        <f t="shared" si="32"/>
        <v>#DIV/0!</v>
      </c>
      <c r="M107" s="628">
        <f t="shared" si="33"/>
        <v>1.9382169503104214</v>
      </c>
      <c r="N107" s="628">
        <f t="shared" si="34"/>
        <v>0.51593811510101684</v>
      </c>
      <c r="O107" s="643"/>
      <c r="P107" s="81">
        <f t="shared" ref="P107:P118" si="38">+(D107-C107)*P$8</f>
        <v>1264732</v>
      </c>
      <c r="Q107" s="81">
        <f t="shared" ref="Q107:Q118" si="39">+(E107-D107)*Q$8</f>
        <v>1186593</v>
      </c>
      <c r="R107" s="81">
        <f t="shared" ref="R107:R118" si="40">+(F107-E107)*R$8</f>
        <v>-1186593</v>
      </c>
      <c r="S107" s="81">
        <f t="shared" si="35"/>
        <v>2451325</v>
      </c>
      <c r="T107" s="85">
        <f t="shared" si="36"/>
        <v>0</v>
      </c>
      <c r="U107" s="188"/>
      <c r="V107" s="192">
        <f t="shared" si="37"/>
        <v>0</v>
      </c>
    </row>
    <row r="108" spans="1:22" hidden="1" x14ac:dyDescent="0.25">
      <c r="B108" s="20" t="s">
        <v>140</v>
      </c>
      <c r="C108" s="71"/>
      <c r="D108" s="69"/>
      <c r="E108" s="69">
        <v>0</v>
      </c>
      <c r="F108" s="69"/>
      <c r="G108" s="69"/>
      <c r="H108" s="81"/>
      <c r="I108" s="81">
        <v>0</v>
      </c>
      <c r="J108" s="81"/>
      <c r="K108" s="69"/>
      <c r="L108" s="628">
        <f t="shared" si="32"/>
        <v>0</v>
      </c>
      <c r="M108" s="628">
        <f t="shared" si="33"/>
        <v>0</v>
      </c>
      <c r="N108" s="628">
        <f t="shared" si="34"/>
        <v>0</v>
      </c>
      <c r="O108" s="643"/>
      <c r="P108" s="81">
        <f t="shared" si="38"/>
        <v>0</v>
      </c>
      <c r="Q108" s="81">
        <f t="shared" si="39"/>
        <v>0</v>
      </c>
      <c r="R108" s="81">
        <f t="shared" si="40"/>
        <v>0</v>
      </c>
      <c r="S108" s="81">
        <f t="shared" si="35"/>
        <v>0</v>
      </c>
      <c r="T108" s="85">
        <f t="shared" si="36"/>
        <v>0</v>
      </c>
      <c r="U108" s="188"/>
      <c r="V108" s="192">
        <f t="shared" si="37"/>
        <v>0</v>
      </c>
    </row>
    <row r="109" spans="1:22" ht="26.4" x14ac:dyDescent="0.25">
      <c r="A109" s="14" t="s">
        <v>141</v>
      </c>
      <c r="B109" s="20" t="s">
        <v>143</v>
      </c>
      <c r="C109" s="71"/>
      <c r="D109" s="69"/>
      <c r="E109" s="69">
        <v>0</v>
      </c>
      <c r="F109" s="69"/>
      <c r="G109" s="69"/>
      <c r="H109" s="81"/>
      <c r="I109" s="81"/>
      <c r="J109" s="81"/>
      <c r="K109" s="69"/>
      <c r="L109" s="628">
        <f t="shared" si="32"/>
        <v>0</v>
      </c>
      <c r="M109" s="628">
        <f t="shared" si="33"/>
        <v>0</v>
      </c>
      <c r="N109" s="628">
        <f t="shared" si="34"/>
        <v>0</v>
      </c>
      <c r="O109" s="643"/>
      <c r="P109" s="81">
        <f t="shared" si="38"/>
        <v>0</v>
      </c>
      <c r="Q109" s="81">
        <f t="shared" si="39"/>
        <v>0</v>
      </c>
      <c r="R109" s="81">
        <f t="shared" si="40"/>
        <v>0</v>
      </c>
      <c r="S109" s="81">
        <f t="shared" si="35"/>
        <v>0</v>
      </c>
      <c r="T109" s="85">
        <f t="shared" si="36"/>
        <v>0</v>
      </c>
      <c r="U109" s="188"/>
      <c r="V109" s="192">
        <f t="shared" si="37"/>
        <v>0</v>
      </c>
    </row>
    <row r="110" spans="1:22" ht="26.4" x14ac:dyDescent="0.25">
      <c r="A110" s="14" t="s">
        <v>142</v>
      </c>
      <c r="B110" s="20" t="s">
        <v>144</v>
      </c>
      <c r="C110" s="71"/>
      <c r="D110" s="69"/>
      <c r="E110" s="69">
        <v>0</v>
      </c>
      <c r="F110" s="69"/>
      <c r="G110" s="69"/>
      <c r="H110" s="81"/>
      <c r="I110" s="81"/>
      <c r="J110" s="81"/>
      <c r="K110" s="69"/>
      <c r="L110" s="628">
        <f t="shared" si="32"/>
        <v>0</v>
      </c>
      <c r="M110" s="628">
        <f t="shared" si="33"/>
        <v>0</v>
      </c>
      <c r="N110" s="628">
        <f t="shared" si="34"/>
        <v>0</v>
      </c>
      <c r="O110" s="643"/>
      <c r="P110" s="81">
        <f t="shared" si="38"/>
        <v>0</v>
      </c>
      <c r="Q110" s="81">
        <f t="shared" si="39"/>
        <v>0</v>
      </c>
      <c r="R110" s="81">
        <f t="shared" si="40"/>
        <v>0</v>
      </c>
      <c r="S110" s="81">
        <f t="shared" si="35"/>
        <v>0</v>
      </c>
      <c r="T110" s="85">
        <f t="shared" si="36"/>
        <v>0</v>
      </c>
      <c r="U110" s="188"/>
      <c r="V110" s="192">
        <f t="shared" si="37"/>
        <v>0</v>
      </c>
    </row>
    <row r="111" spans="1:22" ht="26.4" x14ac:dyDescent="0.25">
      <c r="A111" s="14" t="s">
        <v>145</v>
      </c>
      <c r="B111" s="20" t="s">
        <v>146</v>
      </c>
      <c r="C111" s="71"/>
      <c r="D111" s="69"/>
      <c r="E111" s="69">
        <v>0</v>
      </c>
      <c r="F111" s="69"/>
      <c r="G111" s="69"/>
      <c r="H111" s="81"/>
      <c r="I111" s="81"/>
      <c r="J111" s="81"/>
      <c r="K111" s="69"/>
      <c r="L111" s="628">
        <f t="shared" si="32"/>
        <v>0</v>
      </c>
      <c r="M111" s="628">
        <f t="shared" si="33"/>
        <v>0</v>
      </c>
      <c r="N111" s="628">
        <f t="shared" si="34"/>
        <v>0</v>
      </c>
      <c r="O111" s="643"/>
      <c r="P111" s="81">
        <f t="shared" si="38"/>
        <v>0</v>
      </c>
      <c r="Q111" s="81">
        <f t="shared" si="39"/>
        <v>0</v>
      </c>
      <c r="R111" s="81">
        <f t="shared" si="40"/>
        <v>0</v>
      </c>
      <c r="S111" s="81">
        <f t="shared" si="35"/>
        <v>0</v>
      </c>
      <c r="T111" s="85">
        <f t="shared" si="36"/>
        <v>0</v>
      </c>
      <c r="U111" s="188"/>
      <c r="V111" s="192">
        <f t="shared" si="37"/>
        <v>0</v>
      </c>
    </row>
    <row r="112" spans="1:22" x14ac:dyDescent="0.25">
      <c r="A112" s="14" t="s">
        <v>147</v>
      </c>
      <c r="B112" s="20" t="s">
        <v>148</v>
      </c>
      <c r="C112" s="71">
        <v>1000000</v>
      </c>
      <c r="D112" s="69">
        <v>1000000</v>
      </c>
      <c r="E112" s="69">
        <v>1000000</v>
      </c>
      <c r="F112" s="69">
        <v>2186593</v>
      </c>
      <c r="G112" s="69"/>
      <c r="H112" s="81">
        <v>330000</v>
      </c>
      <c r="I112" s="81">
        <v>696000</v>
      </c>
      <c r="J112" s="81">
        <v>1882593</v>
      </c>
      <c r="K112" s="69"/>
      <c r="L112" s="628">
        <f t="shared" si="32"/>
        <v>0.33</v>
      </c>
      <c r="M112" s="628">
        <f t="shared" si="33"/>
        <v>0.69599999999999995</v>
      </c>
      <c r="N112" s="628">
        <f t="shared" si="34"/>
        <v>1.882593</v>
      </c>
      <c r="O112" s="643"/>
      <c r="P112" s="81">
        <f t="shared" si="38"/>
        <v>0</v>
      </c>
      <c r="Q112" s="81">
        <f t="shared" si="39"/>
        <v>0</v>
      </c>
      <c r="R112" s="81">
        <f t="shared" si="40"/>
        <v>1186593</v>
      </c>
      <c r="S112" s="81">
        <f t="shared" si="35"/>
        <v>0</v>
      </c>
      <c r="T112" s="85">
        <f t="shared" si="36"/>
        <v>0</v>
      </c>
      <c r="U112" s="188"/>
      <c r="V112" s="192">
        <f t="shared" si="37"/>
        <v>0</v>
      </c>
    </row>
    <row r="113" spans="1:22" ht="39.6" hidden="1" x14ac:dyDescent="0.25">
      <c r="B113" s="20" t="s">
        <v>149</v>
      </c>
      <c r="C113" s="71"/>
      <c r="D113" s="69"/>
      <c r="E113" s="69"/>
      <c r="F113" s="69"/>
      <c r="G113" s="69"/>
      <c r="H113" s="81"/>
      <c r="I113" s="81"/>
      <c r="J113" s="81"/>
      <c r="K113" s="69"/>
      <c r="L113" s="628">
        <f t="shared" si="32"/>
        <v>0</v>
      </c>
      <c r="M113" s="628">
        <f t="shared" si="33"/>
        <v>0</v>
      </c>
      <c r="N113" s="628">
        <f t="shared" si="34"/>
        <v>0</v>
      </c>
      <c r="O113" s="643"/>
      <c r="P113" s="81">
        <f t="shared" si="38"/>
        <v>0</v>
      </c>
      <c r="Q113" s="81">
        <f t="shared" si="39"/>
        <v>0</v>
      </c>
      <c r="R113" s="81">
        <f t="shared" si="40"/>
        <v>0</v>
      </c>
      <c r="S113" s="81">
        <f t="shared" si="35"/>
        <v>0</v>
      </c>
      <c r="T113" s="85">
        <f t="shared" si="36"/>
        <v>0</v>
      </c>
      <c r="U113" s="188"/>
      <c r="V113" s="192">
        <f t="shared" si="37"/>
        <v>0</v>
      </c>
    </row>
    <row r="114" spans="1:22" ht="52.8" hidden="1" x14ac:dyDescent="0.25">
      <c r="A114" s="14" t="s">
        <v>150</v>
      </c>
      <c r="B114" s="20" t="s">
        <v>151</v>
      </c>
      <c r="C114" s="71">
        <v>0</v>
      </c>
      <c r="D114" s="69">
        <f>+C114</f>
        <v>0</v>
      </c>
      <c r="E114" s="69">
        <v>0</v>
      </c>
      <c r="F114" s="69"/>
      <c r="G114" s="69"/>
      <c r="H114" s="81">
        <v>0</v>
      </c>
      <c r="I114" s="81">
        <v>0</v>
      </c>
      <c r="J114" s="81"/>
      <c r="K114" s="69"/>
      <c r="L114" s="628">
        <f t="shared" si="32"/>
        <v>0</v>
      </c>
      <c r="M114" s="628">
        <f t="shared" si="33"/>
        <v>0</v>
      </c>
      <c r="N114" s="628">
        <f t="shared" si="34"/>
        <v>0</v>
      </c>
      <c r="O114" s="643"/>
      <c r="P114" s="81">
        <f t="shared" si="38"/>
        <v>0</v>
      </c>
      <c r="Q114" s="81">
        <f t="shared" si="39"/>
        <v>0</v>
      </c>
      <c r="R114" s="81">
        <f t="shared" si="40"/>
        <v>0</v>
      </c>
      <c r="S114" s="81">
        <f t="shared" si="35"/>
        <v>0</v>
      </c>
      <c r="T114" s="85">
        <f t="shared" si="36"/>
        <v>0</v>
      </c>
      <c r="U114" s="188"/>
      <c r="V114" s="192">
        <f t="shared" si="37"/>
        <v>0</v>
      </c>
    </row>
    <row r="115" spans="1:22" ht="34.799999999999997" x14ac:dyDescent="0.25">
      <c r="A115" s="14" t="s">
        <v>152</v>
      </c>
      <c r="B115" s="583" t="s">
        <v>153</v>
      </c>
      <c r="C115" s="71"/>
      <c r="D115" s="69">
        <v>112693</v>
      </c>
      <c r="E115" s="69">
        <v>10150640</v>
      </c>
      <c r="F115" s="69">
        <v>12150640</v>
      </c>
      <c r="G115" s="69"/>
      <c r="H115" s="81">
        <v>112693</v>
      </c>
      <c r="I115" s="69">
        <v>10150640</v>
      </c>
      <c r="J115" s="81">
        <v>12150640</v>
      </c>
      <c r="K115" s="69"/>
      <c r="L115" s="628" t="e">
        <f t="shared" si="32"/>
        <v>#DIV/0!</v>
      </c>
      <c r="M115" s="628">
        <f t="shared" si="33"/>
        <v>90.073385214698334</v>
      </c>
      <c r="N115" s="628">
        <f t="shared" si="34"/>
        <v>1.1970319112883523</v>
      </c>
      <c r="O115" s="643"/>
      <c r="P115" s="81">
        <f t="shared" si="38"/>
        <v>112693</v>
      </c>
      <c r="Q115" s="81">
        <f t="shared" si="39"/>
        <v>10037947</v>
      </c>
      <c r="R115" s="81">
        <f t="shared" si="40"/>
        <v>2000000</v>
      </c>
      <c r="S115" s="81">
        <f t="shared" si="35"/>
        <v>10150640</v>
      </c>
      <c r="T115" s="85">
        <f t="shared" si="36"/>
        <v>0</v>
      </c>
      <c r="U115" s="188"/>
      <c r="V115" s="192">
        <f t="shared" si="37"/>
        <v>0</v>
      </c>
    </row>
    <row r="116" spans="1:22" x14ac:dyDescent="0.25">
      <c r="A116" s="43" t="s">
        <v>365</v>
      </c>
      <c r="B116" s="20" t="s">
        <v>363</v>
      </c>
      <c r="C116" s="71">
        <v>100777000</v>
      </c>
      <c r="D116" s="69">
        <v>107454000</v>
      </c>
      <c r="E116" s="69">
        <v>108324539</v>
      </c>
      <c r="F116" s="69">
        <v>121091816</v>
      </c>
      <c r="G116" s="69"/>
      <c r="H116" s="81">
        <v>66710286</v>
      </c>
      <c r="I116" s="81">
        <v>97973439</v>
      </c>
      <c r="J116" s="81">
        <v>120719716</v>
      </c>
      <c r="K116" s="69"/>
      <c r="L116" s="628">
        <f t="shared" si="32"/>
        <v>0.66195943518858469</v>
      </c>
      <c r="M116" s="628">
        <f t="shared" si="33"/>
        <v>0.91177098107096988</v>
      </c>
      <c r="N116" s="628">
        <f t="shared" si="34"/>
        <v>1.1144263074131338</v>
      </c>
      <c r="O116" s="643"/>
      <c r="P116" s="81">
        <f t="shared" si="38"/>
        <v>6677000</v>
      </c>
      <c r="Q116" s="81">
        <f t="shared" si="39"/>
        <v>870539</v>
      </c>
      <c r="R116" s="81">
        <f t="shared" si="40"/>
        <v>12767277</v>
      </c>
      <c r="S116" s="81">
        <f t="shared" si="35"/>
        <v>7547539</v>
      </c>
      <c r="T116" s="85">
        <f t="shared" si="36"/>
        <v>7.4893467755539456E-2</v>
      </c>
      <c r="U116" s="188"/>
      <c r="V116" s="192">
        <f t="shared" si="37"/>
        <v>0</v>
      </c>
    </row>
    <row r="117" spans="1:22" x14ac:dyDescent="0.25">
      <c r="B117" s="20" t="s">
        <v>364</v>
      </c>
      <c r="C117" s="71"/>
      <c r="D117" s="69"/>
      <c r="E117" s="69">
        <v>0</v>
      </c>
      <c r="F117" s="69"/>
      <c r="G117" s="69"/>
      <c r="H117" s="81"/>
      <c r="I117" s="81"/>
      <c r="J117" s="81"/>
      <c r="K117" s="69"/>
      <c r="L117" s="628">
        <f t="shared" si="32"/>
        <v>0</v>
      </c>
      <c r="M117" s="628">
        <f t="shared" si="33"/>
        <v>0</v>
      </c>
      <c r="N117" s="628">
        <f t="shared" si="34"/>
        <v>0</v>
      </c>
      <c r="O117" s="643"/>
      <c r="P117" s="81">
        <f t="shared" si="38"/>
        <v>0</v>
      </c>
      <c r="Q117" s="81">
        <f t="shared" si="39"/>
        <v>0</v>
      </c>
      <c r="R117" s="81">
        <f t="shared" si="40"/>
        <v>0</v>
      </c>
      <c r="S117" s="81">
        <f t="shared" si="35"/>
        <v>0</v>
      </c>
      <c r="T117" s="85">
        <f t="shared" si="36"/>
        <v>0</v>
      </c>
      <c r="U117" s="188"/>
      <c r="V117" s="192">
        <f t="shared" si="37"/>
        <v>0</v>
      </c>
    </row>
    <row r="118" spans="1:22" x14ac:dyDescent="0.25">
      <c r="A118" s="43" t="s">
        <v>384</v>
      </c>
      <c r="B118" s="479" t="s">
        <v>496</v>
      </c>
      <c r="C118" s="71">
        <v>5000000</v>
      </c>
      <c r="D118" s="69">
        <v>5000000</v>
      </c>
      <c r="E118" s="171">
        <v>5000000</v>
      </c>
      <c r="F118" s="69">
        <v>5000000</v>
      </c>
      <c r="G118" s="69"/>
      <c r="H118" s="81">
        <v>0</v>
      </c>
      <c r="I118" s="81">
        <v>0</v>
      </c>
      <c r="J118" s="81">
        <v>0</v>
      </c>
      <c r="K118" s="69"/>
      <c r="L118" s="628">
        <f t="shared" si="32"/>
        <v>0</v>
      </c>
      <c r="M118" s="628">
        <f t="shared" si="33"/>
        <v>0</v>
      </c>
      <c r="N118" s="628">
        <f t="shared" si="34"/>
        <v>0</v>
      </c>
      <c r="O118" s="643"/>
      <c r="P118" s="81">
        <f t="shared" si="38"/>
        <v>0</v>
      </c>
      <c r="Q118" s="81">
        <f t="shared" si="39"/>
        <v>0</v>
      </c>
      <c r="R118" s="81">
        <f t="shared" si="40"/>
        <v>0</v>
      </c>
      <c r="S118" s="81">
        <f t="shared" si="35"/>
        <v>0</v>
      </c>
      <c r="T118" s="85">
        <f t="shared" si="36"/>
        <v>0</v>
      </c>
      <c r="U118" s="188"/>
      <c r="V118" s="192">
        <f t="shared" si="37"/>
        <v>0</v>
      </c>
    </row>
    <row r="119" spans="1:22" x14ac:dyDescent="0.25">
      <c r="A119" s="43"/>
      <c r="B119" s="20"/>
      <c r="C119" s="71"/>
      <c r="D119" s="69"/>
      <c r="E119" s="171"/>
      <c r="F119" s="69"/>
      <c r="G119" s="69"/>
      <c r="H119" s="81"/>
      <c r="I119" s="81"/>
      <c r="J119" s="81"/>
      <c r="K119" s="69"/>
      <c r="L119" s="628"/>
      <c r="M119" s="628"/>
      <c r="N119" s="628"/>
      <c r="O119" s="643"/>
      <c r="P119" s="81"/>
      <c r="Q119" s="81"/>
      <c r="R119" s="81"/>
      <c r="S119" s="81"/>
      <c r="T119" s="85"/>
      <c r="U119" s="188"/>
      <c r="V119" s="192">
        <f t="shared" si="37"/>
        <v>0</v>
      </c>
    </row>
    <row r="120" spans="1:22" x14ac:dyDescent="0.25">
      <c r="A120" s="4" t="s">
        <v>154</v>
      </c>
      <c r="B120" s="3" t="s">
        <v>155</v>
      </c>
      <c r="C120" s="66">
        <f>SUM(C121:C128)</f>
        <v>792250000</v>
      </c>
      <c r="D120" s="66">
        <f>SUM(D121:D128)</f>
        <v>793165620</v>
      </c>
      <c r="E120" s="66">
        <f>SUM(E121:E127)</f>
        <v>742381620</v>
      </c>
      <c r="F120" s="66">
        <f>SUM(F121:F127)</f>
        <v>661513746</v>
      </c>
      <c r="G120" s="66"/>
      <c r="H120" s="83">
        <f>SUM(H121:H128)</f>
        <v>97143389</v>
      </c>
      <c r="I120" s="83">
        <f>SUM(I121:I127)</f>
        <v>175947301</v>
      </c>
      <c r="J120" s="83">
        <f>SUM(J121:J127)</f>
        <v>233667739</v>
      </c>
      <c r="K120" s="66"/>
      <c r="L120" s="629">
        <f t="shared" ref="L120:L127" si="41">IF(H120&gt;0,H120/C120,0)</f>
        <v>0.12261708930261912</v>
      </c>
      <c r="M120" s="629">
        <f t="shared" ref="M120:M127" si="42">IF(I120&gt;0,I120/D120,0)</f>
        <v>0.22182920762501027</v>
      </c>
      <c r="N120" s="629">
        <f t="shared" ref="N120:N127" si="43">IF(J120&gt;0,J120/E120,0)</f>
        <v>0.3147542082197563</v>
      </c>
      <c r="O120" s="644"/>
      <c r="P120" s="83">
        <f>IF(D120&gt;0,+D120-C120,0)</f>
        <v>915620</v>
      </c>
      <c r="Q120" s="83">
        <f>IF(E120&gt;0,+E120-D120,0)</f>
        <v>-50784000</v>
      </c>
      <c r="R120" s="83">
        <f>IF(F120&gt;0,+F120-E120,0)</f>
        <v>-80867874</v>
      </c>
      <c r="S120" s="83">
        <f t="shared" ref="S120:S127" si="44">+P120*P$8+Q120*Q$8+Q120*G$8</f>
        <v>-49868380</v>
      </c>
      <c r="T120" s="85">
        <f t="shared" ref="T120:T127" si="45">IF(C120=0,0,+S120/C120)</f>
        <v>-6.2945257178920799E-2</v>
      </c>
      <c r="U120" s="190"/>
      <c r="V120" s="192">
        <f t="shared" si="37"/>
        <v>0</v>
      </c>
    </row>
    <row r="121" spans="1:22" x14ac:dyDescent="0.25">
      <c r="A121" s="14" t="s">
        <v>156</v>
      </c>
      <c r="B121" s="20" t="s">
        <v>157</v>
      </c>
      <c r="C121" s="71">
        <v>0</v>
      </c>
      <c r="D121" s="69">
        <v>406000</v>
      </c>
      <c r="E121" s="69">
        <v>406000</v>
      </c>
      <c r="F121" s="69">
        <v>406000</v>
      </c>
      <c r="G121" s="69"/>
      <c r="H121" s="81">
        <v>406000</v>
      </c>
      <c r="I121" s="81">
        <v>406000</v>
      </c>
      <c r="J121" s="81">
        <v>406000</v>
      </c>
      <c r="K121" s="69"/>
      <c r="L121" s="628" t="e">
        <f t="shared" si="41"/>
        <v>#DIV/0!</v>
      </c>
      <c r="M121" s="628">
        <f t="shared" si="42"/>
        <v>1</v>
      </c>
      <c r="N121" s="628">
        <f t="shared" si="43"/>
        <v>1</v>
      </c>
      <c r="O121" s="643"/>
      <c r="P121" s="81">
        <f t="shared" ref="P121:R127" si="46">+(D121-C121)*P$8</f>
        <v>406000</v>
      </c>
      <c r="Q121" s="81">
        <f t="shared" si="46"/>
        <v>0</v>
      </c>
      <c r="R121" s="81">
        <f t="shared" si="46"/>
        <v>0</v>
      </c>
      <c r="S121" s="81">
        <f t="shared" si="44"/>
        <v>406000</v>
      </c>
      <c r="T121" s="85">
        <f t="shared" si="45"/>
        <v>0</v>
      </c>
      <c r="U121" s="188"/>
      <c r="V121" s="192">
        <f t="shared" si="37"/>
        <v>0</v>
      </c>
    </row>
    <row r="122" spans="1:22" x14ac:dyDescent="0.25">
      <c r="A122" s="14" t="s">
        <v>158</v>
      </c>
      <c r="B122" s="20" t="s">
        <v>159</v>
      </c>
      <c r="C122" s="71">
        <v>792250000</v>
      </c>
      <c r="D122" s="71">
        <v>780958000</v>
      </c>
      <c r="E122" s="171">
        <v>725868700</v>
      </c>
      <c r="F122" s="69">
        <v>645000826</v>
      </c>
      <c r="G122" s="69"/>
      <c r="H122" s="81">
        <v>89548377</v>
      </c>
      <c r="I122" s="81">
        <v>162807809</v>
      </c>
      <c r="J122" s="81">
        <v>220528247</v>
      </c>
      <c r="K122" s="69"/>
      <c r="L122" s="628">
        <f t="shared" si="41"/>
        <v>0.11303045377090565</v>
      </c>
      <c r="M122" s="628">
        <f t="shared" si="42"/>
        <v>0.20847191398257012</v>
      </c>
      <c r="N122" s="628">
        <f t="shared" si="43"/>
        <v>0.30381286174758604</v>
      </c>
      <c r="O122" s="643"/>
      <c r="P122" s="81">
        <f t="shared" si="46"/>
        <v>-11292000</v>
      </c>
      <c r="Q122" s="81">
        <f t="shared" si="46"/>
        <v>-55089300</v>
      </c>
      <c r="R122" s="81">
        <f t="shared" si="46"/>
        <v>-80867874</v>
      </c>
      <c r="S122" s="81">
        <f t="shared" si="44"/>
        <v>-66381300</v>
      </c>
      <c r="T122" s="85">
        <f t="shared" si="45"/>
        <v>-8.3788324392552863E-2</v>
      </c>
      <c r="U122" s="188"/>
      <c r="V122" s="192">
        <f t="shared" si="37"/>
        <v>0</v>
      </c>
    </row>
    <row r="123" spans="1:22" hidden="1" x14ac:dyDescent="0.25">
      <c r="B123" s="20" t="s">
        <v>160</v>
      </c>
      <c r="C123" s="71"/>
      <c r="D123" s="71"/>
      <c r="E123" s="69"/>
      <c r="F123" s="69"/>
      <c r="G123" s="69"/>
      <c r="H123" s="81"/>
      <c r="I123" s="81"/>
      <c r="J123" s="81"/>
      <c r="K123" s="69"/>
      <c r="L123" s="628">
        <f t="shared" si="41"/>
        <v>0</v>
      </c>
      <c r="M123" s="628">
        <f t="shared" si="42"/>
        <v>0</v>
      </c>
      <c r="N123" s="628">
        <f t="shared" si="43"/>
        <v>0</v>
      </c>
      <c r="O123" s="643"/>
      <c r="P123" s="81">
        <f t="shared" si="46"/>
        <v>0</v>
      </c>
      <c r="Q123" s="81">
        <f t="shared" si="46"/>
        <v>0</v>
      </c>
      <c r="R123" s="81">
        <f t="shared" si="46"/>
        <v>0</v>
      </c>
      <c r="S123" s="81">
        <f t="shared" si="44"/>
        <v>0</v>
      </c>
      <c r="T123" s="85">
        <f t="shared" si="45"/>
        <v>0</v>
      </c>
      <c r="U123" s="188"/>
      <c r="V123" s="192">
        <f t="shared" si="37"/>
        <v>0</v>
      </c>
    </row>
    <row r="124" spans="1:22" x14ac:dyDescent="0.25">
      <c r="A124" s="14" t="s">
        <v>161</v>
      </c>
      <c r="B124" s="20" t="s">
        <v>162</v>
      </c>
      <c r="C124" s="71">
        <v>0</v>
      </c>
      <c r="D124" s="71">
        <v>0</v>
      </c>
      <c r="E124" s="69"/>
      <c r="F124" s="69"/>
      <c r="G124" s="69"/>
      <c r="H124" s="81"/>
      <c r="I124" s="81"/>
      <c r="J124" s="81"/>
      <c r="K124" s="69"/>
      <c r="L124" s="628">
        <f t="shared" si="41"/>
        <v>0</v>
      </c>
      <c r="M124" s="628">
        <f t="shared" si="42"/>
        <v>0</v>
      </c>
      <c r="N124" s="628">
        <f t="shared" si="43"/>
        <v>0</v>
      </c>
      <c r="O124" s="643"/>
      <c r="P124" s="81">
        <f t="shared" si="46"/>
        <v>0</v>
      </c>
      <c r="Q124" s="81">
        <f t="shared" si="46"/>
        <v>0</v>
      </c>
      <c r="R124" s="81">
        <f t="shared" si="46"/>
        <v>0</v>
      </c>
      <c r="S124" s="81">
        <f t="shared" si="44"/>
        <v>0</v>
      </c>
      <c r="T124" s="85">
        <f t="shared" si="45"/>
        <v>0</v>
      </c>
      <c r="U124" s="188"/>
      <c r="V124" s="192">
        <f t="shared" si="37"/>
        <v>0</v>
      </c>
    </row>
    <row r="125" spans="1:22" x14ac:dyDescent="0.25">
      <c r="A125" s="14" t="s">
        <v>163</v>
      </c>
      <c r="B125" s="20" t="s">
        <v>164</v>
      </c>
      <c r="C125" s="71">
        <v>0</v>
      </c>
      <c r="D125" s="71">
        <v>701000</v>
      </c>
      <c r="E125" s="69">
        <v>4091000</v>
      </c>
      <c r="F125" s="69">
        <v>4091000</v>
      </c>
      <c r="G125" s="69"/>
      <c r="H125" s="81">
        <v>660096</v>
      </c>
      <c r="I125" s="81">
        <v>4079765</v>
      </c>
      <c r="J125" s="81">
        <v>4079765</v>
      </c>
      <c r="K125" s="69"/>
      <c r="L125" s="628" t="e">
        <f t="shared" si="41"/>
        <v>#DIV/0!</v>
      </c>
      <c r="M125" s="628">
        <f t="shared" si="42"/>
        <v>5.819921540656205</v>
      </c>
      <c r="N125" s="628">
        <f t="shared" si="43"/>
        <v>0.99725372769494014</v>
      </c>
      <c r="O125" s="643"/>
      <c r="P125" s="81">
        <f t="shared" si="46"/>
        <v>701000</v>
      </c>
      <c r="Q125" s="81">
        <f t="shared" si="46"/>
        <v>3390000</v>
      </c>
      <c r="R125" s="81">
        <f t="shared" si="46"/>
        <v>0</v>
      </c>
      <c r="S125" s="81">
        <f t="shared" si="44"/>
        <v>4091000</v>
      </c>
      <c r="T125" s="85">
        <f t="shared" si="45"/>
        <v>0</v>
      </c>
      <c r="U125" s="188"/>
      <c r="V125" s="192">
        <f t="shared" si="37"/>
        <v>0</v>
      </c>
    </row>
    <row r="126" spans="1:22" x14ac:dyDescent="0.25">
      <c r="A126" s="14" t="s">
        <v>165</v>
      </c>
      <c r="B126" s="20" t="s">
        <v>166</v>
      </c>
      <c r="C126" s="71">
        <v>0</v>
      </c>
      <c r="D126" s="71">
        <v>0</v>
      </c>
      <c r="E126" s="69"/>
      <c r="F126" s="69"/>
      <c r="G126" s="69"/>
      <c r="H126" s="81">
        <v>0</v>
      </c>
      <c r="I126" s="81">
        <v>0</v>
      </c>
      <c r="J126" s="81"/>
      <c r="K126" s="69"/>
      <c r="L126" s="628">
        <f t="shared" si="41"/>
        <v>0</v>
      </c>
      <c r="M126" s="628">
        <f t="shared" si="42"/>
        <v>0</v>
      </c>
      <c r="N126" s="628">
        <f t="shared" si="43"/>
        <v>0</v>
      </c>
      <c r="O126" s="643"/>
      <c r="P126" s="81">
        <f t="shared" si="46"/>
        <v>0</v>
      </c>
      <c r="Q126" s="81">
        <f t="shared" si="46"/>
        <v>0</v>
      </c>
      <c r="R126" s="81">
        <f t="shared" si="46"/>
        <v>0</v>
      </c>
      <c r="S126" s="81">
        <f t="shared" si="44"/>
        <v>0</v>
      </c>
      <c r="T126" s="85">
        <f t="shared" si="45"/>
        <v>0</v>
      </c>
      <c r="U126" s="188"/>
      <c r="V126" s="192">
        <f t="shared" si="37"/>
        <v>0</v>
      </c>
    </row>
    <row r="127" spans="1:22" x14ac:dyDescent="0.25">
      <c r="A127" s="14" t="s">
        <v>167</v>
      </c>
      <c r="B127" s="20" t="s">
        <v>168</v>
      </c>
      <c r="C127" s="71">
        <v>0</v>
      </c>
      <c r="D127" s="69">
        <v>11100620</v>
      </c>
      <c r="E127" s="69">
        <v>12015920</v>
      </c>
      <c r="F127" s="69">
        <v>12015920</v>
      </c>
      <c r="G127" s="69"/>
      <c r="H127" s="81">
        <v>6528916</v>
      </c>
      <c r="I127" s="81">
        <v>8653727</v>
      </c>
      <c r="J127" s="81">
        <v>8653727</v>
      </c>
      <c r="K127" s="69"/>
      <c r="L127" s="628" t="e">
        <f t="shared" si="41"/>
        <v>#DIV/0!</v>
      </c>
      <c r="M127" s="628">
        <f t="shared" si="42"/>
        <v>0.77957150141163289</v>
      </c>
      <c r="N127" s="628">
        <f t="shared" si="43"/>
        <v>0.72018846663426517</v>
      </c>
      <c r="O127" s="643"/>
      <c r="P127" s="81">
        <f t="shared" si="46"/>
        <v>11100620</v>
      </c>
      <c r="Q127" s="81">
        <f t="shared" si="46"/>
        <v>915300</v>
      </c>
      <c r="R127" s="81">
        <f t="shared" si="46"/>
        <v>0</v>
      </c>
      <c r="S127" s="81">
        <f t="shared" si="44"/>
        <v>12015920</v>
      </c>
      <c r="T127" s="85">
        <f t="shared" si="45"/>
        <v>0</v>
      </c>
      <c r="U127" s="188"/>
      <c r="V127" s="192">
        <f t="shared" si="37"/>
        <v>0</v>
      </c>
    </row>
    <row r="128" spans="1:22" x14ac:dyDescent="0.25">
      <c r="C128" s="71"/>
      <c r="D128" s="69"/>
      <c r="E128" s="69"/>
      <c r="F128" s="69"/>
      <c r="G128" s="69"/>
      <c r="H128" s="81"/>
      <c r="I128" s="81"/>
      <c r="J128" s="81"/>
      <c r="K128" s="69"/>
      <c r="L128" s="628"/>
      <c r="M128" s="628"/>
      <c r="N128" s="628"/>
      <c r="O128" s="643"/>
      <c r="P128" s="81"/>
      <c r="Q128" s="81"/>
      <c r="R128" s="81"/>
      <c r="S128" s="81"/>
      <c r="T128" s="85"/>
      <c r="U128" s="188"/>
      <c r="V128" s="192">
        <f t="shared" si="37"/>
        <v>0</v>
      </c>
    </row>
    <row r="129" spans="1:22" x14ac:dyDescent="0.25">
      <c r="A129" s="4" t="s">
        <v>169</v>
      </c>
      <c r="B129" s="3" t="s">
        <v>170</v>
      </c>
      <c r="C129" s="66">
        <f>SUM(C130:C134)</f>
        <v>198800000</v>
      </c>
      <c r="D129" s="66">
        <f>SUM(D130:D134)</f>
        <v>198800000</v>
      </c>
      <c r="E129" s="66">
        <f>SUM(E130:E133)</f>
        <v>197263000</v>
      </c>
      <c r="F129" s="66">
        <f>SUM(F130:F133)</f>
        <v>262758288</v>
      </c>
      <c r="G129" s="66"/>
      <c r="H129" s="83">
        <f>SUM(H130:H134)</f>
        <v>15737344</v>
      </c>
      <c r="I129" s="83">
        <f>SUM(I130:I133)</f>
        <v>68275190</v>
      </c>
      <c r="J129" s="83">
        <f>SUM(J130:J133)</f>
        <v>223547903</v>
      </c>
      <c r="K129" s="66"/>
      <c r="L129" s="629">
        <f t="shared" ref="L129:N133" si="47">IF(H129&gt;0,H129/C129,0)</f>
        <v>7.9161690140845065E-2</v>
      </c>
      <c r="M129" s="629">
        <f t="shared" si="47"/>
        <v>0.34343656941649897</v>
      </c>
      <c r="N129" s="629">
        <f t="shared" si="47"/>
        <v>1.1332480140725834</v>
      </c>
      <c r="O129" s="644"/>
      <c r="P129" s="83">
        <f>IF(D129&gt;0,+D129-C129,0)</f>
        <v>0</v>
      </c>
      <c r="Q129" s="83">
        <f>IF(E129&gt;0,+E129-D129,0)</f>
        <v>-1537000</v>
      </c>
      <c r="R129" s="83">
        <f>IF(F129&gt;0,+F129-E129,0)</f>
        <v>65495288</v>
      </c>
      <c r="S129" s="83">
        <f>+P129*P$8+Q129*Q$8+Q129*G$8</f>
        <v>-1537000</v>
      </c>
      <c r="T129" s="85">
        <f>IF(C129=0,0,+S129/C129)</f>
        <v>-7.731388329979879E-3</v>
      </c>
      <c r="U129" s="190"/>
      <c r="V129" s="192">
        <f t="shared" si="37"/>
        <v>0</v>
      </c>
    </row>
    <row r="130" spans="1:22" x14ac:dyDescent="0.25">
      <c r="A130" s="14" t="s">
        <v>171</v>
      </c>
      <c r="B130" s="20" t="s">
        <v>172</v>
      </c>
      <c r="C130" s="71">
        <v>198800000</v>
      </c>
      <c r="D130" s="69">
        <v>191508935</v>
      </c>
      <c r="E130" s="142">
        <v>163581589</v>
      </c>
      <c r="F130" s="69">
        <v>214303423</v>
      </c>
      <c r="G130" s="69"/>
      <c r="H130" s="81">
        <v>12524951</v>
      </c>
      <c r="I130" s="81">
        <v>54001759</v>
      </c>
      <c r="J130" s="81">
        <v>176699565</v>
      </c>
      <c r="K130" s="69"/>
      <c r="L130" s="628">
        <f t="shared" si="47"/>
        <v>6.3002771629778673E-2</v>
      </c>
      <c r="M130" s="628">
        <f t="shared" si="47"/>
        <v>0.28198036295277817</v>
      </c>
      <c r="N130" s="628">
        <f t="shared" si="47"/>
        <v>1.0801922519532439</v>
      </c>
      <c r="O130" s="643"/>
      <c r="P130" s="81">
        <f t="shared" ref="P130:R133" si="48">+(D130-C130)*P$8</f>
        <v>-7291065</v>
      </c>
      <c r="Q130" s="81">
        <f t="shared" si="48"/>
        <v>-27927346</v>
      </c>
      <c r="R130" s="81">
        <f t="shared" si="48"/>
        <v>50721834</v>
      </c>
      <c r="S130" s="81">
        <f>+P130*P$8+Q130*Q$8+Q130*G$8</f>
        <v>-35218411</v>
      </c>
      <c r="T130" s="85">
        <f>IF(C130=0,0,+S130/C130)</f>
        <v>-0.17715498490945675</v>
      </c>
      <c r="U130" s="188"/>
      <c r="V130" s="192">
        <f t="shared" si="37"/>
        <v>0</v>
      </c>
    </row>
    <row r="131" spans="1:22" hidden="1" x14ac:dyDescent="0.25">
      <c r="A131" s="14" t="s">
        <v>173</v>
      </c>
      <c r="B131" s="20" t="s">
        <v>174</v>
      </c>
      <c r="C131" s="71"/>
      <c r="D131" s="69"/>
      <c r="E131" s="69"/>
      <c r="F131" s="69"/>
      <c r="G131" s="69"/>
      <c r="H131" s="81"/>
      <c r="I131" s="81"/>
      <c r="J131" s="81"/>
      <c r="K131" s="69"/>
      <c r="L131" s="628">
        <f t="shared" si="47"/>
        <v>0</v>
      </c>
      <c r="M131" s="628">
        <f t="shared" si="47"/>
        <v>0</v>
      </c>
      <c r="N131" s="628">
        <f t="shared" si="47"/>
        <v>0</v>
      </c>
      <c r="O131" s="643"/>
      <c r="P131" s="81">
        <f t="shared" si="48"/>
        <v>0</v>
      </c>
      <c r="Q131" s="81">
        <f t="shared" si="48"/>
        <v>0</v>
      </c>
      <c r="R131" s="81">
        <f t="shared" si="48"/>
        <v>0</v>
      </c>
      <c r="S131" s="81">
        <f>+P131*P$8+Q131*Q$8+Q131*G$8</f>
        <v>0</v>
      </c>
      <c r="T131" s="85">
        <f>IF(C131=0,0,+S131/C131)</f>
        <v>0</v>
      </c>
      <c r="U131" s="188"/>
      <c r="V131" s="192">
        <f t="shared" si="37"/>
        <v>0</v>
      </c>
    </row>
    <row r="132" spans="1:22" hidden="1" x14ac:dyDescent="0.25">
      <c r="A132" s="14" t="s">
        <v>175</v>
      </c>
      <c r="B132" s="20" t="s">
        <v>176</v>
      </c>
      <c r="C132" s="71">
        <v>0</v>
      </c>
      <c r="D132" s="69"/>
      <c r="E132" s="69"/>
      <c r="F132" s="69"/>
      <c r="G132" s="69"/>
      <c r="H132" s="81"/>
      <c r="I132" s="81"/>
      <c r="J132" s="81"/>
      <c r="K132" s="69"/>
      <c r="L132" s="628">
        <f t="shared" si="47"/>
        <v>0</v>
      </c>
      <c r="M132" s="628">
        <f t="shared" si="47"/>
        <v>0</v>
      </c>
      <c r="N132" s="628">
        <f t="shared" si="47"/>
        <v>0</v>
      </c>
      <c r="O132" s="643"/>
      <c r="P132" s="81">
        <f t="shared" si="48"/>
        <v>0</v>
      </c>
      <c r="Q132" s="81">
        <f t="shared" si="48"/>
        <v>0</v>
      </c>
      <c r="R132" s="81">
        <f t="shared" si="48"/>
        <v>0</v>
      </c>
      <c r="S132" s="81">
        <f>+P132*P$8+Q132*Q$8+Q132*G$8</f>
        <v>0</v>
      </c>
      <c r="T132" s="85">
        <f>IF(C132=0,0,+S132/C132)</f>
        <v>0</v>
      </c>
      <c r="U132" s="188"/>
      <c r="V132" s="192">
        <f t="shared" si="37"/>
        <v>0</v>
      </c>
    </row>
    <row r="133" spans="1:22" x14ac:dyDescent="0.25">
      <c r="A133" s="14" t="s">
        <v>177</v>
      </c>
      <c r="B133" s="20" t="s">
        <v>178</v>
      </c>
      <c r="C133" s="71">
        <v>0</v>
      </c>
      <c r="D133" s="69">
        <v>7291065</v>
      </c>
      <c r="E133" s="69">
        <v>33681411</v>
      </c>
      <c r="F133" s="69">
        <v>48454865</v>
      </c>
      <c r="G133" s="69"/>
      <c r="H133" s="81">
        <v>3212393</v>
      </c>
      <c r="I133" s="81">
        <v>14273431</v>
      </c>
      <c r="J133" s="81">
        <v>46848338</v>
      </c>
      <c r="K133" s="69"/>
      <c r="L133" s="628" t="e">
        <f t="shared" si="47"/>
        <v>#DIV/0!</v>
      </c>
      <c r="M133" s="628">
        <f t="shared" si="47"/>
        <v>1.9576606435411013</v>
      </c>
      <c r="N133" s="628">
        <f t="shared" si="47"/>
        <v>1.39092563550856</v>
      </c>
      <c r="O133" s="643"/>
      <c r="P133" s="81">
        <f t="shared" si="48"/>
        <v>7291065</v>
      </c>
      <c r="Q133" s="81">
        <f t="shared" si="48"/>
        <v>26390346</v>
      </c>
      <c r="R133" s="81">
        <f t="shared" si="48"/>
        <v>14773454</v>
      </c>
      <c r="S133" s="81">
        <f>+P133*P$8+Q133*Q$8+Q133*G$8</f>
        <v>33681411</v>
      </c>
      <c r="T133" s="85">
        <f>IF(C133=0,0,+S133/C133)</f>
        <v>0</v>
      </c>
      <c r="U133" s="188"/>
      <c r="V133" s="192">
        <f t="shared" si="37"/>
        <v>0</v>
      </c>
    </row>
    <row r="134" spans="1:22" x14ac:dyDescent="0.25">
      <c r="C134" s="71"/>
      <c r="D134" s="69"/>
      <c r="E134" s="69"/>
      <c r="F134" s="69"/>
      <c r="G134" s="69"/>
      <c r="H134" s="81"/>
      <c r="I134" s="81"/>
      <c r="J134" s="81"/>
      <c r="K134" s="69"/>
      <c r="L134" s="628"/>
      <c r="M134" s="628"/>
      <c r="N134" s="628"/>
      <c r="O134" s="643"/>
      <c r="P134" s="81"/>
      <c r="Q134" s="81"/>
      <c r="R134" s="81"/>
      <c r="S134" s="81"/>
      <c r="T134" s="85"/>
      <c r="U134" s="188"/>
      <c r="V134" s="192">
        <f t="shared" si="37"/>
        <v>0</v>
      </c>
    </row>
    <row r="135" spans="1:22" x14ac:dyDescent="0.25">
      <c r="A135" s="4" t="s">
        <v>179</v>
      </c>
      <c r="B135" s="3" t="s">
        <v>180</v>
      </c>
      <c r="C135" s="66"/>
      <c r="D135" s="66">
        <f>SUM(D136:D143)</f>
        <v>0</v>
      </c>
      <c r="E135" s="66">
        <f>SUM(E136:E143)</f>
        <v>0</v>
      </c>
      <c r="F135" s="72"/>
      <c r="G135" s="72"/>
      <c r="H135" s="83">
        <f>SUM(H136:H143)</f>
        <v>0</v>
      </c>
      <c r="I135" s="83">
        <f>SUM(I136:I143)</f>
        <v>0</v>
      </c>
      <c r="J135" s="83">
        <f>SUM(J136:J143)</f>
        <v>0</v>
      </c>
      <c r="K135" s="72"/>
      <c r="L135" s="629">
        <f t="shared" ref="L135:L141" si="49">IF(H135&gt;0,H135/C135,0)</f>
        <v>0</v>
      </c>
      <c r="M135" s="629">
        <f t="shared" ref="M135:M141" si="50">IF(I135&gt;0,I135/D135,0)</f>
        <v>0</v>
      </c>
      <c r="N135" s="629">
        <f t="shared" ref="N135:N141" si="51">IF(J135&gt;0,J135/E135,0)</f>
        <v>0</v>
      </c>
      <c r="O135" s="645"/>
      <c r="P135" s="83">
        <f>IF(D135&gt;0,+D135-C135,0)</f>
        <v>0</v>
      </c>
      <c r="Q135" s="83">
        <f>IF(E135&gt;0,+E135-D135,0)</f>
        <v>0</v>
      </c>
      <c r="R135" s="83">
        <f>IF(F135&gt;0,+F135-E135,0)</f>
        <v>0</v>
      </c>
      <c r="S135" s="83">
        <f t="shared" ref="S135:S143" si="52">+P135*P$8+Q135*Q$8+Q135*G$8</f>
        <v>0</v>
      </c>
      <c r="T135" s="85">
        <f t="shared" ref="T135:T143" si="53">IF(C135=0,0,+S135/C135)</f>
        <v>0</v>
      </c>
      <c r="U135" s="191"/>
      <c r="V135" s="192">
        <f t="shared" si="37"/>
        <v>0</v>
      </c>
    </row>
    <row r="136" spans="1:22" ht="23.4" hidden="1" x14ac:dyDescent="0.25">
      <c r="A136" s="14" t="s">
        <v>181</v>
      </c>
      <c r="B136" s="583" t="s">
        <v>182</v>
      </c>
      <c r="C136" s="71"/>
      <c r="D136" s="69"/>
      <c r="E136" s="69"/>
      <c r="F136" s="69"/>
      <c r="G136" s="69"/>
      <c r="H136" s="81"/>
      <c r="I136" s="81"/>
      <c r="J136" s="81"/>
      <c r="K136" s="69"/>
      <c r="L136" s="628">
        <f t="shared" si="49"/>
        <v>0</v>
      </c>
      <c r="M136" s="628">
        <f t="shared" si="50"/>
        <v>0</v>
      </c>
      <c r="N136" s="628">
        <f t="shared" si="51"/>
        <v>0</v>
      </c>
      <c r="O136" s="643"/>
      <c r="P136" s="81">
        <f t="shared" ref="P136:R143" si="54">+(D136-C136)*P$8</f>
        <v>0</v>
      </c>
      <c r="Q136" s="81">
        <f t="shared" si="54"/>
        <v>0</v>
      </c>
      <c r="R136" s="81">
        <f t="shared" si="54"/>
        <v>0</v>
      </c>
      <c r="S136" s="81">
        <f t="shared" si="52"/>
        <v>0</v>
      </c>
      <c r="T136" s="85">
        <f t="shared" si="53"/>
        <v>0</v>
      </c>
      <c r="U136" s="188"/>
      <c r="V136" s="192">
        <f t="shared" si="37"/>
        <v>0</v>
      </c>
    </row>
    <row r="137" spans="1:22" ht="23.4" hidden="1" x14ac:dyDescent="0.25">
      <c r="A137" s="14" t="s">
        <v>183</v>
      </c>
      <c r="B137" s="583" t="s">
        <v>184</v>
      </c>
      <c r="C137" s="71"/>
      <c r="D137" s="69"/>
      <c r="E137" s="69"/>
      <c r="F137" s="69"/>
      <c r="G137" s="69"/>
      <c r="H137" s="81"/>
      <c r="I137" s="81"/>
      <c r="J137" s="81"/>
      <c r="K137" s="69"/>
      <c r="L137" s="628">
        <f t="shared" si="49"/>
        <v>0</v>
      </c>
      <c r="M137" s="628">
        <f t="shared" si="50"/>
        <v>0</v>
      </c>
      <c r="N137" s="628">
        <f t="shared" si="51"/>
        <v>0</v>
      </c>
      <c r="O137" s="643"/>
      <c r="P137" s="81">
        <f t="shared" si="54"/>
        <v>0</v>
      </c>
      <c r="Q137" s="81">
        <f t="shared" si="54"/>
        <v>0</v>
      </c>
      <c r="R137" s="81">
        <f t="shared" si="54"/>
        <v>0</v>
      </c>
      <c r="S137" s="81">
        <f t="shared" si="52"/>
        <v>0</v>
      </c>
      <c r="T137" s="85">
        <f t="shared" si="53"/>
        <v>0</v>
      </c>
      <c r="U137" s="188"/>
      <c r="V137" s="192">
        <f t="shared" si="37"/>
        <v>0</v>
      </c>
    </row>
    <row r="138" spans="1:22" ht="23.4" hidden="1" x14ac:dyDescent="0.25">
      <c r="A138" s="14" t="s">
        <v>185</v>
      </c>
      <c r="B138" s="583" t="s">
        <v>186</v>
      </c>
      <c r="C138" s="71"/>
      <c r="D138" s="69"/>
      <c r="E138" s="69"/>
      <c r="F138" s="69"/>
      <c r="G138" s="69"/>
      <c r="H138" s="81"/>
      <c r="I138" s="81"/>
      <c r="J138" s="81"/>
      <c r="K138" s="69"/>
      <c r="L138" s="628">
        <f t="shared" si="49"/>
        <v>0</v>
      </c>
      <c r="M138" s="628">
        <f t="shared" si="50"/>
        <v>0</v>
      </c>
      <c r="N138" s="628">
        <f t="shared" si="51"/>
        <v>0</v>
      </c>
      <c r="O138" s="643"/>
      <c r="P138" s="81">
        <f t="shared" si="54"/>
        <v>0</v>
      </c>
      <c r="Q138" s="81">
        <f t="shared" si="54"/>
        <v>0</v>
      </c>
      <c r="R138" s="81">
        <f t="shared" si="54"/>
        <v>0</v>
      </c>
      <c r="S138" s="81">
        <f t="shared" si="52"/>
        <v>0</v>
      </c>
      <c r="T138" s="85">
        <f t="shared" si="53"/>
        <v>0</v>
      </c>
      <c r="U138" s="188"/>
      <c r="V138" s="192">
        <f t="shared" ref="V138:V168" si="55">+S138-E138+C138</f>
        <v>0</v>
      </c>
    </row>
    <row r="139" spans="1:22" hidden="1" x14ac:dyDescent="0.25">
      <c r="A139" s="14" t="s">
        <v>187</v>
      </c>
      <c r="B139" s="583" t="s">
        <v>188</v>
      </c>
      <c r="C139" s="71"/>
      <c r="D139" s="69"/>
      <c r="E139" s="69"/>
      <c r="F139" s="69"/>
      <c r="G139" s="69"/>
      <c r="H139" s="81"/>
      <c r="I139" s="81"/>
      <c r="J139" s="81"/>
      <c r="K139" s="69"/>
      <c r="L139" s="628">
        <f t="shared" si="49"/>
        <v>0</v>
      </c>
      <c r="M139" s="628">
        <f t="shared" si="50"/>
        <v>0</v>
      </c>
      <c r="N139" s="628">
        <f t="shared" si="51"/>
        <v>0</v>
      </c>
      <c r="O139" s="643"/>
      <c r="P139" s="81">
        <f t="shared" si="54"/>
        <v>0</v>
      </c>
      <c r="Q139" s="81">
        <f t="shared" si="54"/>
        <v>0</v>
      </c>
      <c r="R139" s="81">
        <f t="shared" si="54"/>
        <v>0</v>
      </c>
      <c r="S139" s="81">
        <f t="shared" si="52"/>
        <v>0</v>
      </c>
      <c r="T139" s="85">
        <f t="shared" si="53"/>
        <v>0</v>
      </c>
      <c r="U139" s="188"/>
      <c r="V139" s="192">
        <f t="shared" si="55"/>
        <v>0</v>
      </c>
    </row>
    <row r="140" spans="1:22" ht="23.4" hidden="1" x14ac:dyDescent="0.25">
      <c r="A140" s="14" t="s">
        <v>189</v>
      </c>
      <c r="B140" s="583" t="s">
        <v>190</v>
      </c>
      <c r="C140" s="71"/>
      <c r="D140" s="69">
        <v>0</v>
      </c>
      <c r="E140" s="69">
        <v>0</v>
      </c>
      <c r="F140" s="69"/>
      <c r="G140" s="69"/>
      <c r="H140" s="81">
        <v>0</v>
      </c>
      <c r="I140" s="81">
        <v>0</v>
      </c>
      <c r="J140" s="81"/>
      <c r="K140" s="69"/>
      <c r="L140" s="628">
        <f t="shared" si="49"/>
        <v>0</v>
      </c>
      <c r="M140" s="628">
        <f t="shared" si="50"/>
        <v>0</v>
      </c>
      <c r="N140" s="628">
        <f t="shared" si="51"/>
        <v>0</v>
      </c>
      <c r="O140" s="643"/>
      <c r="P140" s="81">
        <f t="shared" si="54"/>
        <v>0</v>
      </c>
      <c r="Q140" s="81">
        <f t="shared" si="54"/>
        <v>0</v>
      </c>
      <c r="R140" s="81">
        <f t="shared" si="54"/>
        <v>0</v>
      </c>
      <c r="S140" s="81">
        <f t="shared" si="52"/>
        <v>0</v>
      </c>
      <c r="T140" s="85">
        <f t="shared" si="53"/>
        <v>0</v>
      </c>
      <c r="U140" s="188"/>
      <c r="V140" s="192">
        <f t="shared" si="55"/>
        <v>0</v>
      </c>
    </row>
    <row r="141" spans="1:22" ht="26.4" x14ac:dyDescent="0.25">
      <c r="A141" s="14" t="s">
        <v>191</v>
      </c>
      <c r="B141" s="20" t="s">
        <v>192</v>
      </c>
      <c r="C141" s="71">
        <v>0</v>
      </c>
      <c r="D141" s="69">
        <v>0</v>
      </c>
      <c r="E141" s="69">
        <v>0</v>
      </c>
      <c r="F141" s="69">
        <v>0</v>
      </c>
      <c r="G141" s="69"/>
      <c r="H141" s="81"/>
      <c r="I141" s="81"/>
      <c r="J141" s="81"/>
      <c r="K141" s="69"/>
      <c r="L141" s="628">
        <f t="shared" si="49"/>
        <v>0</v>
      </c>
      <c r="M141" s="628">
        <f t="shared" si="50"/>
        <v>0</v>
      </c>
      <c r="N141" s="628">
        <f t="shared" si="51"/>
        <v>0</v>
      </c>
      <c r="O141" s="643"/>
      <c r="P141" s="81">
        <f t="shared" si="54"/>
        <v>0</v>
      </c>
      <c r="Q141" s="81">
        <f t="shared" si="54"/>
        <v>0</v>
      </c>
      <c r="R141" s="81">
        <f t="shared" si="54"/>
        <v>0</v>
      </c>
      <c r="S141" s="81">
        <f t="shared" si="52"/>
        <v>0</v>
      </c>
      <c r="T141" s="85">
        <f t="shared" si="53"/>
        <v>0</v>
      </c>
      <c r="U141" s="188"/>
      <c r="V141" s="192">
        <f t="shared" si="55"/>
        <v>0</v>
      </c>
    </row>
    <row r="142" spans="1:22" x14ac:dyDescent="0.25">
      <c r="A142" s="14" t="s">
        <v>193</v>
      </c>
      <c r="B142" s="20" t="s">
        <v>194</v>
      </c>
      <c r="C142" s="71">
        <v>0</v>
      </c>
      <c r="D142" s="69">
        <v>0</v>
      </c>
      <c r="E142" s="69">
        <v>0</v>
      </c>
      <c r="F142" s="69">
        <v>0</v>
      </c>
      <c r="G142" s="69"/>
      <c r="H142" s="81"/>
      <c r="I142" s="81"/>
      <c r="J142" s="81"/>
      <c r="K142" s="69"/>
      <c r="L142" s="628"/>
      <c r="M142" s="628"/>
      <c r="N142" s="628" t="e">
        <f>+J142/E142</f>
        <v>#DIV/0!</v>
      </c>
      <c r="O142" s="643"/>
      <c r="P142" s="81">
        <f t="shared" si="54"/>
        <v>0</v>
      </c>
      <c r="Q142" s="81">
        <f t="shared" si="54"/>
        <v>0</v>
      </c>
      <c r="R142" s="81">
        <f t="shared" si="54"/>
        <v>0</v>
      </c>
      <c r="S142" s="81">
        <f t="shared" si="52"/>
        <v>0</v>
      </c>
      <c r="T142" s="85">
        <f t="shared" si="53"/>
        <v>0</v>
      </c>
      <c r="U142" s="188"/>
      <c r="V142" s="192">
        <f t="shared" si="55"/>
        <v>0</v>
      </c>
    </row>
    <row r="143" spans="1:22" x14ac:dyDescent="0.25">
      <c r="A143" s="14" t="s">
        <v>195</v>
      </c>
      <c r="B143" s="20" t="s">
        <v>196</v>
      </c>
      <c r="C143" s="71">
        <v>0</v>
      </c>
      <c r="D143" s="69">
        <v>0</v>
      </c>
      <c r="E143" s="69">
        <v>0</v>
      </c>
      <c r="F143" s="69">
        <v>0</v>
      </c>
      <c r="G143" s="69"/>
      <c r="H143" s="81"/>
      <c r="I143" s="81"/>
      <c r="J143" s="81"/>
      <c r="K143" s="69"/>
      <c r="L143" s="628"/>
      <c r="M143" s="628"/>
      <c r="N143" s="628" t="e">
        <f>+J143/E143</f>
        <v>#DIV/0!</v>
      </c>
      <c r="O143" s="643"/>
      <c r="P143" s="81">
        <f t="shared" si="54"/>
        <v>0</v>
      </c>
      <c r="Q143" s="81">
        <f t="shared" si="54"/>
        <v>0</v>
      </c>
      <c r="R143" s="81">
        <f t="shared" si="54"/>
        <v>0</v>
      </c>
      <c r="S143" s="81">
        <f t="shared" si="52"/>
        <v>0</v>
      </c>
      <c r="T143" s="85">
        <f t="shared" si="53"/>
        <v>0</v>
      </c>
      <c r="U143" s="188"/>
      <c r="V143" s="192">
        <f t="shared" si="55"/>
        <v>0</v>
      </c>
    </row>
    <row r="144" spans="1:22" x14ac:dyDescent="0.25">
      <c r="C144" s="71"/>
      <c r="D144" s="69"/>
      <c r="E144" s="69"/>
      <c r="F144" s="69"/>
      <c r="G144" s="69"/>
      <c r="H144" s="81"/>
      <c r="I144" s="81"/>
      <c r="J144" s="81"/>
      <c r="K144" s="69"/>
      <c r="L144" s="628"/>
      <c r="M144" s="628"/>
      <c r="N144" s="628"/>
      <c r="O144" s="643"/>
      <c r="P144" s="81"/>
      <c r="Q144" s="81"/>
      <c r="R144" s="81"/>
      <c r="S144" s="81"/>
      <c r="T144" s="85"/>
      <c r="U144" s="188"/>
      <c r="V144" s="192">
        <f t="shared" si="55"/>
        <v>0</v>
      </c>
    </row>
    <row r="145" spans="1:22" x14ac:dyDescent="0.25">
      <c r="A145" s="4" t="s">
        <v>197</v>
      </c>
      <c r="B145" s="3" t="s">
        <v>198</v>
      </c>
      <c r="C145" s="66">
        <f>+C146+C166</f>
        <v>535243607.02999997</v>
      </c>
      <c r="D145" s="66">
        <f>+D146+D166</f>
        <v>544090785</v>
      </c>
      <c r="E145" s="66">
        <f>+E146+E166</f>
        <v>547364785</v>
      </c>
      <c r="F145" s="66">
        <f>SUM(F146:F166)</f>
        <v>531647428</v>
      </c>
      <c r="G145" s="66"/>
      <c r="H145" s="66">
        <f>+H146+H166</f>
        <v>277698930</v>
      </c>
      <c r="I145" s="66">
        <f>+I146+I166</f>
        <v>402220672</v>
      </c>
      <c r="J145" s="66">
        <f>+J146+J166</f>
        <v>531647428</v>
      </c>
      <c r="K145" s="66"/>
      <c r="L145" s="629">
        <f t="shared" ref="L145:L161" si="56">IF(H145&gt;0,H145/C145,0)</f>
        <v>0.51882717766759834</v>
      </c>
      <c r="M145" s="629">
        <f t="shared" ref="M145:M161" si="57">IF(I145&gt;0,I145/D145,0)</f>
        <v>0.73925286567755411</v>
      </c>
      <c r="N145" s="629">
        <f t="shared" ref="N145:N161" si="58">IF(J145&gt;0,J145/E145,0)</f>
        <v>0.97128540704349475</v>
      </c>
      <c r="O145" s="644"/>
      <c r="P145" s="83">
        <f>IF(D145&gt;0,+D145-C145,0)</f>
        <v>8847177.9700000286</v>
      </c>
      <c r="Q145" s="83">
        <f>IF(E145&gt;0,+E145-D145,0)</f>
        <v>3274000</v>
      </c>
      <c r="R145" s="83">
        <f>IF(F145&gt;0,+F145-E145,0)</f>
        <v>-15717357</v>
      </c>
      <c r="S145" s="83">
        <f t="shared" ref="S145:S159" si="59">+P145*P$8+Q145*Q$8+Q145*G$8</f>
        <v>12121177.970000029</v>
      </c>
      <c r="T145" s="85">
        <f t="shared" ref="T145:T159" si="60">IF(C145=0,0,+S145/C145)</f>
        <v>2.2646095741822931E-2</v>
      </c>
      <c r="U145" s="190"/>
      <c r="V145" s="192">
        <f t="shared" si="55"/>
        <v>0</v>
      </c>
    </row>
    <row r="146" spans="1:22" x14ac:dyDescent="0.25">
      <c r="A146" s="706" t="s">
        <v>199</v>
      </c>
      <c r="B146" s="707" t="s">
        <v>200</v>
      </c>
      <c r="C146" s="71">
        <f>+C147+C153+C158+C159+C161+C163+C164+C165</f>
        <v>535243607.02999997</v>
      </c>
      <c r="D146" s="71">
        <f>+D147+D153+D158+D159+D161+D163+D164+D165</f>
        <v>544090785</v>
      </c>
      <c r="E146" s="71">
        <f>+E147+E153+E158+E159+E161+E163+E164+E165</f>
        <v>547364785</v>
      </c>
      <c r="F146" s="69"/>
      <c r="G146" s="69"/>
      <c r="H146" s="71">
        <f>+H147+H153+H158+H159+H161+H163+H164+H165</f>
        <v>277698930</v>
      </c>
      <c r="I146" s="71">
        <f>+I147+I153+I158+I159+I161+I163+I164+I165</f>
        <v>402220672</v>
      </c>
      <c r="J146" s="71">
        <f>+J147+J153+J158+J159+J161+J163+J164+J165</f>
        <v>531647428</v>
      </c>
      <c r="K146" s="69"/>
      <c r="L146" s="659">
        <f t="shared" si="56"/>
        <v>0.51882717766759834</v>
      </c>
      <c r="M146" s="659">
        <f t="shared" si="57"/>
        <v>0.73925286567755411</v>
      </c>
      <c r="N146" s="659">
        <f t="shared" si="58"/>
        <v>0.97128540704349475</v>
      </c>
      <c r="O146" s="643"/>
      <c r="P146" s="81">
        <f t="shared" ref="P146:P159" si="61">+(D146-C146)*P$8</f>
        <v>8847177.9700000286</v>
      </c>
      <c r="Q146" s="81">
        <f t="shared" ref="Q146:Q159" si="62">+(E146-D146)*Q$8</f>
        <v>3274000</v>
      </c>
      <c r="R146" s="81">
        <f t="shared" ref="R146:R159" si="63">+(F146-E146)*R$8</f>
        <v>-547364785</v>
      </c>
      <c r="S146" s="81">
        <f t="shared" si="59"/>
        <v>12121177.970000029</v>
      </c>
      <c r="T146" s="85">
        <f t="shared" si="60"/>
        <v>2.2646095741822931E-2</v>
      </c>
      <c r="U146" s="188"/>
      <c r="V146" s="192">
        <f t="shared" si="55"/>
        <v>0</v>
      </c>
    </row>
    <row r="147" spans="1:22" x14ac:dyDescent="0.25">
      <c r="A147" s="14" t="s">
        <v>201</v>
      </c>
      <c r="B147" s="20" t="s">
        <v>202</v>
      </c>
      <c r="C147" s="71">
        <f>+C148+C149+C151</f>
        <v>0</v>
      </c>
      <c r="D147" s="69">
        <f>+D148+D149+D151</f>
        <v>0</v>
      </c>
      <c r="E147" s="69">
        <f>+E148+E149+E151</f>
        <v>0</v>
      </c>
      <c r="F147" s="69"/>
      <c r="G147" s="69"/>
      <c r="H147" s="71">
        <f>+H148+H149+H151</f>
        <v>0</v>
      </c>
      <c r="I147" s="71">
        <f>+I148+I149+I151</f>
        <v>0</v>
      </c>
      <c r="J147" s="71">
        <f>+J148+J149+J151</f>
        <v>0</v>
      </c>
      <c r="K147" s="69"/>
      <c r="L147" s="659">
        <f t="shared" si="56"/>
        <v>0</v>
      </c>
      <c r="M147" s="659">
        <f t="shared" si="57"/>
        <v>0</v>
      </c>
      <c r="N147" s="659">
        <f t="shared" si="58"/>
        <v>0</v>
      </c>
      <c r="O147" s="643"/>
      <c r="P147" s="81">
        <f t="shared" si="61"/>
        <v>0</v>
      </c>
      <c r="Q147" s="81">
        <f t="shared" si="62"/>
        <v>0</v>
      </c>
      <c r="R147" s="81">
        <f t="shared" si="63"/>
        <v>0</v>
      </c>
      <c r="S147" s="81">
        <f t="shared" si="59"/>
        <v>0</v>
      </c>
      <c r="T147" s="85">
        <f t="shared" si="60"/>
        <v>0</v>
      </c>
      <c r="U147" s="188"/>
      <c r="V147" s="192">
        <f t="shared" si="55"/>
        <v>0</v>
      </c>
    </row>
    <row r="148" spans="1:22" x14ac:dyDescent="0.25">
      <c r="A148" s="14" t="s">
        <v>203</v>
      </c>
      <c r="B148" s="20" t="s">
        <v>204</v>
      </c>
      <c r="C148" s="71"/>
      <c r="D148" s="69"/>
      <c r="E148" s="69">
        <v>0</v>
      </c>
      <c r="F148" s="69"/>
      <c r="G148" s="69"/>
      <c r="H148" s="81"/>
      <c r="I148" s="81"/>
      <c r="J148" s="81"/>
      <c r="K148" s="69"/>
      <c r="L148" s="659">
        <f t="shared" si="56"/>
        <v>0</v>
      </c>
      <c r="M148" s="659">
        <f t="shared" si="57"/>
        <v>0</v>
      </c>
      <c r="N148" s="659">
        <f t="shared" si="58"/>
        <v>0</v>
      </c>
      <c r="O148" s="643"/>
      <c r="P148" s="81">
        <f t="shared" si="61"/>
        <v>0</v>
      </c>
      <c r="Q148" s="81">
        <f t="shared" si="62"/>
        <v>0</v>
      </c>
      <c r="R148" s="81">
        <f t="shared" si="63"/>
        <v>0</v>
      </c>
      <c r="S148" s="81">
        <f t="shared" si="59"/>
        <v>0</v>
      </c>
      <c r="T148" s="85">
        <f t="shared" si="60"/>
        <v>0</v>
      </c>
      <c r="U148" s="188"/>
      <c r="V148" s="192">
        <f t="shared" si="55"/>
        <v>0</v>
      </c>
    </row>
    <row r="149" spans="1:22" ht="26.4" x14ac:dyDescent="0.25">
      <c r="A149" s="14" t="s">
        <v>205</v>
      </c>
      <c r="B149" s="20" t="s">
        <v>206</v>
      </c>
      <c r="C149" s="71"/>
      <c r="D149" s="69"/>
      <c r="E149" s="69">
        <v>0</v>
      </c>
      <c r="F149" s="69"/>
      <c r="G149" s="69"/>
      <c r="H149" s="81"/>
      <c r="I149" s="81"/>
      <c r="J149" s="81"/>
      <c r="K149" s="69"/>
      <c r="L149" s="659">
        <f t="shared" si="56"/>
        <v>0</v>
      </c>
      <c r="M149" s="659">
        <f t="shared" si="57"/>
        <v>0</v>
      </c>
      <c r="N149" s="659">
        <f t="shared" si="58"/>
        <v>0</v>
      </c>
      <c r="O149" s="643"/>
      <c r="P149" s="81">
        <f t="shared" si="61"/>
        <v>0</v>
      </c>
      <c r="Q149" s="81">
        <f t="shared" si="62"/>
        <v>0</v>
      </c>
      <c r="R149" s="81">
        <f t="shared" si="63"/>
        <v>0</v>
      </c>
      <c r="S149" s="81">
        <f t="shared" si="59"/>
        <v>0</v>
      </c>
      <c r="T149" s="85">
        <f t="shared" si="60"/>
        <v>0</v>
      </c>
      <c r="U149" s="188"/>
      <c r="V149" s="192">
        <f t="shared" si="55"/>
        <v>0</v>
      </c>
    </row>
    <row r="150" spans="1:22" ht="26.4" x14ac:dyDescent="0.25">
      <c r="B150" s="20" t="s">
        <v>207</v>
      </c>
      <c r="C150" s="71"/>
      <c r="D150" s="69"/>
      <c r="E150" s="69">
        <v>0</v>
      </c>
      <c r="F150" s="69"/>
      <c r="G150" s="69"/>
      <c r="H150" s="81"/>
      <c r="I150" s="81"/>
      <c r="J150" s="81"/>
      <c r="K150" s="69"/>
      <c r="L150" s="659">
        <f t="shared" si="56"/>
        <v>0</v>
      </c>
      <c r="M150" s="659">
        <f t="shared" si="57"/>
        <v>0</v>
      </c>
      <c r="N150" s="659">
        <f t="shared" si="58"/>
        <v>0</v>
      </c>
      <c r="O150" s="643"/>
      <c r="P150" s="81">
        <f t="shared" si="61"/>
        <v>0</v>
      </c>
      <c r="Q150" s="81">
        <f t="shared" si="62"/>
        <v>0</v>
      </c>
      <c r="R150" s="81">
        <f t="shared" si="63"/>
        <v>0</v>
      </c>
      <c r="S150" s="81">
        <f t="shared" si="59"/>
        <v>0</v>
      </c>
      <c r="T150" s="85">
        <f t="shared" si="60"/>
        <v>0</v>
      </c>
      <c r="U150" s="188"/>
      <c r="V150" s="192">
        <f t="shared" si="55"/>
        <v>0</v>
      </c>
    </row>
    <row r="151" spans="1:22" x14ac:dyDescent="0.25">
      <c r="A151" s="14" t="s">
        <v>208</v>
      </c>
      <c r="B151" s="20" t="s">
        <v>209</v>
      </c>
      <c r="C151" s="71"/>
      <c r="D151" s="69"/>
      <c r="E151" s="69">
        <v>0</v>
      </c>
      <c r="F151" s="69"/>
      <c r="G151" s="69"/>
      <c r="H151" s="81"/>
      <c r="I151" s="81"/>
      <c r="J151" s="81"/>
      <c r="K151" s="69"/>
      <c r="L151" s="659">
        <f t="shared" si="56"/>
        <v>0</v>
      </c>
      <c r="M151" s="659">
        <f t="shared" si="57"/>
        <v>0</v>
      </c>
      <c r="N151" s="659">
        <f t="shared" si="58"/>
        <v>0</v>
      </c>
      <c r="O151" s="643"/>
      <c r="P151" s="81">
        <f t="shared" si="61"/>
        <v>0</v>
      </c>
      <c r="Q151" s="81">
        <f t="shared" si="62"/>
        <v>0</v>
      </c>
      <c r="R151" s="81">
        <f t="shared" si="63"/>
        <v>0</v>
      </c>
      <c r="S151" s="81">
        <f t="shared" si="59"/>
        <v>0</v>
      </c>
      <c r="T151" s="85">
        <f t="shared" si="60"/>
        <v>0</v>
      </c>
      <c r="U151" s="188"/>
      <c r="V151" s="192">
        <f t="shared" si="55"/>
        <v>0</v>
      </c>
    </row>
    <row r="152" spans="1:22" ht="26.4" x14ac:dyDescent="0.25">
      <c r="B152" s="20" t="s">
        <v>210</v>
      </c>
      <c r="C152" s="71"/>
      <c r="D152" s="69"/>
      <c r="E152" s="69">
        <v>0</v>
      </c>
      <c r="F152" s="69"/>
      <c r="G152" s="69"/>
      <c r="H152" s="81"/>
      <c r="I152" s="81"/>
      <c r="J152" s="81"/>
      <c r="K152" s="69"/>
      <c r="L152" s="659">
        <f t="shared" si="56"/>
        <v>0</v>
      </c>
      <c r="M152" s="659">
        <f t="shared" si="57"/>
        <v>0</v>
      </c>
      <c r="N152" s="659">
        <f t="shared" si="58"/>
        <v>0</v>
      </c>
      <c r="O152" s="643"/>
      <c r="P152" s="81">
        <f t="shared" si="61"/>
        <v>0</v>
      </c>
      <c r="Q152" s="81">
        <f t="shared" si="62"/>
        <v>0</v>
      </c>
      <c r="R152" s="81">
        <f t="shared" si="63"/>
        <v>0</v>
      </c>
      <c r="S152" s="81">
        <f t="shared" si="59"/>
        <v>0</v>
      </c>
      <c r="T152" s="85">
        <f t="shared" si="60"/>
        <v>0</v>
      </c>
      <c r="U152" s="188"/>
      <c r="V152" s="192">
        <f t="shared" si="55"/>
        <v>0</v>
      </c>
    </row>
    <row r="153" spans="1:22" x14ac:dyDescent="0.25">
      <c r="A153" s="14" t="s">
        <v>211</v>
      </c>
      <c r="B153" s="20" t="s">
        <v>212</v>
      </c>
      <c r="C153" s="71">
        <f>+C154+C155+C156+C157</f>
        <v>0</v>
      </c>
      <c r="D153" s="71">
        <f>+D154+D155+D156+D157</f>
        <v>0</v>
      </c>
      <c r="E153" s="71">
        <f>+E154+E155+E156+E157</f>
        <v>0</v>
      </c>
      <c r="F153" s="69"/>
      <c r="G153" s="69"/>
      <c r="H153" s="71">
        <f>+H154+H155+H156+H157</f>
        <v>0</v>
      </c>
      <c r="I153" s="71">
        <f>+I154+I155+I156+I157</f>
        <v>0</v>
      </c>
      <c r="J153" s="71">
        <f>+J154+J155+J156+J157</f>
        <v>0</v>
      </c>
      <c r="K153" s="69"/>
      <c r="L153" s="659">
        <f t="shared" si="56"/>
        <v>0</v>
      </c>
      <c r="M153" s="659">
        <f t="shared" si="57"/>
        <v>0</v>
      </c>
      <c r="N153" s="659">
        <f t="shared" si="58"/>
        <v>0</v>
      </c>
      <c r="O153" s="643"/>
      <c r="P153" s="81">
        <f t="shared" si="61"/>
        <v>0</v>
      </c>
      <c r="Q153" s="81">
        <f t="shared" si="62"/>
        <v>0</v>
      </c>
      <c r="R153" s="81">
        <f t="shared" si="63"/>
        <v>0</v>
      </c>
      <c r="S153" s="81">
        <f t="shared" si="59"/>
        <v>0</v>
      </c>
      <c r="T153" s="85">
        <f t="shared" si="60"/>
        <v>0</v>
      </c>
      <c r="U153" s="188"/>
      <c r="V153" s="192">
        <f t="shared" si="55"/>
        <v>0</v>
      </c>
    </row>
    <row r="154" spans="1:22" x14ac:dyDescent="0.25">
      <c r="A154" s="14" t="s">
        <v>213</v>
      </c>
      <c r="B154" s="20" t="s">
        <v>214</v>
      </c>
      <c r="C154" s="71"/>
      <c r="D154" s="69"/>
      <c r="E154" s="69"/>
      <c r="F154" s="69"/>
      <c r="G154" s="69"/>
      <c r="H154" s="81"/>
      <c r="I154" s="81"/>
      <c r="J154" s="81"/>
      <c r="K154" s="69"/>
      <c r="L154" s="659">
        <f t="shared" si="56"/>
        <v>0</v>
      </c>
      <c r="M154" s="659">
        <f t="shared" si="57"/>
        <v>0</v>
      </c>
      <c r="N154" s="659">
        <f t="shared" si="58"/>
        <v>0</v>
      </c>
      <c r="O154" s="643"/>
      <c r="P154" s="81">
        <f t="shared" si="61"/>
        <v>0</v>
      </c>
      <c r="Q154" s="81">
        <f t="shared" si="62"/>
        <v>0</v>
      </c>
      <c r="R154" s="81">
        <f t="shared" si="63"/>
        <v>0</v>
      </c>
      <c r="S154" s="81">
        <f t="shared" si="59"/>
        <v>0</v>
      </c>
      <c r="T154" s="85">
        <f t="shared" si="60"/>
        <v>0</v>
      </c>
      <c r="U154" s="188"/>
      <c r="V154" s="192">
        <f t="shared" si="55"/>
        <v>0</v>
      </c>
    </row>
    <row r="155" spans="1:22" x14ac:dyDescent="0.25">
      <c r="A155" s="14" t="s">
        <v>215</v>
      </c>
      <c r="B155" s="20" t="s">
        <v>217</v>
      </c>
      <c r="C155" s="71"/>
      <c r="D155" s="69"/>
      <c r="E155" s="69"/>
      <c r="F155" s="69"/>
      <c r="G155" s="69"/>
      <c r="H155" s="81"/>
      <c r="I155" s="81"/>
      <c r="J155" s="81"/>
      <c r="K155" s="69"/>
      <c r="L155" s="659">
        <f t="shared" si="56"/>
        <v>0</v>
      </c>
      <c r="M155" s="659">
        <f t="shared" si="57"/>
        <v>0</v>
      </c>
      <c r="N155" s="659">
        <f t="shared" si="58"/>
        <v>0</v>
      </c>
      <c r="O155" s="643"/>
      <c r="P155" s="81">
        <f t="shared" si="61"/>
        <v>0</v>
      </c>
      <c r="Q155" s="81">
        <f t="shared" si="62"/>
        <v>0</v>
      </c>
      <c r="R155" s="81">
        <f t="shared" si="63"/>
        <v>0</v>
      </c>
      <c r="S155" s="81">
        <f t="shared" si="59"/>
        <v>0</v>
      </c>
      <c r="T155" s="85">
        <f t="shared" si="60"/>
        <v>0</v>
      </c>
      <c r="U155" s="188"/>
      <c r="V155" s="192">
        <f t="shared" si="55"/>
        <v>0</v>
      </c>
    </row>
    <row r="156" spans="1:22" x14ac:dyDescent="0.25">
      <c r="A156" s="14" t="s">
        <v>216</v>
      </c>
      <c r="B156" s="20" t="s">
        <v>218</v>
      </c>
      <c r="C156" s="71"/>
      <c r="D156" s="69"/>
      <c r="E156" s="69"/>
      <c r="F156" s="69"/>
      <c r="G156" s="69"/>
      <c r="H156" s="81"/>
      <c r="I156" s="81"/>
      <c r="J156" s="81"/>
      <c r="K156" s="69"/>
      <c r="L156" s="659">
        <f t="shared" si="56"/>
        <v>0</v>
      </c>
      <c r="M156" s="659">
        <f t="shared" si="57"/>
        <v>0</v>
      </c>
      <c r="N156" s="659">
        <f t="shared" si="58"/>
        <v>0</v>
      </c>
      <c r="O156" s="643"/>
      <c r="P156" s="81">
        <f t="shared" si="61"/>
        <v>0</v>
      </c>
      <c r="Q156" s="81">
        <f t="shared" si="62"/>
        <v>0</v>
      </c>
      <c r="R156" s="81">
        <f t="shared" si="63"/>
        <v>0</v>
      </c>
      <c r="S156" s="81">
        <f t="shared" si="59"/>
        <v>0</v>
      </c>
      <c r="T156" s="85">
        <f t="shared" si="60"/>
        <v>0</v>
      </c>
      <c r="U156" s="188"/>
      <c r="V156" s="192">
        <f t="shared" si="55"/>
        <v>0</v>
      </c>
    </row>
    <row r="157" spans="1:22" x14ac:dyDescent="0.25">
      <c r="A157" s="14" t="s">
        <v>219</v>
      </c>
      <c r="B157" s="20" t="s">
        <v>220</v>
      </c>
      <c r="C157" s="71"/>
      <c r="D157" s="69"/>
      <c r="E157" s="69"/>
      <c r="F157" s="69"/>
      <c r="G157" s="69"/>
      <c r="H157" s="81"/>
      <c r="I157" s="81"/>
      <c r="J157" s="81"/>
      <c r="K157" s="69"/>
      <c r="L157" s="659">
        <f t="shared" si="56"/>
        <v>0</v>
      </c>
      <c r="M157" s="659">
        <f t="shared" si="57"/>
        <v>0</v>
      </c>
      <c r="N157" s="659">
        <f t="shared" si="58"/>
        <v>0</v>
      </c>
      <c r="O157" s="643"/>
      <c r="P157" s="81">
        <f t="shared" si="61"/>
        <v>0</v>
      </c>
      <c r="Q157" s="81">
        <f t="shared" si="62"/>
        <v>0</v>
      </c>
      <c r="R157" s="81">
        <f t="shared" si="63"/>
        <v>0</v>
      </c>
      <c r="S157" s="81">
        <f t="shared" si="59"/>
        <v>0</v>
      </c>
      <c r="T157" s="85">
        <f t="shared" si="60"/>
        <v>0</v>
      </c>
      <c r="U157" s="188"/>
      <c r="V157" s="192">
        <f t="shared" si="55"/>
        <v>0</v>
      </c>
    </row>
    <row r="158" spans="1:22" x14ac:dyDescent="0.25">
      <c r="A158" s="14" t="s">
        <v>221</v>
      </c>
      <c r="B158" s="20" t="s">
        <v>222</v>
      </c>
      <c r="C158" s="141"/>
      <c r="D158" s="69"/>
      <c r="E158" s="69"/>
      <c r="F158" s="69"/>
      <c r="G158" s="69"/>
      <c r="H158" s="81"/>
      <c r="I158" s="81"/>
      <c r="J158" s="81"/>
      <c r="K158" s="69"/>
      <c r="L158" s="659">
        <f t="shared" si="56"/>
        <v>0</v>
      </c>
      <c r="M158" s="659">
        <f t="shared" si="57"/>
        <v>0</v>
      </c>
      <c r="N158" s="659">
        <f t="shared" si="58"/>
        <v>0</v>
      </c>
      <c r="O158" s="643"/>
      <c r="P158" s="81">
        <f t="shared" si="61"/>
        <v>0</v>
      </c>
      <c r="Q158" s="81">
        <f t="shared" si="62"/>
        <v>0</v>
      </c>
      <c r="R158" s="81">
        <f t="shared" si="63"/>
        <v>0</v>
      </c>
      <c r="S158" s="81">
        <f t="shared" si="59"/>
        <v>0</v>
      </c>
      <c r="T158" s="85">
        <f t="shared" si="60"/>
        <v>0</v>
      </c>
      <c r="U158" s="188"/>
      <c r="V158" s="192">
        <f t="shared" si="55"/>
        <v>0</v>
      </c>
    </row>
    <row r="159" spans="1:22" x14ac:dyDescent="0.25">
      <c r="A159" s="14" t="s">
        <v>223</v>
      </c>
      <c r="B159" s="20" t="s">
        <v>224</v>
      </c>
      <c r="C159" s="141">
        <v>17918748</v>
      </c>
      <c r="D159" s="141">
        <v>17918748</v>
      </c>
      <c r="E159" s="141">
        <v>17918748</v>
      </c>
      <c r="F159" s="69">
        <v>17918748</v>
      </c>
      <c r="G159" s="69"/>
      <c r="H159" s="141">
        <v>17918748</v>
      </c>
      <c r="I159" s="141">
        <v>17918748</v>
      </c>
      <c r="J159" s="81">
        <v>17918748</v>
      </c>
      <c r="K159" s="69"/>
      <c r="L159" s="659">
        <f t="shared" si="56"/>
        <v>1</v>
      </c>
      <c r="M159" s="659">
        <f t="shared" si="57"/>
        <v>1</v>
      </c>
      <c r="N159" s="659">
        <f t="shared" si="58"/>
        <v>1</v>
      </c>
      <c r="O159" s="643"/>
      <c r="P159" s="81">
        <f t="shared" si="61"/>
        <v>0</v>
      </c>
      <c r="Q159" s="81">
        <f t="shared" si="62"/>
        <v>0</v>
      </c>
      <c r="R159" s="81">
        <f t="shared" si="63"/>
        <v>0</v>
      </c>
      <c r="S159" s="81">
        <f t="shared" si="59"/>
        <v>0</v>
      </c>
      <c r="T159" s="85">
        <f t="shared" si="60"/>
        <v>0</v>
      </c>
      <c r="U159" s="188"/>
      <c r="V159" s="192">
        <f t="shared" si="55"/>
        <v>0</v>
      </c>
    </row>
    <row r="160" spans="1:22" x14ac:dyDescent="0.25">
      <c r="B160" s="20" t="s">
        <v>225</v>
      </c>
      <c r="C160" s="71"/>
      <c r="D160" s="69"/>
      <c r="E160" s="69"/>
      <c r="F160" s="69"/>
      <c r="G160" s="69"/>
      <c r="H160" s="81"/>
      <c r="I160" s="81"/>
      <c r="J160" s="81"/>
      <c r="K160" s="69"/>
      <c r="L160" s="659">
        <f t="shared" si="56"/>
        <v>0</v>
      </c>
      <c r="M160" s="659">
        <f t="shared" si="57"/>
        <v>0</v>
      </c>
      <c r="N160" s="659">
        <f t="shared" si="58"/>
        <v>0</v>
      </c>
      <c r="O160" s="643"/>
      <c r="P160" s="81">
        <f t="shared" ref="P160:P166" si="64">+(D160-C160)*P$8</f>
        <v>0</v>
      </c>
      <c r="Q160" s="81">
        <f t="shared" ref="Q160:Q166" si="65">+(E160-D160)*Q$8</f>
        <v>0</v>
      </c>
      <c r="R160" s="81">
        <f t="shared" ref="R160:R166" si="66">+(F160-E160)*R$8</f>
        <v>0</v>
      </c>
      <c r="S160" s="81">
        <f t="shared" ref="S160:S166" si="67">+P160*P$8+Q160*Q$8+Q160*G$8</f>
        <v>0</v>
      </c>
      <c r="T160" s="85">
        <f t="shared" ref="T160:T166" si="68">IF(C160=0,0,+S160/C160)</f>
        <v>0</v>
      </c>
      <c r="U160" s="188"/>
      <c r="V160" s="192">
        <f t="shared" si="55"/>
        <v>0</v>
      </c>
    </row>
    <row r="161" spans="1:22" x14ac:dyDescent="0.25">
      <c r="A161" s="526" t="s">
        <v>226</v>
      </c>
      <c r="B161" s="479" t="s">
        <v>227</v>
      </c>
      <c r="C161" s="141">
        <f>+'4. Dr Gáspár HSZK'!C100+'5. Csicsergő'!C100+'6. Gólyahír'!C100+'7. Polg.Hiv.'!C100+'8. WAMKK'!C100+'9. Közp. Konyha'!C100</f>
        <v>517324859.02999997</v>
      </c>
      <c r="D161" s="142">
        <v>526172037</v>
      </c>
      <c r="E161" s="142">
        <v>529446037</v>
      </c>
      <c r="F161" s="69">
        <v>513728680</v>
      </c>
      <c r="G161" s="69"/>
      <c r="H161" s="81">
        <v>259780182</v>
      </c>
      <c r="I161" s="81">
        <v>384301924</v>
      </c>
      <c r="J161" s="81">
        <v>513728680</v>
      </c>
      <c r="K161" s="69"/>
      <c r="L161" s="659">
        <f t="shared" si="56"/>
        <v>0.50216063942315825</v>
      </c>
      <c r="M161" s="659">
        <f t="shared" si="57"/>
        <v>0.73037314219721639</v>
      </c>
      <c r="N161" s="659">
        <f t="shared" si="58"/>
        <v>0.97031358079652597</v>
      </c>
      <c r="O161" s="643"/>
      <c r="P161" s="81">
        <f t="shared" si="64"/>
        <v>8847177.9700000286</v>
      </c>
      <c r="Q161" s="81">
        <f t="shared" si="65"/>
        <v>3274000</v>
      </c>
      <c r="R161" s="81">
        <f t="shared" si="66"/>
        <v>-15717357</v>
      </c>
      <c r="S161" s="81">
        <f t="shared" si="67"/>
        <v>12121177.970000029</v>
      </c>
      <c r="T161" s="85">
        <f t="shared" si="68"/>
        <v>2.34304958642962E-2</v>
      </c>
      <c r="U161" s="188"/>
      <c r="V161" s="192">
        <f t="shared" si="55"/>
        <v>0</v>
      </c>
    </row>
    <row r="162" spans="1:22" x14ac:dyDescent="0.25">
      <c r="B162" s="20" t="s">
        <v>228</v>
      </c>
      <c r="C162" s="71"/>
      <c r="D162" s="69"/>
      <c r="E162" s="69"/>
      <c r="F162" s="69"/>
      <c r="G162" s="69"/>
      <c r="H162" s="81"/>
      <c r="I162" s="81"/>
      <c r="J162" s="81"/>
      <c r="K162" s="69"/>
      <c r="L162" s="659">
        <f t="shared" ref="L162:M166" si="69">IF(H162&gt;0,H162/C162,0)</f>
        <v>0</v>
      </c>
      <c r="M162" s="659">
        <f t="shared" si="69"/>
        <v>0</v>
      </c>
      <c r="N162" s="659" t="e">
        <f>+J162/E162</f>
        <v>#DIV/0!</v>
      </c>
      <c r="O162" s="643"/>
      <c r="P162" s="81">
        <f t="shared" si="64"/>
        <v>0</v>
      </c>
      <c r="Q162" s="81">
        <f t="shared" si="65"/>
        <v>0</v>
      </c>
      <c r="R162" s="81">
        <f t="shared" si="66"/>
        <v>0</v>
      </c>
      <c r="S162" s="81">
        <f t="shared" si="67"/>
        <v>0</v>
      </c>
      <c r="T162" s="85">
        <f t="shared" si="68"/>
        <v>0</v>
      </c>
      <c r="U162" s="188"/>
      <c r="V162" s="192">
        <f t="shared" si="55"/>
        <v>0</v>
      </c>
    </row>
    <row r="163" spans="1:22" x14ac:dyDescent="0.25">
      <c r="A163" s="14" t="s">
        <v>229</v>
      </c>
      <c r="B163" s="20" t="s">
        <v>230</v>
      </c>
      <c r="C163" s="71"/>
      <c r="D163" s="69"/>
      <c r="E163" s="69"/>
      <c r="F163" s="69"/>
      <c r="G163" s="69"/>
      <c r="H163" s="81"/>
      <c r="I163" s="81"/>
      <c r="J163" s="81"/>
      <c r="K163" s="69"/>
      <c r="L163" s="659">
        <f t="shared" si="69"/>
        <v>0</v>
      </c>
      <c r="M163" s="659">
        <f t="shared" si="69"/>
        <v>0</v>
      </c>
      <c r="N163" s="659" t="e">
        <f>+J163/E163</f>
        <v>#DIV/0!</v>
      </c>
      <c r="O163" s="643"/>
      <c r="P163" s="81">
        <f t="shared" si="64"/>
        <v>0</v>
      </c>
      <c r="Q163" s="81">
        <f t="shared" si="65"/>
        <v>0</v>
      </c>
      <c r="R163" s="81">
        <f t="shared" si="66"/>
        <v>0</v>
      </c>
      <c r="S163" s="81">
        <f t="shared" si="67"/>
        <v>0</v>
      </c>
      <c r="T163" s="85">
        <f t="shared" si="68"/>
        <v>0</v>
      </c>
      <c r="U163" s="188"/>
      <c r="V163" s="192">
        <f t="shared" si="55"/>
        <v>0</v>
      </c>
    </row>
    <row r="164" spans="1:22" x14ac:dyDescent="0.25">
      <c r="A164" s="14" t="s">
        <v>231</v>
      </c>
      <c r="B164" s="20" t="s">
        <v>232</v>
      </c>
      <c r="C164" s="71"/>
      <c r="D164" s="69"/>
      <c r="E164" s="69"/>
      <c r="F164" s="69"/>
      <c r="G164" s="69"/>
      <c r="H164" s="81"/>
      <c r="I164" s="81"/>
      <c r="J164" s="81"/>
      <c r="K164" s="69"/>
      <c r="L164" s="659">
        <f t="shared" si="69"/>
        <v>0</v>
      </c>
      <c r="M164" s="659">
        <f t="shared" si="69"/>
        <v>0</v>
      </c>
      <c r="N164" s="659" t="e">
        <f>+J164/E164</f>
        <v>#DIV/0!</v>
      </c>
      <c r="O164" s="643"/>
      <c r="P164" s="81">
        <f t="shared" si="64"/>
        <v>0</v>
      </c>
      <c r="Q164" s="81">
        <f t="shared" si="65"/>
        <v>0</v>
      </c>
      <c r="R164" s="81">
        <f t="shared" si="66"/>
        <v>0</v>
      </c>
      <c r="S164" s="81">
        <f t="shared" si="67"/>
        <v>0</v>
      </c>
      <c r="T164" s="85">
        <f t="shared" si="68"/>
        <v>0</v>
      </c>
      <c r="U164" s="188"/>
      <c r="V164" s="192">
        <f t="shared" si="55"/>
        <v>0</v>
      </c>
    </row>
    <row r="165" spans="1:22" x14ac:dyDescent="0.25">
      <c r="A165" s="14" t="s">
        <v>233</v>
      </c>
      <c r="B165" s="20" t="s">
        <v>234</v>
      </c>
      <c r="C165" s="71"/>
      <c r="D165" s="69"/>
      <c r="E165" s="69"/>
      <c r="F165" s="69"/>
      <c r="G165" s="69"/>
      <c r="H165" s="81"/>
      <c r="I165" s="81"/>
      <c r="J165" s="81"/>
      <c r="K165" s="69"/>
      <c r="L165" s="659">
        <f t="shared" si="69"/>
        <v>0</v>
      </c>
      <c r="M165" s="659">
        <f t="shared" si="69"/>
        <v>0</v>
      </c>
      <c r="N165" s="659" t="e">
        <f>+J165/E165</f>
        <v>#DIV/0!</v>
      </c>
      <c r="O165" s="643"/>
      <c r="P165" s="81">
        <f t="shared" si="64"/>
        <v>0</v>
      </c>
      <c r="Q165" s="81">
        <f t="shared" si="65"/>
        <v>0</v>
      </c>
      <c r="R165" s="81">
        <f t="shared" si="66"/>
        <v>0</v>
      </c>
      <c r="S165" s="81">
        <f t="shared" si="67"/>
        <v>0</v>
      </c>
      <c r="T165" s="85">
        <f t="shared" si="68"/>
        <v>0</v>
      </c>
      <c r="U165" s="188"/>
      <c r="V165" s="192">
        <f t="shared" si="55"/>
        <v>0</v>
      </c>
    </row>
    <row r="166" spans="1:22" x14ac:dyDescent="0.25">
      <c r="A166" s="14" t="s">
        <v>235</v>
      </c>
      <c r="B166" s="20" t="s">
        <v>236</v>
      </c>
      <c r="C166" s="71"/>
      <c r="D166" s="69"/>
      <c r="E166" s="69"/>
      <c r="F166" s="69"/>
      <c r="G166" s="69"/>
      <c r="H166" s="81"/>
      <c r="I166" s="81"/>
      <c r="J166" s="81"/>
      <c r="K166" s="69"/>
      <c r="L166" s="659">
        <f t="shared" si="69"/>
        <v>0</v>
      </c>
      <c r="M166" s="659">
        <f t="shared" si="69"/>
        <v>0</v>
      </c>
      <c r="N166" s="659" t="e">
        <f>+J166/E166</f>
        <v>#DIV/0!</v>
      </c>
      <c r="O166" s="643"/>
      <c r="P166" s="81">
        <f t="shared" si="64"/>
        <v>0</v>
      </c>
      <c r="Q166" s="81">
        <f t="shared" si="65"/>
        <v>0</v>
      </c>
      <c r="R166" s="81">
        <f t="shared" si="66"/>
        <v>0</v>
      </c>
      <c r="S166" s="81">
        <f t="shared" si="67"/>
        <v>0</v>
      </c>
      <c r="T166" s="85">
        <f t="shared" si="68"/>
        <v>0</v>
      </c>
      <c r="U166" s="188"/>
      <c r="V166" s="192">
        <f t="shared" si="55"/>
        <v>0</v>
      </c>
    </row>
    <row r="167" spans="1:22" x14ac:dyDescent="0.25">
      <c r="C167" s="71"/>
      <c r="D167" s="69"/>
      <c r="E167" s="69"/>
      <c r="F167" s="69"/>
      <c r="G167" s="69"/>
      <c r="H167" s="81"/>
      <c r="I167" s="81"/>
      <c r="J167" s="81"/>
      <c r="K167" s="69"/>
      <c r="L167" s="659"/>
      <c r="M167" s="659"/>
      <c r="N167" s="659"/>
      <c r="O167" s="643"/>
      <c r="P167" s="81"/>
      <c r="Q167" s="81"/>
      <c r="R167" s="81"/>
      <c r="S167" s="81"/>
      <c r="T167" s="85"/>
      <c r="U167" s="188"/>
      <c r="V167" s="192">
        <f t="shared" si="55"/>
        <v>0</v>
      </c>
    </row>
    <row r="168" spans="1:22" x14ac:dyDescent="0.25">
      <c r="A168" s="4"/>
      <c r="B168" s="3" t="s">
        <v>100</v>
      </c>
      <c r="C168" s="66">
        <f>C13+C29+C32+C81+C106+C120+C129+C135+C145</f>
        <v>1895220607.03</v>
      </c>
      <c r="D168" s="66">
        <f>D13+D29+D32+D81+D106+D120+D129+D135+D145</f>
        <v>1904849300</v>
      </c>
      <c r="E168" s="66">
        <f>E13+E29+E32+E81+E106+E120+E129+E135+E145</f>
        <v>1914887247</v>
      </c>
      <c r="F168" s="66">
        <f>F13+F29+F32+F81+F106+F120+F129+F135+F145</f>
        <v>1902457581</v>
      </c>
      <c r="G168" s="66"/>
      <c r="H168" s="83">
        <f>H13+H29+H32+H81+H106+H120+H129+H135+H145</f>
        <v>572539112</v>
      </c>
      <c r="I168" s="83">
        <f>I13+I29+I32+I81+I106+I120+I129+I135+I145</f>
        <v>958008396</v>
      </c>
      <c r="J168" s="83">
        <f>J13+J29+J32+J81+J106+J120+J129+J135+J145</f>
        <v>1404158602</v>
      </c>
      <c r="K168" s="66"/>
      <c r="L168" s="629">
        <f>H168/C168</f>
        <v>0.30209628888387086</v>
      </c>
      <c r="M168" s="629">
        <f>I168/D168</f>
        <v>0.50293133215315244</v>
      </c>
      <c r="N168" s="629">
        <f>+J168/E168</f>
        <v>0.73328526481120793</v>
      </c>
      <c r="O168" s="644"/>
      <c r="P168" s="83">
        <f>IF(D168&gt;0,+D168-C168,0)</f>
        <v>9628692.9700000286</v>
      </c>
      <c r="Q168" s="83">
        <f>IF(E168&gt;0,+E168-D168,0)</f>
        <v>10037947</v>
      </c>
      <c r="R168" s="83">
        <f>IF(F168&gt;0,+F168-E168,0)</f>
        <v>-12429666</v>
      </c>
      <c r="S168" s="83">
        <f>+P168*P$8+Q168*Q$8+Q168*G$8</f>
        <v>19666639.970000029</v>
      </c>
      <c r="T168" s="85">
        <f>IF(C168=0,0,+S168/C168)</f>
        <v>1.0376966088828899E-2</v>
      </c>
      <c r="U168" s="190"/>
      <c r="V168" s="193">
        <f t="shared" si="55"/>
        <v>0</v>
      </c>
    </row>
    <row r="169" spans="1:22" x14ac:dyDescent="0.25">
      <c r="A169" s="22"/>
      <c r="B169" s="22"/>
      <c r="C169" s="73"/>
      <c r="D169" s="74"/>
      <c r="E169" s="74"/>
      <c r="F169" s="74"/>
      <c r="G169" s="74"/>
      <c r="H169" s="84"/>
      <c r="I169" s="84"/>
      <c r="J169" s="84"/>
      <c r="K169" s="74"/>
      <c r="L169" s="646"/>
      <c r="M169" s="647"/>
      <c r="N169" s="647"/>
      <c r="O169" s="648"/>
      <c r="P169" s="84"/>
      <c r="Q169" s="84"/>
      <c r="R169" s="84"/>
      <c r="S169" s="84"/>
      <c r="T169" s="86"/>
      <c r="U169" s="74"/>
    </row>
    <row r="170" spans="1:22" hidden="1" x14ac:dyDescent="0.25">
      <c r="A170" s="22"/>
      <c r="B170" s="22"/>
      <c r="C170" s="73"/>
      <c r="D170" s="75"/>
      <c r="F170" s="74">
        <f>'2. Önk. Bevételek'!M96-'3. Önk. Kiadások'!F168</f>
        <v>-1902457580.2410469</v>
      </c>
      <c r="G170" s="74"/>
      <c r="H170" s="73"/>
      <c r="K170" s="74"/>
      <c r="L170" s="646"/>
      <c r="M170" s="647"/>
      <c r="N170" s="647"/>
      <c r="O170" s="648"/>
      <c r="P170" s="73"/>
      <c r="Q170" s="73"/>
      <c r="R170" s="73"/>
      <c r="S170" s="73"/>
      <c r="T170" s="86"/>
      <c r="U170" s="74"/>
    </row>
    <row r="171" spans="1:22" hidden="1" x14ac:dyDescent="0.25">
      <c r="A171" s="22"/>
      <c r="B171" s="22"/>
      <c r="C171" s="73"/>
      <c r="D171" s="75" t="s">
        <v>435</v>
      </c>
      <c r="E171" s="74">
        <f>'2. Önk. Bevételek'!E96-'3. Önk. Kiadások'!E168</f>
        <v>0</v>
      </c>
      <c r="F171" s="74"/>
      <c r="G171" s="74"/>
      <c r="H171" s="73"/>
      <c r="I171" s="266">
        <f>36792991*0+'4. Dr Gáspár HSZK'!I100+'5. Csicsergő'!I100+'6. Gólyahír'!I100+'7. Polg.Hiv.'!M100+'8. WAMKK'!M100+'9. Közp. Konyha'!M100</f>
        <v>207926753.29296762</v>
      </c>
      <c r="K171" s="74"/>
      <c r="L171" s="646"/>
      <c r="M171" s="647"/>
      <c r="N171" s="647"/>
      <c r="O171" s="648"/>
      <c r="P171" s="73"/>
      <c r="Q171" s="73"/>
      <c r="R171" s="73"/>
      <c r="S171" s="73"/>
      <c r="T171" s="86"/>
      <c r="U171" s="74"/>
    </row>
    <row r="172" spans="1:22" hidden="1" x14ac:dyDescent="0.25">
      <c r="A172" s="22"/>
      <c r="B172" s="56" t="s">
        <v>397</v>
      </c>
      <c r="C172" s="73"/>
      <c r="D172" s="73"/>
      <c r="E172" s="74"/>
      <c r="F172" s="74"/>
      <c r="G172" s="74"/>
      <c r="H172" s="73"/>
      <c r="I172" s="22"/>
      <c r="J172" s="22"/>
      <c r="K172" s="74"/>
      <c r="L172" s="646"/>
      <c r="M172" s="647"/>
      <c r="N172" s="647"/>
      <c r="O172" s="648"/>
      <c r="P172" s="73"/>
      <c r="Q172" s="73"/>
      <c r="R172" s="73"/>
      <c r="S172" s="73"/>
      <c r="U172" s="74"/>
    </row>
    <row r="173" spans="1:22" hidden="1" x14ac:dyDescent="0.25">
      <c r="A173" s="22"/>
      <c r="B173" s="22"/>
      <c r="C173" s="73"/>
      <c r="D173" s="74"/>
      <c r="E173" s="74"/>
      <c r="F173" s="74"/>
      <c r="G173" s="74"/>
      <c r="H173" s="73"/>
      <c r="K173" s="74"/>
      <c r="L173" s="646"/>
      <c r="M173" s="647"/>
      <c r="N173" s="603"/>
      <c r="O173" s="648"/>
      <c r="P173" s="73"/>
      <c r="Q173" s="73"/>
      <c r="R173" s="73"/>
      <c r="S173" s="73"/>
      <c r="U173" s="74"/>
    </row>
    <row r="174" spans="1:22" hidden="1" x14ac:dyDescent="0.25">
      <c r="A174" s="22"/>
      <c r="B174" s="56" t="s">
        <v>398</v>
      </c>
      <c r="C174" s="73"/>
      <c r="D174" s="74"/>
      <c r="E174" s="74"/>
      <c r="F174" s="74"/>
      <c r="G174" s="74"/>
      <c r="H174" s="73"/>
      <c r="K174" s="74"/>
      <c r="L174" s="646"/>
      <c r="M174" s="647"/>
      <c r="N174" s="603"/>
      <c r="O174" s="648"/>
      <c r="P174" s="73"/>
      <c r="Q174" s="73"/>
      <c r="R174" s="73"/>
      <c r="S174" s="73"/>
      <c r="U174" s="74"/>
    </row>
    <row r="175" spans="1:22" hidden="1" x14ac:dyDescent="0.25">
      <c r="A175" s="22"/>
      <c r="B175" s="22"/>
      <c r="C175" s="73"/>
      <c r="D175" s="75"/>
      <c r="E175" s="74"/>
      <c r="F175" s="74"/>
      <c r="G175" s="74"/>
      <c r="H175" s="73"/>
      <c r="K175" s="74"/>
      <c r="L175" s="646"/>
      <c r="M175" s="647"/>
      <c r="N175" s="603"/>
      <c r="O175" s="648"/>
      <c r="P175" s="73"/>
      <c r="Q175" s="73"/>
      <c r="R175" s="73"/>
      <c r="S175" s="73"/>
      <c r="U175" s="74"/>
    </row>
    <row r="176" spans="1:22" hidden="1" x14ac:dyDescent="0.25">
      <c r="A176" s="22"/>
      <c r="B176" s="22"/>
      <c r="C176" s="73"/>
      <c r="D176" s="74"/>
      <c r="E176" s="74"/>
      <c r="F176" s="74"/>
      <c r="G176" s="74"/>
      <c r="H176" s="73"/>
      <c r="K176" s="74"/>
      <c r="L176" s="646"/>
      <c r="M176" s="647"/>
      <c r="N176" s="603"/>
      <c r="O176" s="648"/>
      <c r="P176" s="73"/>
      <c r="Q176" s="73"/>
      <c r="R176" s="73"/>
      <c r="S176" s="73"/>
      <c r="U176" s="74"/>
    </row>
    <row r="177" spans="1:21" hidden="1" x14ac:dyDescent="0.25">
      <c r="A177" s="22"/>
      <c r="B177" s="22"/>
      <c r="C177" s="73"/>
      <c r="D177" s="74"/>
      <c r="E177" s="74"/>
      <c r="F177" s="74"/>
      <c r="G177" s="74"/>
      <c r="H177" s="73"/>
      <c r="K177" s="74"/>
      <c r="L177" s="646"/>
      <c r="M177" s="647"/>
      <c r="N177" s="603"/>
      <c r="O177" s="648"/>
      <c r="P177" s="73"/>
      <c r="Q177" s="73"/>
      <c r="R177" s="73"/>
      <c r="S177" s="73"/>
      <c r="U177" s="74"/>
    </row>
    <row r="178" spans="1:21" hidden="1" x14ac:dyDescent="0.25">
      <c r="A178" s="316" t="s">
        <v>427</v>
      </c>
      <c r="B178" s="22"/>
      <c r="C178" s="73"/>
      <c r="D178" s="75"/>
      <c r="E178" s="74"/>
      <c r="F178" s="74"/>
      <c r="G178" s="74"/>
      <c r="H178" s="73"/>
      <c r="K178" s="74"/>
      <c r="L178" s="646"/>
      <c r="M178" s="647"/>
      <c r="N178" s="603"/>
      <c r="O178" s="648"/>
      <c r="P178" s="73"/>
      <c r="Q178" s="73"/>
      <c r="R178" s="73"/>
      <c r="S178" s="73"/>
      <c r="U178" s="74"/>
    </row>
    <row r="179" spans="1:21" hidden="1" x14ac:dyDescent="0.25">
      <c r="A179" s="315" t="s">
        <v>425</v>
      </c>
      <c r="B179" s="56" t="str">
        <f>+'4. Dr Gáspár HSZK'!A1</f>
        <v>Dr. Gáspár István HSZK</v>
      </c>
      <c r="C179" s="73">
        <f>+'4. Dr Gáspár HSZK'!C5</f>
        <v>41408310.030000001</v>
      </c>
      <c r="D179" s="73">
        <f>+'4. Dr Gáspár HSZK'!D5</f>
        <v>41408310</v>
      </c>
      <c r="E179" s="73">
        <f>+'4. Dr Gáspár HSZK'!E5</f>
        <v>41408310</v>
      </c>
      <c r="F179" s="73">
        <f>+'4. Dr Gáspár HSZK'!F5</f>
        <v>39713004</v>
      </c>
      <c r="G179" s="73"/>
      <c r="H179" s="73">
        <f>+'4. Dr Gáspár HSZK'!H5</f>
        <v>17506348</v>
      </c>
      <c r="I179" s="73">
        <f>+'4. Dr Gáspár HSZK'!I5</f>
        <v>27535325</v>
      </c>
      <c r="J179" s="73">
        <f>+'4. Dr Gáspár HSZK'!J5</f>
        <v>38718454</v>
      </c>
      <c r="K179" s="73">
        <f>+'4. Dr Gáspár HSZK'!K5</f>
        <v>0</v>
      </c>
      <c r="L179" s="648"/>
      <c r="M179" s="648"/>
      <c r="N179" s="648"/>
      <c r="O179" s="648">
        <f>+'4. Dr Gáspár HSZK'!O5</f>
        <v>0</v>
      </c>
      <c r="P179" s="73">
        <f>+'4. Dr Gáspár HSZK'!P5</f>
        <v>-3.0000001192092896E-2</v>
      </c>
      <c r="Q179" s="73">
        <f>+'4. Dr Gáspár HSZK'!Q5</f>
        <v>0</v>
      </c>
      <c r="R179" s="73">
        <f>+'4. Dr Gáspár HSZK'!R5</f>
        <v>-1695306</v>
      </c>
      <c r="S179" s="73">
        <f>+'4. Dr Gáspár HSZK'!S5</f>
        <v>-1695306.0300000012</v>
      </c>
      <c r="U179" s="74"/>
    </row>
    <row r="180" spans="1:21" hidden="1" x14ac:dyDescent="0.25">
      <c r="A180" s="22"/>
      <c r="B180" s="56" t="str">
        <f>+'5. Csicsergő'!A1</f>
        <v>SÜLYSÁPI CSICSERGŐ ÓVODA</v>
      </c>
      <c r="C180" s="73">
        <f>+'5. Csicsergő'!C5</f>
        <v>193219000</v>
      </c>
      <c r="D180" s="73">
        <f>+'5. Csicsergő'!D5</f>
        <v>193219000</v>
      </c>
      <c r="E180" s="73">
        <f>+'5. Csicsergő'!E5</f>
        <v>193219000</v>
      </c>
      <c r="F180" s="73">
        <f>+'5. Csicsergő'!F5</f>
        <v>189820167</v>
      </c>
      <c r="G180" s="73"/>
      <c r="H180" s="73">
        <f>+'5. Csicsergő'!H5</f>
        <v>91525357</v>
      </c>
      <c r="I180" s="73">
        <f>+'5. Csicsergő'!I5</f>
        <v>138520194</v>
      </c>
      <c r="J180" s="73">
        <f>+'5. Csicsergő'!J5</f>
        <v>189366474</v>
      </c>
      <c r="K180" s="73">
        <f>+'5. Csicsergő'!K5</f>
        <v>0</v>
      </c>
      <c r="L180" s="648"/>
      <c r="M180" s="648"/>
      <c r="N180" s="648"/>
      <c r="O180" s="648">
        <f>+'5. Csicsergő'!O5</f>
        <v>0</v>
      </c>
      <c r="P180" s="73">
        <f>+'5. Csicsergő'!P5</f>
        <v>0</v>
      </c>
      <c r="Q180" s="73">
        <f>+'5. Csicsergő'!Q5</f>
        <v>0</v>
      </c>
      <c r="R180" s="73">
        <f>+'5. Csicsergő'!R5</f>
        <v>-3398833</v>
      </c>
      <c r="S180" s="73">
        <f>+'5. Csicsergő'!S5</f>
        <v>-3398833</v>
      </c>
      <c r="U180" s="74"/>
    </row>
    <row r="181" spans="1:21" hidden="1" x14ac:dyDescent="0.25">
      <c r="A181" s="22"/>
      <c r="B181" s="22" t="str">
        <f>+'6. Gólyahír'!A1</f>
        <v>GÓLYAHÍR BÖLCSŐDE</v>
      </c>
      <c r="C181" s="73">
        <f>+'6. Gólyahír'!C5</f>
        <v>65578000</v>
      </c>
      <c r="D181" s="73">
        <f>+'6. Gólyahír'!D5</f>
        <v>65578000</v>
      </c>
      <c r="E181" s="73">
        <f>+'6. Gólyahír'!E5</f>
        <v>65578000</v>
      </c>
      <c r="F181" s="73">
        <f>+'6. Gólyahír'!F5</f>
        <v>64814413</v>
      </c>
      <c r="G181" s="73"/>
      <c r="H181" s="73">
        <f>+'6. Gólyahír'!H5</f>
        <v>31656497</v>
      </c>
      <c r="I181" s="73">
        <f>+'6. Gólyahír'!I5</f>
        <v>46781710</v>
      </c>
      <c r="J181" s="73">
        <f>+'6. Gólyahír'!J5</f>
        <v>62913898</v>
      </c>
      <c r="K181" s="73">
        <f>+'6. Gólyahír'!K5</f>
        <v>0</v>
      </c>
      <c r="L181" s="648"/>
      <c r="M181" s="648"/>
      <c r="N181" s="648"/>
      <c r="O181" s="648">
        <f>+'6. Gólyahír'!O5</f>
        <v>0</v>
      </c>
      <c r="P181" s="73">
        <f>+'6. Gólyahír'!P5</f>
        <v>0</v>
      </c>
      <c r="Q181" s="73">
        <f>+'6. Gólyahír'!Q5</f>
        <v>0</v>
      </c>
      <c r="R181" s="73">
        <f>+'6. Gólyahír'!R5</f>
        <v>-763587</v>
      </c>
      <c r="S181" s="73">
        <f>+'6. Gólyahír'!S5</f>
        <v>-763587</v>
      </c>
      <c r="U181" s="74"/>
    </row>
    <row r="182" spans="1:21" hidden="1" x14ac:dyDescent="0.25">
      <c r="A182" s="22"/>
      <c r="B182" s="73" t="str">
        <f>+'7. Polg.Hiv.'!A1</f>
        <v>POLGÁRMESTERI HIVATAL</v>
      </c>
      <c r="C182" s="73">
        <f>+'7. Polg.Hiv.'!C5</f>
        <v>135435600</v>
      </c>
      <c r="D182" s="73">
        <f>+'7. Polg.Hiv.'!D5</f>
        <v>146640948</v>
      </c>
      <c r="E182" s="73">
        <f>+'7. Polg.Hiv.'!E5</f>
        <v>146887797</v>
      </c>
      <c r="F182" s="73">
        <f>+'7. Polg.Hiv.'!F5</f>
        <v>140918575</v>
      </c>
      <c r="G182" s="73"/>
      <c r="H182" s="73">
        <f>+'7. Polg.Hiv.'!H5</f>
        <v>68909669</v>
      </c>
      <c r="I182" s="73">
        <f>+'7. Polg.Hiv.'!I5</f>
        <v>101383740</v>
      </c>
      <c r="J182" s="73">
        <f>+'7. Polg.Hiv.'!J5</f>
        <v>138893636</v>
      </c>
      <c r="K182" s="73">
        <f>+'7. Polg.Hiv.'!K5</f>
        <v>0</v>
      </c>
      <c r="L182" s="648"/>
      <c r="M182" s="648"/>
      <c r="N182" s="648"/>
      <c r="O182" s="648">
        <f>+'7. Polg.Hiv.'!O5</f>
        <v>0</v>
      </c>
      <c r="P182" s="73">
        <f>+'7. Polg.Hiv.'!P5</f>
        <v>11205348</v>
      </c>
      <c r="Q182" s="73">
        <f>+'7. Polg.Hiv.'!Q5</f>
        <v>246849</v>
      </c>
      <c r="R182" s="73">
        <f>+'7. Polg.Hiv.'!R5</f>
        <v>-5969222</v>
      </c>
      <c r="S182" s="73">
        <f>+'7. Polg.Hiv.'!S5</f>
        <v>5482975</v>
      </c>
      <c r="U182" s="74"/>
    </row>
    <row r="183" spans="1:21" hidden="1" x14ac:dyDescent="0.25">
      <c r="A183" s="22"/>
      <c r="B183" s="73" t="str">
        <f>+'8. WAMKK'!A1</f>
        <v>Wass Albert Művelődési Központ és Könyvtár</v>
      </c>
      <c r="C183" s="73">
        <f>+'8. WAMKK'!C5</f>
        <v>30262000</v>
      </c>
      <c r="D183" s="73">
        <f>+'8. WAMKK'!D5</f>
        <v>30262000</v>
      </c>
      <c r="E183" s="73">
        <f>+'8. WAMKK'!E5</f>
        <v>33536000</v>
      </c>
      <c r="F183" s="73">
        <f>+'8. WAMKK'!F5</f>
        <v>31526000</v>
      </c>
      <c r="G183" s="73"/>
      <c r="H183" s="73">
        <f>+'8. WAMKK'!H5</f>
        <v>12553765</v>
      </c>
      <c r="I183" s="73">
        <f>+'8. WAMKK'!I5</f>
        <v>23234951</v>
      </c>
      <c r="J183" s="73">
        <f>+'8. WAMKK'!J5</f>
        <v>30622106</v>
      </c>
      <c r="K183" s="73">
        <f>+'8. WAMKK'!K5</f>
        <v>0</v>
      </c>
      <c r="L183" s="648"/>
      <c r="M183" s="648"/>
      <c r="N183" s="648"/>
      <c r="O183" s="648">
        <f>+'8. WAMKK'!O5</f>
        <v>0</v>
      </c>
      <c r="P183" s="73">
        <f>+'8. WAMKK'!P5</f>
        <v>0</v>
      </c>
      <c r="Q183" s="73">
        <f>+'8. WAMKK'!Q5</f>
        <v>3274000</v>
      </c>
      <c r="R183" s="73">
        <f>+'8. WAMKK'!R5</f>
        <v>-2010000</v>
      </c>
      <c r="S183" s="73">
        <f>+'8. WAMKK'!S5</f>
        <v>1264000</v>
      </c>
      <c r="U183" s="74"/>
    </row>
    <row r="184" spans="1:21" hidden="1" x14ac:dyDescent="0.25">
      <c r="A184" s="22"/>
      <c r="B184" s="73" t="str">
        <f>+'9. Közp. Konyha'!A1</f>
        <v>Központi Konyha</v>
      </c>
      <c r="C184" s="73">
        <f>+'9. Közp. Konyha'!C5</f>
        <v>106343000</v>
      </c>
      <c r="D184" s="73">
        <f>+'9. Közp. Konyha'!D5</f>
        <v>106343000</v>
      </c>
      <c r="E184" s="73">
        <f>+'9. Közp. Konyha'!E5</f>
        <v>106343000</v>
      </c>
      <c r="F184" s="73">
        <f>+'9. Közp. Konyha'!F5</f>
        <v>106343000</v>
      </c>
      <c r="G184" s="73"/>
      <c r="H184" s="73">
        <f>+'9. Közp. Konyha'!H5</f>
        <v>53458479</v>
      </c>
      <c r="I184" s="73">
        <f>+'9. Közp. Konyha'!I5</f>
        <v>71780982</v>
      </c>
      <c r="J184" s="73">
        <f>+'9. Közp. Konyha'!J5</f>
        <v>102230016</v>
      </c>
      <c r="K184" s="73">
        <f>+'9. Közp. Konyha'!K5</f>
        <v>0</v>
      </c>
      <c r="L184" s="648"/>
      <c r="M184" s="648"/>
      <c r="N184" s="648"/>
      <c r="O184" s="648">
        <f>+'9. Közp. Konyha'!O5</f>
        <v>0</v>
      </c>
      <c r="P184" s="73">
        <f>+'9. Közp. Konyha'!P5</f>
        <v>0</v>
      </c>
      <c r="Q184" s="73">
        <f>+'9. Közp. Konyha'!Q5</f>
        <v>0</v>
      </c>
      <c r="R184" s="73">
        <f>+'9. Közp. Konyha'!R5</f>
        <v>0</v>
      </c>
      <c r="S184" s="73">
        <f>+'9. Közp. Konyha'!S5</f>
        <v>0</v>
      </c>
      <c r="U184" s="74"/>
    </row>
    <row r="185" spans="1:21" hidden="1" x14ac:dyDescent="0.25">
      <c r="A185" s="316" t="s">
        <v>426</v>
      </c>
      <c r="B185" s="73"/>
      <c r="C185" s="73"/>
      <c r="D185" s="74"/>
      <c r="E185" s="74"/>
      <c r="F185" s="74"/>
      <c r="G185" s="74"/>
      <c r="H185" s="73"/>
      <c r="I185" s="73"/>
      <c r="J185" s="73"/>
      <c r="K185" s="73"/>
      <c r="L185" s="648"/>
      <c r="M185" s="648"/>
      <c r="N185" s="648"/>
      <c r="O185" s="648"/>
      <c r="P185" s="73"/>
      <c r="Q185" s="73"/>
      <c r="R185" s="73"/>
      <c r="S185" s="73"/>
      <c r="U185" s="74"/>
    </row>
    <row r="186" spans="1:21" hidden="1" x14ac:dyDescent="0.25">
      <c r="A186" s="317">
        <v>0</v>
      </c>
      <c r="B186" s="73" t="str">
        <f t="shared" ref="B186:B191" si="70">+B179</f>
        <v>Dr. Gáspár István HSZK</v>
      </c>
      <c r="C186" s="73">
        <v>0</v>
      </c>
      <c r="D186" s="74"/>
      <c r="E186" s="74"/>
      <c r="F186" s="74"/>
      <c r="G186" s="74"/>
      <c r="H186" s="73"/>
      <c r="I186" s="73"/>
      <c r="J186" s="73"/>
      <c r="K186" s="73"/>
      <c r="L186" s="648"/>
      <c r="M186" s="648"/>
      <c r="N186" s="648"/>
      <c r="O186" s="648"/>
      <c r="P186" s="73"/>
      <c r="Q186" s="73"/>
      <c r="R186" s="73"/>
      <c r="S186" s="73"/>
      <c r="U186" s="74"/>
    </row>
    <row r="187" spans="1:21" hidden="1" x14ac:dyDescent="0.25">
      <c r="A187" s="318">
        <v>1</v>
      </c>
      <c r="B187" s="319" t="str">
        <f t="shared" si="70"/>
        <v>SÜLYSÁPI CSICSERGŐ ÓVODA</v>
      </c>
      <c r="C187" s="73">
        <f>-'5. Csicsergő'!C84*$A187</f>
        <v>-1650000</v>
      </c>
      <c r="D187" s="73">
        <f>-'5. Csicsergő'!D84*$A187</f>
        <v>-1650000</v>
      </c>
      <c r="E187" s="73">
        <f>-'5. Csicsergő'!E84*$A187</f>
        <v>-1650000</v>
      </c>
      <c r="F187" s="73">
        <f>-'5. Csicsergő'!F84*$A187</f>
        <v>-1452453</v>
      </c>
      <c r="G187" s="73">
        <f>-'5. Csicsergő'!G84*$A187</f>
        <v>0</v>
      </c>
      <c r="H187" s="73">
        <f>-'5. Csicsergő'!H84*$A187</f>
        <v>-1297203</v>
      </c>
      <c r="I187" s="73">
        <f>-'5. Csicsergő'!I84*$A187</f>
        <v>-1398983</v>
      </c>
      <c r="J187" s="73">
        <f>-'5. Csicsergő'!J84*$A187</f>
        <v>-1452453</v>
      </c>
      <c r="K187" s="73">
        <f>-'5. Csicsergő'!K84*$A187</f>
        <v>0</v>
      </c>
      <c r="L187" s="648"/>
      <c r="M187" s="648"/>
      <c r="N187" s="648"/>
      <c r="O187" s="648">
        <f>-'5. Csicsergő'!O84*$A187</f>
        <v>0</v>
      </c>
      <c r="P187" s="73">
        <f>-'5. Csicsergő'!P84*$A187</f>
        <v>0</v>
      </c>
      <c r="Q187" s="73">
        <f>-'5. Csicsergő'!Q84*$A187</f>
        <v>0</v>
      </c>
      <c r="R187" s="73">
        <f>-'5. Csicsergő'!R84*$A187</f>
        <v>197547</v>
      </c>
      <c r="S187" s="73">
        <f>-'5. Csicsergő'!S84*$A187</f>
        <v>197547</v>
      </c>
      <c r="U187" s="74"/>
    </row>
    <row r="188" spans="1:21" hidden="1" x14ac:dyDescent="0.25">
      <c r="A188" s="317">
        <v>0</v>
      </c>
      <c r="B188" s="73" t="str">
        <f t="shared" si="70"/>
        <v>GÓLYAHÍR BÖLCSŐDE</v>
      </c>
      <c r="C188" s="73">
        <v>0</v>
      </c>
      <c r="D188" s="74"/>
      <c r="E188" s="74"/>
      <c r="F188" s="74"/>
      <c r="G188" s="74"/>
      <c r="H188" s="73"/>
      <c r="I188" s="73"/>
      <c r="J188" s="73"/>
      <c r="K188" s="73"/>
      <c r="L188" s="648"/>
      <c r="M188" s="648"/>
      <c r="N188" s="648"/>
      <c r="O188" s="648"/>
      <c r="P188" s="73"/>
      <c r="Q188" s="73"/>
      <c r="R188" s="73"/>
      <c r="S188" s="73"/>
      <c r="U188" s="74"/>
    </row>
    <row r="189" spans="1:21" hidden="1" x14ac:dyDescent="0.25">
      <c r="A189" s="318">
        <v>1</v>
      </c>
      <c r="B189" s="321" t="str">
        <f t="shared" si="70"/>
        <v>POLGÁRMESTERI HIVATAL</v>
      </c>
      <c r="C189" s="73" t="e">
        <f>-'7. Polg.Hiv.'!#REF!*$A189</f>
        <v>#REF!</v>
      </c>
      <c r="D189" s="73" t="e">
        <f>-'7. Polg.Hiv.'!#REF!*$A189</f>
        <v>#REF!</v>
      </c>
      <c r="E189" s="73" t="e">
        <f>-'7. Polg.Hiv.'!#REF!*$A189</f>
        <v>#REF!</v>
      </c>
      <c r="F189" s="73" t="e">
        <f>-'7. Polg.Hiv.'!#REF!*$A189</f>
        <v>#REF!</v>
      </c>
      <c r="G189" s="73" t="e">
        <f>-'7. Polg.Hiv.'!#REF!*$A189</f>
        <v>#REF!</v>
      </c>
      <c r="H189" s="73" t="e">
        <f>-'7. Polg.Hiv.'!#REF!*$A189</f>
        <v>#REF!</v>
      </c>
      <c r="I189" s="73" t="e">
        <f>-'7. Polg.Hiv.'!#REF!*$A189</f>
        <v>#REF!</v>
      </c>
      <c r="J189" s="73" t="e">
        <f>-'7. Polg.Hiv.'!#REF!*$A189</f>
        <v>#REF!</v>
      </c>
      <c r="K189" s="73" t="e">
        <f>-'7. Polg.Hiv.'!#REF!*$A189</f>
        <v>#REF!</v>
      </c>
      <c r="L189" s="648"/>
      <c r="M189" s="648"/>
      <c r="N189" s="648"/>
      <c r="O189" s="648" t="e">
        <f>-'7. Polg.Hiv.'!#REF!*$A189</f>
        <v>#REF!</v>
      </c>
      <c r="P189" s="73" t="e">
        <f>-'7. Polg.Hiv.'!#REF!*$A189</f>
        <v>#REF!</v>
      </c>
      <c r="Q189" s="73" t="e">
        <f>-'7. Polg.Hiv.'!#REF!*$A189</f>
        <v>#REF!</v>
      </c>
      <c r="R189" s="73" t="e">
        <f>-'7. Polg.Hiv.'!#REF!*$A189</f>
        <v>#REF!</v>
      </c>
      <c r="S189" s="73" t="e">
        <f>-'7. Polg.Hiv.'!#REF!*$A189</f>
        <v>#REF!</v>
      </c>
      <c r="U189" s="74"/>
    </row>
    <row r="190" spans="1:21" hidden="1" x14ac:dyDescent="0.25">
      <c r="A190" s="317">
        <v>0</v>
      </c>
      <c r="B190" s="73" t="str">
        <f t="shared" si="70"/>
        <v>Wass Albert Művelődési Központ és Könyvtár</v>
      </c>
      <c r="C190" s="73">
        <v>0</v>
      </c>
      <c r="D190" s="74"/>
      <c r="E190" s="74"/>
      <c r="F190" s="74"/>
      <c r="G190" s="74"/>
      <c r="H190" s="73"/>
      <c r="I190" s="73"/>
      <c r="J190" s="73"/>
      <c r="K190" s="73"/>
      <c r="L190" s="648"/>
      <c r="M190" s="648"/>
      <c r="N190" s="648"/>
      <c r="O190" s="648"/>
      <c r="P190" s="73"/>
      <c r="Q190" s="73"/>
      <c r="R190" s="73"/>
      <c r="S190" s="73"/>
      <c r="U190" s="74"/>
    </row>
    <row r="191" spans="1:21" hidden="1" x14ac:dyDescent="0.25">
      <c r="A191" s="317">
        <v>0</v>
      </c>
      <c r="B191" s="73" t="str">
        <f t="shared" si="70"/>
        <v>Központi Konyha</v>
      </c>
      <c r="C191" s="73">
        <v>0</v>
      </c>
      <c r="D191" s="74"/>
      <c r="E191" s="74"/>
      <c r="F191" s="74"/>
      <c r="G191" s="74"/>
      <c r="H191" s="73"/>
      <c r="I191" s="73"/>
      <c r="J191" s="73"/>
      <c r="K191" s="73"/>
      <c r="L191" s="648"/>
      <c r="M191" s="648"/>
      <c r="N191" s="648"/>
      <c r="O191" s="648"/>
      <c r="P191" s="73"/>
      <c r="Q191" s="73"/>
      <c r="R191" s="73"/>
      <c r="S191" s="73"/>
      <c r="U191" s="74"/>
    </row>
    <row r="192" spans="1:21" hidden="1" x14ac:dyDescent="0.25">
      <c r="A192" s="73"/>
      <c r="B192" s="73"/>
      <c r="C192" s="73"/>
      <c r="D192" s="74"/>
      <c r="E192" s="74"/>
      <c r="F192" s="74"/>
      <c r="G192" s="74"/>
      <c r="H192" s="73"/>
      <c r="I192" s="73"/>
      <c r="J192" s="73"/>
      <c r="K192" s="73"/>
      <c r="L192" s="648"/>
      <c r="M192" s="648"/>
      <c r="N192" s="648"/>
      <c r="O192" s="648"/>
      <c r="P192" s="73"/>
      <c r="Q192" s="73"/>
      <c r="R192" s="73"/>
      <c r="S192" s="73"/>
      <c r="U192" s="74"/>
    </row>
    <row r="193" spans="1:21" hidden="1" x14ac:dyDescent="0.25">
      <c r="A193" s="317">
        <v>1</v>
      </c>
      <c r="B193" s="56" t="s">
        <v>422</v>
      </c>
      <c r="C193" s="73"/>
      <c r="D193" s="73" t="e">
        <f>+#REF!*$A193</f>
        <v>#REF!</v>
      </c>
      <c r="E193" s="73" t="e">
        <f>+#REF!*$A193</f>
        <v>#REF!</v>
      </c>
      <c r="F193" s="73" t="e">
        <f>+#REF!*$A193</f>
        <v>#REF!</v>
      </c>
      <c r="G193" s="74"/>
      <c r="H193" s="73"/>
      <c r="I193" s="73"/>
      <c r="J193" s="73"/>
      <c r="K193" s="73"/>
      <c r="L193" s="648"/>
      <c r="M193" s="648"/>
      <c r="N193" s="648"/>
      <c r="O193" s="648"/>
      <c r="P193" s="73"/>
      <c r="Q193" s="73"/>
      <c r="R193" s="73"/>
      <c r="S193" s="73"/>
      <c r="U193" s="74"/>
    </row>
    <row r="194" spans="1:21" hidden="1" x14ac:dyDescent="0.25">
      <c r="A194" s="317">
        <v>1</v>
      </c>
      <c r="B194" s="56" t="s">
        <v>423</v>
      </c>
      <c r="C194" s="73">
        <f>+C120*$A194</f>
        <v>792250000</v>
      </c>
      <c r="D194" s="73">
        <f>+D120</f>
        <v>793165620</v>
      </c>
      <c r="E194" s="73">
        <f>+E120</f>
        <v>742381620</v>
      </c>
      <c r="F194" s="73">
        <f>+F120</f>
        <v>661513746</v>
      </c>
      <c r="G194" s="73"/>
      <c r="H194" s="73">
        <f>+H120</f>
        <v>97143389</v>
      </c>
      <c r="I194" s="73">
        <f>+I120</f>
        <v>175947301</v>
      </c>
      <c r="J194" s="73">
        <f>+J120</f>
        <v>233667739</v>
      </c>
      <c r="K194" s="73">
        <f>+K120</f>
        <v>0</v>
      </c>
      <c r="L194" s="648"/>
      <c r="M194" s="648"/>
      <c r="N194" s="648"/>
      <c r="O194" s="648">
        <f>+O120</f>
        <v>0</v>
      </c>
      <c r="P194" s="73">
        <f>+P120</f>
        <v>915620</v>
      </c>
      <c r="Q194" s="73">
        <f>+Q120</f>
        <v>-50784000</v>
      </c>
      <c r="R194" s="73">
        <f>+R120</f>
        <v>-80867874</v>
      </c>
      <c r="S194" s="73">
        <f>+S120</f>
        <v>-49868380</v>
      </c>
      <c r="U194" s="74"/>
    </row>
    <row r="195" spans="1:21" hidden="1" x14ac:dyDescent="0.25">
      <c r="A195" s="317">
        <v>1</v>
      </c>
      <c r="B195" s="314" t="s">
        <v>424</v>
      </c>
      <c r="C195" s="73">
        <f>+C129*A195</f>
        <v>198800000</v>
      </c>
      <c r="D195" s="73">
        <f>+D129</f>
        <v>198800000</v>
      </c>
      <c r="E195" s="73">
        <f>+E129</f>
        <v>197263000</v>
      </c>
      <c r="F195" s="73">
        <f>+F129</f>
        <v>262758288</v>
      </c>
      <c r="G195" s="73"/>
      <c r="H195" s="73">
        <f>+H129</f>
        <v>15737344</v>
      </c>
      <c r="I195" s="73">
        <f>+I129</f>
        <v>68275190</v>
      </c>
      <c r="J195" s="73">
        <f>+J129</f>
        <v>223547903</v>
      </c>
      <c r="K195" s="73">
        <f>+K129</f>
        <v>0</v>
      </c>
      <c r="L195" s="648"/>
      <c r="M195" s="648"/>
      <c r="N195" s="648"/>
      <c r="O195" s="648">
        <f>+O129</f>
        <v>0</v>
      </c>
      <c r="P195" s="73">
        <f>+P129</f>
        <v>0</v>
      </c>
      <c r="Q195" s="73">
        <f>+Q129</f>
        <v>-1537000</v>
      </c>
      <c r="R195" s="73">
        <f>+R129</f>
        <v>65495288</v>
      </c>
      <c r="S195" s="73">
        <f>+S129</f>
        <v>-1537000</v>
      </c>
      <c r="U195" s="74"/>
    </row>
    <row r="196" spans="1:21" hidden="1" x14ac:dyDescent="0.25">
      <c r="A196" s="73"/>
      <c r="B196" s="73"/>
      <c r="C196" s="73"/>
      <c r="D196" s="74"/>
      <c r="E196" s="74"/>
      <c r="F196" s="74"/>
      <c r="G196" s="74"/>
      <c r="H196" s="73"/>
      <c r="I196" s="73"/>
      <c r="J196" s="73"/>
      <c r="K196" s="73"/>
      <c r="L196" s="648"/>
      <c r="M196" s="648"/>
      <c r="N196" s="648"/>
      <c r="O196" s="648"/>
      <c r="P196" s="73"/>
      <c r="Q196" s="73"/>
      <c r="R196" s="73"/>
      <c r="S196" s="73"/>
      <c r="U196" s="74"/>
    </row>
    <row r="197" spans="1:21" hidden="1" x14ac:dyDescent="0.25">
      <c r="A197" s="320">
        <v>1</v>
      </c>
      <c r="B197" s="56" t="s">
        <v>421</v>
      </c>
      <c r="C197" s="73">
        <f>+C145</f>
        <v>535243607.02999997</v>
      </c>
      <c r="D197" s="73">
        <f>+D145</f>
        <v>544090785</v>
      </c>
      <c r="E197" s="73">
        <f>+E145</f>
        <v>547364785</v>
      </c>
      <c r="F197" s="73">
        <f>+F145</f>
        <v>531647428</v>
      </c>
      <c r="G197" s="73"/>
      <c r="H197" s="73">
        <f>+H145</f>
        <v>277698930</v>
      </c>
      <c r="I197" s="73">
        <f>+I145</f>
        <v>402220672</v>
      </c>
      <c r="J197" s="73">
        <f>+J145</f>
        <v>531647428</v>
      </c>
      <c r="K197" s="73"/>
      <c r="L197" s="648"/>
      <c r="M197" s="648"/>
      <c r="N197" s="648"/>
      <c r="O197" s="648"/>
      <c r="P197" s="73">
        <f>+P145</f>
        <v>8847177.9700000286</v>
      </c>
      <c r="Q197" s="73">
        <f>+Q145</f>
        <v>3274000</v>
      </c>
      <c r="R197" s="73">
        <f>+R145</f>
        <v>-15717357</v>
      </c>
      <c r="S197" s="73">
        <f>+S145</f>
        <v>12121177.970000029</v>
      </c>
      <c r="U197" s="74"/>
    </row>
    <row r="198" spans="1:21" hidden="1" x14ac:dyDescent="0.25">
      <c r="A198" s="22"/>
      <c r="B198" s="322" t="s">
        <v>429</v>
      </c>
      <c r="C198" s="73" t="e">
        <f>SUM(C179:C197)</f>
        <v>#REF!</v>
      </c>
      <c r="D198" s="73" t="e">
        <f>SUM(D179:D197)</f>
        <v>#REF!</v>
      </c>
      <c r="E198" s="73" t="e">
        <f>SUM(E179:E197)</f>
        <v>#REF!</v>
      </c>
      <c r="F198" s="73" t="e">
        <f>SUM(F179:F197)</f>
        <v>#REF!</v>
      </c>
      <c r="G198" s="73"/>
      <c r="H198" s="73" t="e">
        <f>SUM(H179:H197)</f>
        <v>#REF!</v>
      </c>
      <c r="I198" s="73" t="e">
        <f>SUM(I179:I197)</f>
        <v>#REF!</v>
      </c>
      <c r="J198" s="73" t="e">
        <f>SUM(J179:J197)</f>
        <v>#REF!</v>
      </c>
      <c r="K198" s="73"/>
      <c r="L198" s="648"/>
      <c r="M198" s="648"/>
      <c r="N198" s="648"/>
      <c r="O198" s="648"/>
      <c r="P198" s="73" t="e">
        <f>SUM(P179:P197)</f>
        <v>#REF!</v>
      </c>
      <c r="Q198" s="73" t="e">
        <f>SUM(Q179:Q197)</f>
        <v>#REF!</v>
      </c>
      <c r="R198" s="73" t="e">
        <f>SUM(R179:R197)</f>
        <v>#REF!</v>
      </c>
      <c r="S198" s="73" t="e">
        <f>SUM(S179:S197)</f>
        <v>#REF!</v>
      </c>
      <c r="U198" s="74"/>
    </row>
    <row r="199" spans="1:21" hidden="1" x14ac:dyDescent="0.25">
      <c r="A199" s="22"/>
      <c r="B199" s="22"/>
      <c r="C199" s="73"/>
      <c r="D199" s="74"/>
      <c r="E199" s="74"/>
      <c r="F199" s="74"/>
      <c r="G199" s="74"/>
      <c r="H199" s="73"/>
      <c r="L199" s="648"/>
      <c r="M199" s="648"/>
      <c r="N199" s="648"/>
      <c r="O199" s="648"/>
      <c r="P199" s="23"/>
      <c r="Q199" s="23"/>
      <c r="R199" s="23"/>
      <c r="S199" s="23"/>
      <c r="U199" s="74"/>
    </row>
    <row r="200" spans="1:21" hidden="1" x14ac:dyDescent="0.25">
      <c r="A200" s="22"/>
      <c r="B200" s="323" t="s">
        <v>430</v>
      </c>
      <c r="C200" s="324" t="e">
        <f>+C198-C9</f>
        <v>#REF!</v>
      </c>
      <c r="D200" s="324" t="e">
        <f>+D198-D9</f>
        <v>#REF!</v>
      </c>
      <c r="E200" s="324" t="e">
        <f>+E198-E9</f>
        <v>#REF!</v>
      </c>
      <c r="F200" s="324" t="e">
        <f>+F198-F9</f>
        <v>#REF!</v>
      </c>
      <c r="G200" s="324"/>
      <c r="H200" s="324" t="e">
        <f>+H198-H9</f>
        <v>#REF!</v>
      </c>
      <c r="I200" s="324" t="e">
        <f>+I198-I9</f>
        <v>#REF!</v>
      </c>
      <c r="J200" s="324" t="e">
        <f>+J198-J9</f>
        <v>#REF!</v>
      </c>
      <c r="K200" s="324"/>
      <c r="L200" s="649"/>
      <c r="M200" s="649"/>
      <c r="N200" s="649"/>
      <c r="O200" s="649"/>
      <c r="P200" s="324" t="e">
        <f>+P198-P9</f>
        <v>#REF!</v>
      </c>
      <c r="Q200" s="324" t="e">
        <f>+Q198-Q9</f>
        <v>#REF!</v>
      </c>
      <c r="R200" s="324" t="e">
        <f>+R198-R9</f>
        <v>#REF!</v>
      </c>
      <c r="S200" s="324" t="e">
        <f>+S198-S9</f>
        <v>#REF!</v>
      </c>
      <c r="T200" s="325"/>
      <c r="U200" s="74"/>
    </row>
    <row r="201" spans="1:21" ht="3.6" hidden="1" customHeight="1" x14ac:dyDescent="0.25">
      <c r="A201" s="329"/>
      <c r="B201" s="329"/>
      <c r="C201" s="330"/>
      <c r="D201" s="331"/>
      <c r="E201" s="331"/>
      <c r="F201" s="331"/>
      <c r="G201" s="331"/>
      <c r="H201" s="330"/>
      <c r="I201" s="332"/>
      <c r="J201" s="332"/>
      <c r="K201" s="331"/>
      <c r="L201" s="650"/>
      <c r="M201" s="651"/>
      <c r="N201" s="652"/>
      <c r="O201" s="653"/>
      <c r="P201" s="330"/>
      <c r="Q201" s="330"/>
      <c r="R201" s="330"/>
      <c r="S201" s="330"/>
      <c r="T201" s="333"/>
      <c r="U201" s="74"/>
    </row>
    <row r="202" spans="1:21" hidden="1" x14ac:dyDescent="0.25">
      <c r="A202"/>
      <c r="B202"/>
      <c r="C202"/>
      <c r="D202"/>
      <c r="E202"/>
      <c r="F202"/>
      <c r="G202"/>
      <c r="H202"/>
      <c r="I202"/>
      <c r="J202"/>
      <c r="K202"/>
      <c r="L202" s="654"/>
      <c r="M202" s="654"/>
      <c r="N202" s="654"/>
      <c r="O202" s="654"/>
      <c r="P202"/>
      <c r="Q202"/>
      <c r="R202"/>
      <c r="S202"/>
      <c r="T202"/>
      <c r="U202"/>
    </row>
    <row r="203" spans="1:21" hidden="1" x14ac:dyDescent="0.25">
      <c r="A203" s="56" t="s">
        <v>431</v>
      </c>
      <c r="B203" s="22"/>
      <c r="C203" s="73"/>
      <c r="D203" s="74"/>
      <c r="E203" s="74"/>
      <c r="F203" s="74"/>
      <c r="G203" s="74"/>
      <c r="H203" s="73"/>
      <c r="K203" s="74"/>
      <c r="L203" s="646"/>
      <c r="M203" s="647"/>
      <c r="N203" s="603"/>
      <c r="O203" s="648"/>
      <c r="P203" s="73"/>
      <c r="Q203" s="73"/>
      <c r="R203" s="73"/>
      <c r="S203" s="73"/>
      <c r="U203" s="74"/>
    </row>
    <row r="204" spans="1:21" hidden="1" x14ac:dyDescent="0.25">
      <c r="A204" s="22"/>
      <c r="B204" s="22"/>
      <c r="C204" s="73"/>
      <c r="D204" s="74"/>
      <c r="E204" s="74"/>
      <c r="F204" s="74"/>
      <c r="G204" s="74"/>
      <c r="H204" s="73"/>
      <c r="K204" s="74"/>
      <c r="L204" s="646"/>
      <c r="M204" s="647"/>
      <c r="N204" s="603"/>
      <c r="O204" s="648"/>
      <c r="P204" s="73"/>
      <c r="Q204" s="73"/>
      <c r="R204" s="73"/>
      <c r="S204" s="73"/>
      <c r="U204" s="74"/>
    </row>
    <row r="205" spans="1:21" hidden="1" x14ac:dyDescent="0.25">
      <c r="A205" s="22"/>
      <c r="B205" s="56" t="s">
        <v>434</v>
      </c>
      <c r="C205" s="73" t="e">
        <f>SUM(C179:C191)</f>
        <v>#REF!</v>
      </c>
      <c r="D205" s="73" t="e">
        <f>SUM(D179:D191)</f>
        <v>#REF!</v>
      </c>
      <c r="E205" s="73" t="e">
        <f>SUM(E179:E191)</f>
        <v>#REF!</v>
      </c>
      <c r="F205" s="73" t="e">
        <f>SUM(F179:F191)</f>
        <v>#REF!</v>
      </c>
      <c r="G205" s="73"/>
      <c r="H205" s="73" t="e">
        <f>SUM(H179:H191)</f>
        <v>#REF!</v>
      </c>
      <c r="I205" s="73" t="e">
        <f>SUM(I179:I191)</f>
        <v>#REF!</v>
      </c>
      <c r="J205" s="73" t="e">
        <f>SUM(J179:J191)</f>
        <v>#REF!</v>
      </c>
      <c r="K205" s="74"/>
      <c r="L205" s="646"/>
      <c r="M205" s="647"/>
      <c r="N205" s="603"/>
      <c r="O205" s="648"/>
      <c r="P205" s="73" t="e">
        <f>SUM(P179:P191)</f>
        <v>#REF!</v>
      </c>
      <c r="Q205" s="73" t="e">
        <f>SUM(Q179:Q191)</f>
        <v>#REF!</v>
      </c>
      <c r="R205" s="73" t="e">
        <f>SUM(R179:R191)</f>
        <v>#REF!</v>
      </c>
      <c r="S205" s="73" t="e">
        <f>SUM(S179:S191)</f>
        <v>#REF!</v>
      </c>
      <c r="U205" s="74"/>
    </row>
    <row r="206" spans="1:21" hidden="1" x14ac:dyDescent="0.25">
      <c r="A206" s="22"/>
      <c r="B206" s="326" t="s">
        <v>432</v>
      </c>
      <c r="C206" s="327" t="e">
        <f>+C205-C197</f>
        <v>#REF!</v>
      </c>
      <c r="D206" s="327" t="e">
        <f>+D205-D197</f>
        <v>#REF!</v>
      </c>
      <c r="E206" s="327" t="e">
        <f>+E205-E197</f>
        <v>#REF!</v>
      </c>
      <c r="F206" s="327" t="e">
        <f>+F205-F197</f>
        <v>#REF!</v>
      </c>
      <c r="G206" s="327"/>
      <c r="H206" s="327" t="e">
        <f>+H205-H197</f>
        <v>#REF!</v>
      </c>
      <c r="I206" s="327" t="e">
        <f>+I205-I197</f>
        <v>#REF!</v>
      </c>
      <c r="J206" s="327" t="e">
        <f>+J205-J197</f>
        <v>#REF!</v>
      </c>
      <c r="K206" s="328"/>
      <c r="L206" s="655"/>
      <c r="M206" s="656"/>
      <c r="N206" s="656"/>
      <c r="O206" s="655"/>
      <c r="P206" s="327" t="e">
        <f>+P205-P197</f>
        <v>#REF!</v>
      </c>
      <c r="Q206" s="327" t="e">
        <f>+Q205-Q197</f>
        <v>#REF!</v>
      </c>
      <c r="R206" s="327" t="e">
        <f>+R205-R197</f>
        <v>#REF!</v>
      </c>
      <c r="S206" s="327" t="e">
        <f>+S205-S197</f>
        <v>#REF!</v>
      </c>
      <c r="U206" s="74"/>
    </row>
    <row r="207" spans="1:21" hidden="1" x14ac:dyDescent="0.25">
      <c r="A207" s="22"/>
      <c r="B207" s="22"/>
      <c r="C207" s="73"/>
      <c r="D207" s="74"/>
      <c r="E207" s="74"/>
      <c r="F207" s="74"/>
      <c r="G207" s="74"/>
      <c r="H207" s="73"/>
      <c r="K207" s="74"/>
      <c r="L207" s="646"/>
      <c r="M207" s="647"/>
      <c r="N207" s="603"/>
      <c r="O207" s="648"/>
      <c r="P207" s="23"/>
      <c r="Q207" s="23"/>
      <c r="R207" s="23"/>
      <c r="S207" s="23"/>
      <c r="U207" s="74"/>
    </row>
    <row r="208" spans="1:21" hidden="1" x14ac:dyDescent="0.25">
      <c r="A208" s="22"/>
      <c r="B208" s="56" t="s">
        <v>428</v>
      </c>
      <c r="C208" s="73" t="e">
        <f>+C205-C182-C189</f>
        <v>#REF!</v>
      </c>
      <c r="D208" s="73" t="e">
        <f>+D205-D182-D189</f>
        <v>#REF!</v>
      </c>
      <c r="E208" s="73" t="e">
        <f>+E205-E182-E189</f>
        <v>#REF!</v>
      </c>
      <c r="F208" s="73" t="e">
        <f>+F205-F182-F189</f>
        <v>#REF!</v>
      </c>
      <c r="G208" s="73"/>
      <c r="H208" s="73" t="e">
        <f>+H205-H182-H189</f>
        <v>#REF!</v>
      </c>
      <c r="I208" s="73" t="e">
        <f>+I205-I182-I189</f>
        <v>#REF!</v>
      </c>
      <c r="J208" s="73" t="e">
        <f>+J205-J182-J189</f>
        <v>#REF!</v>
      </c>
      <c r="K208" s="74"/>
      <c r="L208" s="646"/>
      <c r="M208" s="647"/>
      <c r="N208" s="603"/>
      <c r="O208" s="648"/>
      <c r="P208" s="73" t="e">
        <f>+P205-P182-P189</f>
        <v>#REF!</v>
      </c>
      <c r="Q208" s="73" t="e">
        <f>+Q205-Q182-Q189</f>
        <v>#REF!</v>
      </c>
      <c r="R208" s="73" t="e">
        <f>+R205-R182-R189</f>
        <v>#REF!</v>
      </c>
      <c r="S208" s="73" t="e">
        <f>+S205-S182-S189</f>
        <v>#REF!</v>
      </c>
      <c r="U208" s="74"/>
    </row>
    <row r="209" spans="1:21" hidden="1" x14ac:dyDescent="0.25">
      <c r="A209" s="22"/>
      <c r="B209" s="326" t="s">
        <v>433</v>
      </c>
      <c r="C209" s="327" t="e">
        <f>+C208-C197</f>
        <v>#REF!</v>
      </c>
      <c r="D209" s="327" t="e">
        <f>+D208-D197</f>
        <v>#REF!</v>
      </c>
      <c r="E209" s="327" t="e">
        <f>+E208-E197</f>
        <v>#REF!</v>
      </c>
      <c r="F209" s="327" t="e">
        <f>+F208-F197</f>
        <v>#REF!</v>
      </c>
      <c r="G209" s="327"/>
      <c r="H209" s="327" t="e">
        <f>+H208-H197</f>
        <v>#REF!</v>
      </c>
      <c r="I209" s="327" t="e">
        <f>+I208-I197</f>
        <v>#REF!</v>
      </c>
      <c r="J209" s="327" t="e">
        <f>+J208-J197</f>
        <v>#REF!</v>
      </c>
      <c r="K209" s="328"/>
      <c r="L209" s="655"/>
      <c r="M209" s="656"/>
      <c r="N209" s="656"/>
      <c r="O209" s="655"/>
      <c r="P209" s="327" t="e">
        <f>+P208-P197</f>
        <v>#REF!</v>
      </c>
      <c r="Q209" s="327" t="e">
        <f>+Q208-Q197</f>
        <v>#REF!</v>
      </c>
      <c r="R209" s="327" t="e">
        <f>+R208-R197</f>
        <v>#REF!</v>
      </c>
      <c r="S209" s="327" t="e">
        <f>+S208-S197</f>
        <v>#REF!</v>
      </c>
      <c r="U209" s="74"/>
    </row>
    <row r="210" spans="1:21" hidden="1" x14ac:dyDescent="0.25">
      <c r="A210" s="22"/>
      <c r="B210" s="22"/>
      <c r="C210" s="73"/>
      <c r="D210" s="74"/>
      <c r="E210" s="74"/>
      <c r="F210" s="74"/>
      <c r="G210" s="74"/>
      <c r="H210" s="73"/>
      <c r="K210" s="74"/>
      <c r="L210" s="646"/>
      <c r="M210" s="647"/>
      <c r="N210" s="603"/>
      <c r="O210" s="648"/>
      <c r="P210" s="73"/>
      <c r="Q210" s="73"/>
      <c r="R210" s="73"/>
      <c r="S210" s="73"/>
      <c r="U210" s="74"/>
    </row>
    <row r="211" spans="1:21" hidden="1" x14ac:dyDescent="0.25">
      <c r="A211" s="22"/>
      <c r="B211" s="22"/>
      <c r="C211" s="73"/>
      <c r="D211" s="74"/>
      <c r="E211" s="74"/>
      <c r="F211" s="74"/>
      <c r="G211" s="74"/>
      <c r="H211" s="73"/>
      <c r="K211" s="74"/>
      <c r="L211" s="646"/>
      <c r="M211" s="647"/>
      <c r="N211" s="603"/>
      <c r="O211" s="648"/>
      <c r="P211" s="73"/>
      <c r="Q211" s="73"/>
      <c r="R211" s="73"/>
      <c r="S211" s="73"/>
      <c r="U211" s="74"/>
    </row>
    <row r="212" spans="1:21" hidden="1" x14ac:dyDescent="0.25">
      <c r="A212" s="56" t="s">
        <v>0</v>
      </c>
      <c r="B212" s="22"/>
      <c r="C212" s="73">
        <f>+C13</f>
        <v>66622000</v>
      </c>
      <c r="D212" s="74"/>
      <c r="E212" s="74"/>
      <c r="F212" s="74"/>
      <c r="G212" s="74"/>
      <c r="H212" s="73"/>
      <c r="K212" s="74"/>
      <c r="L212" s="646"/>
      <c r="M212" s="647"/>
      <c r="N212" s="603"/>
      <c r="O212" s="648"/>
      <c r="P212" s="73"/>
      <c r="Q212" s="73"/>
      <c r="R212" s="73"/>
      <c r="S212" s="73"/>
      <c r="U212" s="74"/>
    </row>
    <row r="213" spans="1:21" hidden="1" x14ac:dyDescent="0.25">
      <c r="B213" s="56" t="str">
        <f>+'4. Dr Gáspár HSZK'!A1</f>
        <v>Dr. Gáspár István HSZK</v>
      </c>
      <c r="C213" s="73">
        <f>+'4. Dr Gáspár HSZK'!C13</f>
        <v>26281954</v>
      </c>
      <c r="D213" s="73">
        <f>+'4. Dr Gáspár HSZK'!D13</f>
        <v>26281954</v>
      </c>
      <c r="E213" s="73">
        <f>+'4. Dr Gáspár HSZK'!E13</f>
        <v>26281954</v>
      </c>
      <c r="F213" s="73">
        <f>+'4. Dr Gáspár HSZK'!F13</f>
        <v>25037660</v>
      </c>
      <c r="G213" s="73"/>
      <c r="H213" s="73">
        <f>+'4. Dr Gáspár HSZK'!H13</f>
        <v>11842617</v>
      </c>
      <c r="I213" s="73">
        <f>+'4. Dr Gáspár HSZK'!I13</f>
        <v>18141800</v>
      </c>
      <c r="J213" s="73">
        <f>+'4. Dr Gáspár HSZK'!J13</f>
        <v>24992323</v>
      </c>
      <c r="K213" s="73"/>
      <c r="L213" s="648"/>
      <c r="M213" s="648"/>
      <c r="N213" s="648"/>
      <c r="O213" s="648"/>
      <c r="P213" s="73">
        <f>+'4. Dr Gáspár HSZK'!P13</f>
        <v>0</v>
      </c>
      <c r="Q213" s="73">
        <f>+'4. Dr Gáspár HSZK'!Q13</f>
        <v>0</v>
      </c>
      <c r="R213" s="73">
        <f>+'4. Dr Gáspár HSZK'!R13</f>
        <v>-1244294</v>
      </c>
      <c r="S213" s="73">
        <f>+'4. Dr Gáspár HSZK'!S13</f>
        <v>-1244294</v>
      </c>
      <c r="U213" s="74"/>
    </row>
    <row r="214" spans="1:21" hidden="1" x14ac:dyDescent="0.25">
      <c r="A214" s="22"/>
      <c r="B214" s="56" t="str">
        <f>+'5. Csicsergő'!A1</f>
        <v>SÜLYSÁPI CSICSERGŐ ÓVODA</v>
      </c>
      <c r="C214" s="73">
        <f>+'5. Csicsergő'!C13</f>
        <v>145684000</v>
      </c>
      <c r="D214" s="73">
        <f>+'5. Csicsergő'!D13</f>
        <v>145684000</v>
      </c>
      <c r="E214" s="73">
        <f>+'5. Csicsergő'!E13</f>
        <v>145684000</v>
      </c>
      <c r="F214" s="73">
        <f>+'5. Csicsergő'!F13</f>
        <v>147646000</v>
      </c>
      <c r="G214" s="73"/>
      <c r="H214" s="73">
        <f>+'5. Csicsergő'!H13</f>
        <v>69259443</v>
      </c>
      <c r="I214" s="73">
        <f>+'5. Csicsergő'!I13</f>
        <v>106851886</v>
      </c>
      <c r="J214" s="73">
        <f>+'5. Csicsergő'!J13</f>
        <v>147322762</v>
      </c>
      <c r="K214" s="73"/>
      <c r="L214" s="648"/>
      <c r="M214" s="648"/>
      <c r="N214" s="648"/>
      <c r="O214" s="648"/>
      <c r="P214" s="73">
        <f>+'5. Csicsergő'!P13</f>
        <v>0</v>
      </c>
      <c r="Q214" s="73">
        <f>+'5. Csicsergő'!Q13</f>
        <v>0</v>
      </c>
      <c r="R214" s="73">
        <f>+'5. Csicsergő'!R13</f>
        <v>1962000</v>
      </c>
      <c r="S214" s="73">
        <f>+'5. Csicsergő'!S13</f>
        <v>1962000</v>
      </c>
      <c r="U214" s="74"/>
    </row>
    <row r="215" spans="1:21" hidden="1" x14ac:dyDescent="0.25">
      <c r="A215" s="22"/>
      <c r="B215" s="22" t="str">
        <f>+'6. Gólyahír'!A1</f>
        <v>GÓLYAHÍR BÖLCSŐDE</v>
      </c>
      <c r="C215" s="73">
        <f>+'6. Gólyahír'!C13</f>
        <v>43340000</v>
      </c>
      <c r="D215" s="73">
        <f>+'6. Gólyahír'!D13</f>
        <v>43340000</v>
      </c>
      <c r="E215" s="73">
        <f>+'6. Gólyahír'!E13</f>
        <v>43340000</v>
      </c>
      <c r="F215" s="73">
        <f>+'6. Gólyahír'!F13</f>
        <v>43222000</v>
      </c>
      <c r="G215" s="73"/>
      <c r="H215" s="73">
        <f>+'6. Gólyahír'!H13</f>
        <v>20669168</v>
      </c>
      <c r="I215" s="73">
        <f>+'6. Gólyahír'!I13</f>
        <v>31333670</v>
      </c>
      <c r="J215" s="73">
        <f>+'6. Gólyahír'!J13</f>
        <v>43186814</v>
      </c>
      <c r="K215" s="73"/>
      <c r="L215" s="648"/>
      <c r="M215" s="648"/>
      <c r="N215" s="648"/>
      <c r="O215" s="648"/>
      <c r="P215" s="73">
        <f>+'6. Gólyahír'!P13</f>
        <v>0</v>
      </c>
      <c r="Q215" s="73">
        <f>+'6. Gólyahír'!Q13</f>
        <v>0</v>
      </c>
      <c r="R215" s="73">
        <f>+'6. Gólyahír'!R13</f>
        <v>-118000</v>
      </c>
      <c r="S215" s="73">
        <f>+'6. Gólyahír'!S13</f>
        <v>-118000</v>
      </c>
      <c r="U215" s="74"/>
    </row>
    <row r="216" spans="1:21" hidden="1" x14ac:dyDescent="0.25">
      <c r="A216" s="22"/>
      <c r="B216" s="73" t="str">
        <f>+'7. Polg.Hiv.'!A1</f>
        <v>POLGÁRMESTERI HIVATAL</v>
      </c>
      <c r="C216" s="73">
        <f>+'7. Polg.Hiv.'!C13</f>
        <v>102325600</v>
      </c>
      <c r="D216" s="73">
        <f>+'7. Polg.Hiv.'!D13</f>
        <v>113400700</v>
      </c>
      <c r="E216" s="73">
        <f>+'7. Polg.Hiv.'!E13</f>
        <v>113400700</v>
      </c>
      <c r="F216" s="73">
        <f>+'7. Polg.Hiv.'!F13</f>
        <v>107399109</v>
      </c>
      <c r="G216" s="73"/>
      <c r="H216" s="73">
        <f>+'7. Polg.Hiv.'!H13</f>
        <v>51012328</v>
      </c>
      <c r="I216" s="73">
        <f>+'7. Polg.Hiv.'!I13</f>
        <v>76482976</v>
      </c>
      <c r="J216" s="73">
        <f>+'7. Polg.Hiv.'!J13</f>
        <v>106599077</v>
      </c>
      <c r="K216" s="73"/>
      <c r="L216" s="648"/>
      <c r="M216" s="648"/>
      <c r="N216" s="648"/>
      <c r="O216" s="648"/>
      <c r="P216" s="73">
        <f>+'7. Polg.Hiv.'!P13</f>
        <v>11075100</v>
      </c>
      <c r="Q216" s="73">
        <f>+'7. Polg.Hiv.'!Q13</f>
        <v>0</v>
      </c>
      <c r="R216" s="73">
        <f>+'7. Polg.Hiv.'!R13</f>
        <v>-6001591</v>
      </c>
      <c r="S216" s="73">
        <f>+'7. Polg.Hiv.'!S13</f>
        <v>5073509</v>
      </c>
      <c r="U216" s="74"/>
    </row>
    <row r="217" spans="1:21" hidden="1" x14ac:dyDescent="0.25">
      <c r="A217" s="22"/>
      <c r="B217" s="73" t="str">
        <f>+'8. WAMKK'!A1</f>
        <v>Wass Albert Művelődési Központ és Könyvtár</v>
      </c>
      <c r="C217" s="73">
        <f>+'8. WAMKK'!C13</f>
        <v>13970000</v>
      </c>
      <c r="D217" s="73">
        <f>+'8. WAMKK'!D13</f>
        <v>13970000</v>
      </c>
      <c r="E217" s="73">
        <f>+'8. WAMKK'!E13</f>
        <v>13970000</v>
      </c>
      <c r="F217" s="73">
        <f>+'8. WAMKK'!F13</f>
        <v>13970000</v>
      </c>
      <c r="G217" s="73"/>
      <c r="H217" s="73">
        <f>+'8. WAMKK'!H13</f>
        <v>6042177</v>
      </c>
      <c r="I217" s="73">
        <f>+'8. WAMKK'!I13</f>
        <v>9018873</v>
      </c>
      <c r="J217" s="73">
        <f>+'8. WAMKK'!J13</f>
        <v>13510045</v>
      </c>
      <c r="K217" s="73"/>
      <c r="L217" s="648"/>
      <c r="M217" s="648"/>
      <c r="N217" s="648"/>
      <c r="O217" s="648"/>
      <c r="P217" s="73">
        <f>+'8. WAMKK'!P13</f>
        <v>0</v>
      </c>
      <c r="Q217" s="73">
        <f>+'8. WAMKK'!Q13</f>
        <v>0</v>
      </c>
      <c r="R217" s="73">
        <f>+'8. WAMKK'!R13</f>
        <v>0</v>
      </c>
      <c r="S217" s="73">
        <f>+'8. WAMKK'!S13</f>
        <v>0</v>
      </c>
      <c r="U217" s="74"/>
    </row>
    <row r="218" spans="1:21" hidden="1" x14ac:dyDescent="0.25">
      <c r="A218" s="22"/>
      <c r="B218" s="73" t="str">
        <f>+'9. Közp. Konyha'!A1</f>
        <v>Központi Konyha</v>
      </c>
      <c r="C218" s="73">
        <f>+'9. Közp. Konyha'!C13</f>
        <v>29372000</v>
      </c>
      <c r="D218" s="73">
        <f>+'9. Közp. Konyha'!D13</f>
        <v>29372000</v>
      </c>
      <c r="E218" s="73">
        <f>+'9. Közp. Konyha'!E13</f>
        <v>29372000</v>
      </c>
      <c r="F218" s="73">
        <f>+'9. Közp. Konyha'!F13</f>
        <v>31536000</v>
      </c>
      <c r="G218" s="73"/>
      <c r="H218" s="73">
        <f>+'9. Közp. Konyha'!H13</f>
        <v>14524060</v>
      </c>
      <c r="I218" s="73">
        <f>+'9. Közp. Konyha'!I13</f>
        <v>22067739</v>
      </c>
      <c r="J218" s="73">
        <f>+'9. Közp. Konyha'!J13</f>
        <v>30727025</v>
      </c>
      <c r="K218" s="73"/>
      <c r="L218" s="648"/>
      <c r="M218" s="648"/>
      <c r="N218" s="648"/>
      <c r="O218" s="648"/>
      <c r="P218" s="73">
        <f>+'9. Közp. Konyha'!P13</f>
        <v>0</v>
      </c>
      <c r="Q218" s="73">
        <f>+'9. Közp. Konyha'!Q13</f>
        <v>0</v>
      </c>
      <c r="R218" s="73">
        <f>+'9. Közp. Konyha'!R13</f>
        <v>2164000</v>
      </c>
      <c r="S218" s="73">
        <f>+'9. Közp. Konyha'!S13</f>
        <v>2164000</v>
      </c>
      <c r="U218" s="74"/>
    </row>
    <row r="219" spans="1:21" hidden="1" x14ac:dyDescent="0.25">
      <c r="A219" s="22"/>
      <c r="B219" s="334" t="s">
        <v>437</v>
      </c>
      <c r="C219" s="335">
        <f>SUM(C213:C218)</f>
        <v>360973554</v>
      </c>
      <c r="D219" s="335">
        <f>SUM(D213:D218)</f>
        <v>372048654</v>
      </c>
      <c r="E219" s="335">
        <f>SUM(E213:E218)</f>
        <v>372048654</v>
      </c>
      <c r="F219" s="335">
        <f>SUM(F213:F218)</f>
        <v>368810769</v>
      </c>
      <c r="G219" s="335"/>
      <c r="H219" s="335">
        <f>SUM(H213:H218)</f>
        <v>173349793</v>
      </c>
      <c r="I219" s="335">
        <f>SUM(I213:I218)</f>
        <v>263896944</v>
      </c>
      <c r="J219" s="335">
        <f>SUM(J213:J218)</f>
        <v>366338046</v>
      </c>
      <c r="K219" s="335"/>
      <c r="L219" s="657"/>
      <c r="M219" s="657"/>
      <c r="N219" s="657"/>
      <c r="O219" s="657"/>
      <c r="P219" s="335">
        <f>SUM(P213:P218)</f>
        <v>11075100</v>
      </c>
      <c r="Q219" s="335">
        <f>SUM(Q213:Q218)</f>
        <v>0</v>
      </c>
      <c r="R219" s="335">
        <f>SUM(R213:R218)</f>
        <v>-3237885</v>
      </c>
      <c r="S219" s="336">
        <f>SUM(S213:S218)</f>
        <v>7837215</v>
      </c>
      <c r="U219" s="74"/>
    </row>
    <row r="220" spans="1:21" hidden="1" x14ac:dyDescent="0.25">
      <c r="A220" s="22"/>
      <c r="B220" s="22"/>
      <c r="C220" s="73"/>
      <c r="D220" s="74"/>
      <c r="E220" s="74"/>
      <c r="F220" s="74"/>
      <c r="G220" s="74"/>
      <c r="H220" s="73"/>
      <c r="K220" s="74"/>
      <c r="L220" s="646"/>
      <c r="M220" s="647"/>
      <c r="N220" s="603"/>
      <c r="O220" s="648"/>
      <c r="P220" s="73"/>
      <c r="Q220" s="73"/>
      <c r="R220" s="73"/>
      <c r="S220" s="73"/>
      <c r="U220" s="74"/>
    </row>
    <row r="221" spans="1:21" hidden="1" x14ac:dyDescent="0.25">
      <c r="A221" s="56" t="s">
        <v>22</v>
      </c>
      <c r="B221" s="56" t="str">
        <f t="shared" ref="B221:B226" si="71">+B213</f>
        <v>Dr. Gáspár István HSZK</v>
      </c>
      <c r="C221" s="73">
        <f>+'4. Dr Gáspár HSZK'!C29</f>
        <v>4876356.03</v>
      </c>
      <c r="D221" s="73">
        <f>+'4. Dr Gáspár HSZK'!D29</f>
        <v>4876356</v>
      </c>
      <c r="E221" s="73">
        <f>+'4. Dr Gáspár HSZK'!E29</f>
        <v>4876356</v>
      </c>
      <c r="F221" s="73">
        <f>+'4. Dr Gáspár HSZK'!F29</f>
        <v>4876356</v>
      </c>
      <c r="G221" s="73"/>
      <c r="H221" s="73">
        <f>+'4. Dr Gáspár HSZK'!H29</f>
        <v>2545934</v>
      </c>
      <c r="I221" s="73">
        <f>+'4. Dr Gáspár HSZK'!I29</f>
        <v>3690717</v>
      </c>
      <c r="J221" s="73">
        <f>+'4. Dr Gáspár HSZK'!J29</f>
        <v>4832317</v>
      </c>
      <c r="K221" s="73"/>
      <c r="L221" s="648"/>
      <c r="M221" s="648"/>
      <c r="N221" s="648"/>
      <c r="O221" s="648"/>
      <c r="P221" s="73">
        <f>+'4. Dr Gáspár HSZK'!P29</f>
        <v>-3.0000000260770321E-2</v>
      </c>
      <c r="Q221" s="73">
        <f>+'4. Dr Gáspár HSZK'!Q29</f>
        <v>0</v>
      </c>
      <c r="R221" s="73">
        <f>+'4. Dr Gáspár HSZK'!R29</f>
        <v>0</v>
      </c>
      <c r="S221" s="73">
        <f>+'4. Dr Gáspár HSZK'!S29</f>
        <v>-3.0000000260770321E-2</v>
      </c>
      <c r="U221" s="74"/>
    </row>
    <row r="222" spans="1:21" hidden="1" x14ac:dyDescent="0.25">
      <c r="A222" s="22"/>
      <c r="B222" s="56" t="str">
        <f t="shared" si="71"/>
        <v>SÜLYSÁPI CSICSERGŐ ÓVODA</v>
      </c>
      <c r="C222" s="73">
        <f>+'5. Csicsergő'!C30</f>
        <v>30000000</v>
      </c>
      <c r="D222" s="73">
        <f>+'5. Csicsergő'!D30</f>
        <v>30000000</v>
      </c>
      <c r="E222" s="73">
        <f>+'5. Csicsergő'!E30</f>
        <v>30000000</v>
      </c>
      <c r="F222" s="73">
        <f>+'5. Csicsergő'!F30</f>
        <v>28038000</v>
      </c>
      <c r="G222" s="73"/>
      <c r="H222" s="73">
        <f>+'5. Csicsergő'!H30</f>
        <v>14696128</v>
      </c>
      <c r="I222" s="73">
        <f>+'5. Csicsergő'!I30</f>
        <v>21528393</v>
      </c>
      <c r="J222" s="73">
        <f>+'5. Csicsergő'!J30</f>
        <v>28037568</v>
      </c>
      <c r="K222" s="73"/>
      <c r="L222" s="648"/>
      <c r="M222" s="648"/>
      <c r="N222" s="648"/>
      <c r="O222" s="648"/>
      <c r="P222" s="73">
        <f>+'5. Csicsergő'!P30</f>
        <v>0</v>
      </c>
      <c r="Q222" s="73">
        <f>+'5. Csicsergő'!Q30</f>
        <v>0</v>
      </c>
      <c r="R222" s="73">
        <f>+'5. Csicsergő'!R30</f>
        <v>-1962000</v>
      </c>
      <c r="S222" s="73">
        <f>+'5. Csicsergő'!S30</f>
        <v>-1962000</v>
      </c>
      <c r="U222" s="74"/>
    </row>
    <row r="223" spans="1:21" hidden="1" x14ac:dyDescent="0.25">
      <c r="A223" s="22"/>
      <c r="B223" s="56" t="str">
        <f t="shared" si="71"/>
        <v>GÓLYAHÍR BÖLCSŐDE</v>
      </c>
      <c r="C223" s="73">
        <f>+'6. Gólyahír'!C29</f>
        <v>8153000</v>
      </c>
      <c r="D223" s="73">
        <f>+'6. Gólyahír'!D29</f>
        <v>8153000</v>
      </c>
      <c r="E223" s="73">
        <f>+'6. Gólyahír'!E29</f>
        <v>8153000</v>
      </c>
      <c r="F223" s="73">
        <f>+'6. Gólyahír'!F29</f>
        <v>8558000</v>
      </c>
      <c r="G223" s="73"/>
      <c r="H223" s="73">
        <f>+'6. Gólyahír'!H29</f>
        <v>4692885</v>
      </c>
      <c r="I223" s="73">
        <f>+'6. Gólyahír'!I29</f>
        <v>6664922</v>
      </c>
      <c r="J223" s="73">
        <f>+'6. Gólyahír'!J29</f>
        <v>8555513</v>
      </c>
      <c r="K223" s="73"/>
      <c r="L223" s="648"/>
      <c r="M223" s="648"/>
      <c r="N223" s="648"/>
      <c r="O223" s="648"/>
      <c r="P223" s="73">
        <f>+'6. Gólyahír'!P29</f>
        <v>0</v>
      </c>
      <c r="Q223" s="73">
        <f>+'6. Gólyahír'!Q29</f>
        <v>0</v>
      </c>
      <c r="R223" s="73">
        <f>+'6. Gólyahír'!R29</f>
        <v>405000</v>
      </c>
      <c r="S223" s="73">
        <f>+'6. Gólyahír'!S29</f>
        <v>405000</v>
      </c>
      <c r="U223" s="74"/>
    </row>
    <row r="224" spans="1:21" hidden="1" x14ac:dyDescent="0.25">
      <c r="A224" s="22"/>
      <c r="B224" s="56" t="str">
        <f t="shared" si="71"/>
        <v>POLGÁRMESTERI HIVATAL</v>
      </c>
      <c r="C224" s="73">
        <f>+'7. Polg.Hiv.'!C29</f>
        <v>20252000</v>
      </c>
      <c r="D224" s="73">
        <f>+'7. Polg.Hiv.'!D29</f>
        <v>20498675</v>
      </c>
      <c r="E224" s="73">
        <f>+'7. Polg.Hiv.'!E29</f>
        <v>20521473</v>
      </c>
      <c r="F224" s="73">
        <f>+'7. Polg.Hiv.'!F29</f>
        <v>21201473</v>
      </c>
      <c r="G224" s="73"/>
      <c r="H224" s="73">
        <f>+'7. Polg.Hiv.'!H29</f>
        <v>11664414</v>
      </c>
      <c r="I224" s="73">
        <f>+'7. Polg.Hiv.'!I29</f>
        <v>16279513</v>
      </c>
      <c r="J224" s="73">
        <f>+'7. Polg.Hiv.'!J29</f>
        <v>20924717</v>
      </c>
      <c r="K224" s="73"/>
      <c r="L224" s="648"/>
      <c r="M224" s="648"/>
      <c r="N224" s="648"/>
      <c r="O224" s="648"/>
      <c r="P224" s="73">
        <f>+'7. Polg.Hiv.'!P29</f>
        <v>246675</v>
      </c>
      <c r="Q224" s="73">
        <f>+'7. Polg.Hiv.'!Q29</f>
        <v>22798</v>
      </c>
      <c r="R224" s="73">
        <f>+'7. Polg.Hiv.'!R29</f>
        <v>680000</v>
      </c>
      <c r="S224" s="73">
        <f>+'7. Polg.Hiv.'!S29</f>
        <v>949473</v>
      </c>
      <c r="U224" s="74"/>
    </row>
    <row r="225" spans="1:21" hidden="1" x14ac:dyDescent="0.25">
      <c r="A225" s="22"/>
      <c r="B225" s="56" t="str">
        <f t="shared" si="71"/>
        <v>Wass Albert Művelődési Központ és Könyvtár</v>
      </c>
      <c r="C225" s="73">
        <f>+'8. WAMKK'!C29</f>
        <v>3000000</v>
      </c>
      <c r="D225" s="73">
        <f>+'8. WAMKK'!D29</f>
        <v>3000000</v>
      </c>
      <c r="E225" s="73">
        <f>+'8. WAMKK'!E29</f>
        <v>3000000</v>
      </c>
      <c r="F225" s="73">
        <f>+'8. WAMKK'!F29</f>
        <v>2574000</v>
      </c>
      <c r="G225" s="73"/>
      <c r="H225" s="73">
        <f>+'8. WAMKK'!H29</f>
        <v>1315967</v>
      </c>
      <c r="I225" s="73">
        <f>+'8. WAMKK'!I29</f>
        <v>1869747</v>
      </c>
      <c r="J225" s="73">
        <f>+'8. WAMKK'!J29</f>
        <v>2573467</v>
      </c>
      <c r="K225" s="73"/>
      <c r="L225" s="648"/>
      <c r="M225" s="648"/>
      <c r="N225" s="648"/>
      <c r="O225" s="648"/>
      <c r="P225" s="73">
        <f>+'8. WAMKK'!P29</f>
        <v>0</v>
      </c>
      <c r="Q225" s="73">
        <f>+'8. WAMKK'!Q29</f>
        <v>0</v>
      </c>
      <c r="R225" s="73">
        <f>+'8. WAMKK'!R29</f>
        <v>-426000</v>
      </c>
      <c r="S225" s="73">
        <f>+'8. WAMKK'!S29</f>
        <v>-426000</v>
      </c>
      <c r="U225" s="74"/>
    </row>
    <row r="226" spans="1:21" hidden="1" x14ac:dyDescent="0.25">
      <c r="A226" s="22"/>
      <c r="B226" s="56" t="str">
        <f t="shared" si="71"/>
        <v>Központi Konyha</v>
      </c>
      <c r="C226" s="73">
        <f>+'9. Közp. Konyha'!C29</f>
        <v>5600000</v>
      </c>
      <c r="D226" s="73">
        <f>+'9. Közp. Konyha'!D29</f>
        <v>5600000</v>
      </c>
      <c r="E226" s="73">
        <f>+'9. Közp. Konyha'!E29</f>
        <v>5600000</v>
      </c>
      <c r="F226" s="73">
        <f>+'9. Közp. Konyha'!F29</f>
        <v>6065000</v>
      </c>
      <c r="G226" s="73"/>
      <c r="H226" s="73">
        <f>+'9. Közp. Konyha'!H29</f>
        <v>3351913</v>
      </c>
      <c r="I226" s="73">
        <f>+'9. Közp. Konyha'!I29</f>
        <v>4719990</v>
      </c>
      <c r="J226" s="73">
        <f>+'9. Közp. Konyha'!J29</f>
        <v>6064583</v>
      </c>
      <c r="K226" s="73"/>
      <c r="L226" s="648"/>
      <c r="M226" s="648"/>
      <c r="N226" s="648"/>
      <c r="O226" s="648"/>
      <c r="P226" s="73">
        <f>+'9. Közp. Konyha'!P29</f>
        <v>0</v>
      </c>
      <c r="Q226" s="73">
        <f>+'9. Közp. Konyha'!Q29</f>
        <v>0</v>
      </c>
      <c r="R226" s="73">
        <f>+'9. Közp. Konyha'!R29</f>
        <v>465000</v>
      </c>
      <c r="S226" s="73">
        <f>+'9. Közp. Konyha'!S29</f>
        <v>465000</v>
      </c>
      <c r="U226" s="74"/>
    </row>
    <row r="227" spans="1:21" hidden="1" x14ac:dyDescent="0.25">
      <c r="A227" s="22"/>
      <c r="B227" s="334" t="s">
        <v>437</v>
      </c>
      <c r="C227" s="335">
        <f>SUM(C221:C226)</f>
        <v>71881356.030000001</v>
      </c>
      <c r="D227" s="335">
        <f>SUM(D221:D226)</f>
        <v>72128031</v>
      </c>
      <c r="E227" s="335">
        <f>SUM(E221:E226)</f>
        <v>72150829</v>
      </c>
      <c r="F227" s="335">
        <f>SUM(F221:F226)</f>
        <v>71312829</v>
      </c>
      <c r="G227" s="335"/>
      <c r="H227" s="335">
        <f>SUM(H221:H226)</f>
        <v>38267241</v>
      </c>
      <c r="I227" s="335">
        <f>SUM(I221:I226)</f>
        <v>54753282</v>
      </c>
      <c r="J227" s="335">
        <f>SUM(J221:J226)</f>
        <v>70988165</v>
      </c>
      <c r="K227" s="335"/>
      <c r="L227" s="657"/>
      <c r="M227" s="657"/>
      <c r="N227" s="657"/>
      <c r="O227" s="657"/>
      <c r="P227" s="335">
        <f>SUM(P221:P226)</f>
        <v>246674.96999999974</v>
      </c>
      <c r="Q227" s="335">
        <f>SUM(Q221:Q226)</f>
        <v>22798</v>
      </c>
      <c r="R227" s="335">
        <f>SUM(R221:R226)</f>
        <v>-838000</v>
      </c>
      <c r="S227" s="336">
        <f>SUM(S221:S226)</f>
        <v>-568527.03000000026</v>
      </c>
      <c r="U227" s="74"/>
    </row>
    <row r="228" spans="1:21" hidden="1" x14ac:dyDescent="0.25">
      <c r="A228" s="22"/>
      <c r="B228" s="22"/>
      <c r="C228" s="73"/>
      <c r="D228" s="74"/>
      <c r="E228" s="74"/>
      <c r="F228" s="74"/>
      <c r="G228" s="74"/>
      <c r="H228" s="73"/>
      <c r="K228" s="74"/>
      <c r="L228" s="646"/>
      <c r="M228" s="647"/>
      <c r="N228" s="603"/>
      <c r="O228" s="648"/>
      <c r="P228" s="73"/>
      <c r="Q228" s="73"/>
      <c r="R228" s="73"/>
      <c r="S228" s="73"/>
      <c r="U228" s="74"/>
    </row>
    <row r="229" spans="1:21" hidden="1" x14ac:dyDescent="0.25">
      <c r="A229" s="56" t="s">
        <v>25</v>
      </c>
      <c r="B229" s="56" t="str">
        <f t="shared" ref="B229:B234" si="72">+B221</f>
        <v>Dr. Gáspár István HSZK</v>
      </c>
      <c r="C229" s="73">
        <f>+'4. Dr Gáspár HSZK'!C32</f>
        <v>10130000</v>
      </c>
      <c r="D229" s="73">
        <f>+'4. Dr Gáspár HSZK'!D32</f>
        <v>10130000</v>
      </c>
      <c r="E229" s="73">
        <f>+'4. Dr Gáspár HSZK'!E32</f>
        <v>10130000</v>
      </c>
      <c r="F229" s="73">
        <f>+'4. Dr Gáspár HSZK'!F32</f>
        <v>9678988</v>
      </c>
      <c r="G229" s="73"/>
      <c r="H229" s="73">
        <f>+'4. Dr Gáspár HSZK'!H32</f>
        <v>3117797</v>
      </c>
      <c r="I229" s="73">
        <f>+'4. Dr Gáspár HSZK'!I32</f>
        <v>5702808</v>
      </c>
      <c r="J229" s="73">
        <f>+'4. Dr Gáspár HSZK'!J32</f>
        <v>8871614</v>
      </c>
      <c r="K229" s="73"/>
      <c r="L229" s="648"/>
      <c r="M229" s="648"/>
      <c r="N229" s="648"/>
      <c r="O229" s="648"/>
      <c r="P229" s="73">
        <f>+'4. Dr Gáspár HSZK'!P32</f>
        <v>0</v>
      </c>
      <c r="Q229" s="73">
        <f>+'4. Dr Gáspár HSZK'!Q32</f>
        <v>0</v>
      </c>
      <c r="R229" s="73">
        <f>+'4. Dr Gáspár HSZK'!R32</f>
        <v>-451012</v>
      </c>
      <c r="S229" s="73">
        <f>+'4. Dr Gáspár HSZK'!S32</f>
        <v>-451012</v>
      </c>
      <c r="U229" s="74"/>
    </row>
    <row r="230" spans="1:21" hidden="1" x14ac:dyDescent="0.25">
      <c r="A230" s="22"/>
      <c r="B230" s="56" t="str">
        <f t="shared" si="72"/>
        <v>SÜLYSÁPI CSICSERGŐ ÓVODA</v>
      </c>
      <c r="C230" s="73">
        <f>+'5. Csicsergő'!C33</f>
        <v>15885000</v>
      </c>
      <c r="D230" s="73">
        <f>+'5. Csicsergő'!D33</f>
        <v>15885000</v>
      </c>
      <c r="E230" s="73">
        <f>+'5. Csicsergő'!E33</f>
        <v>15885000</v>
      </c>
      <c r="F230" s="73">
        <f>+'5. Csicsergő'!F33</f>
        <v>12683714</v>
      </c>
      <c r="G230" s="73"/>
      <c r="H230" s="73">
        <f>+'5. Csicsergő'!H33</f>
        <v>6272583</v>
      </c>
      <c r="I230" s="73">
        <f>+'5. Csicsergő'!I33</f>
        <v>8740932</v>
      </c>
      <c r="J230" s="73">
        <f>+'5. Csicsergő'!J33</f>
        <v>12553691</v>
      </c>
      <c r="K230" s="73"/>
      <c r="L230" s="648"/>
      <c r="M230" s="648"/>
      <c r="N230" s="648"/>
      <c r="O230" s="648"/>
      <c r="P230" s="73">
        <f>+'5. Csicsergő'!P33</f>
        <v>0</v>
      </c>
      <c r="Q230" s="73">
        <f>+'5. Csicsergő'!Q33</f>
        <v>0</v>
      </c>
      <c r="R230" s="73">
        <f>+'5. Csicsergő'!R33</f>
        <v>-3201286</v>
      </c>
      <c r="S230" s="73">
        <f>+'5. Csicsergő'!S33</f>
        <v>-3201286</v>
      </c>
      <c r="U230" s="74"/>
    </row>
    <row r="231" spans="1:21" hidden="1" x14ac:dyDescent="0.25">
      <c r="A231" s="22"/>
      <c r="B231" s="56" t="str">
        <f t="shared" si="72"/>
        <v>GÓLYAHÍR BÖLCSŐDE</v>
      </c>
      <c r="C231" s="73">
        <f>+'6. Gólyahír'!C32</f>
        <v>13785000</v>
      </c>
      <c r="D231" s="73">
        <f>+'6. Gólyahír'!D32</f>
        <v>13305000</v>
      </c>
      <c r="E231" s="73">
        <f>+'6. Gólyahír'!E32</f>
        <v>13305000</v>
      </c>
      <c r="F231" s="73">
        <f>+'6. Gólyahír'!F32</f>
        <v>12184263</v>
      </c>
      <c r="G231" s="73"/>
      <c r="H231" s="73">
        <f>+'6. Gólyahír'!H32</f>
        <v>5536614</v>
      </c>
      <c r="I231" s="73">
        <f>+'6. Gólyahír'!I32</f>
        <v>8025288</v>
      </c>
      <c r="J231" s="73">
        <f>+'6. Gólyahír'!J32</f>
        <v>10368642</v>
      </c>
      <c r="K231" s="73"/>
      <c r="L231" s="648"/>
      <c r="M231" s="648"/>
      <c r="N231" s="648"/>
      <c r="O231" s="648"/>
      <c r="P231" s="73">
        <f>+'6. Gólyahír'!P32</f>
        <v>-480000</v>
      </c>
      <c r="Q231" s="73">
        <f>+'6. Gólyahír'!Q32</f>
        <v>0</v>
      </c>
      <c r="R231" s="73">
        <f>+'6. Gólyahír'!R32</f>
        <v>-1120737</v>
      </c>
      <c r="S231" s="73">
        <f>+'6. Gólyahír'!S32</f>
        <v>-1600737</v>
      </c>
      <c r="U231" s="74"/>
    </row>
    <row r="232" spans="1:21" hidden="1" x14ac:dyDescent="0.25">
      <c r="A232" s="22"/>
      <c r="B232" s="56" t="str">
        <f t="shared" si="72"/>
        <v>POLGÁRMESTERI HIVATAL</v>
      </c>
      <c r="C232" s="73">
        <f>+'7. Polg.Hiv.'!C32</f>
        <v>11128000</v>
      </c>
      <c r="D232" s="73">
        <f>+'7. Polg.Hiv.'!D32</f>
        <v>11011573</v>
      </c>
      <c r="E232" s="73">
        <f>+'7. Polg.Hiv.'!E32</f>
        <v>11235624</v>
      </c>
      <c r="F232" s="73">
        <f>+'7. Polg.Hiv.'!F32</f>
        <v>10587993</v>
      </c>
      <c r="G232" s="73"/>
      <c r="H232" s="73">
        <f>+'7. Polg.Hiv.'!H32</f>
        <v>4746493</v>
      </c>
      <c r="I232" s="73">
        <f>+'7. Polg.Hiv.'!I32</f>
        <v>7111916</v>
      </c>
      <c r="J232" s="73">
        <f>+'7. Polg.Hiv.'!J32</f>
        <v>9763591</v>
      </c>
      <c r="K232" s="73"/>
      <c r="L232" s="648"/>
      <c r="M232" s="648"/>
      <c r="N232" s="648"/>
      <c r="O232" s="648"/>
      <c r="P232" s="73">
        <f>+'7. Polg.Hiv.'!P32</f>
        <v>-116427</v>
      </c>
      <c r="Q232" s="73">
        <f>+'7. Polg.Hiv.'!Q32</f>
        <v>224051</v>
      </c>
      <c r="R232" s="73">
        <f>+'7. Polg.Hiv.'!R32</f>
        <v>-647631</v>
      </c>
      <c r="S232" s="73">
        <f>+'7. Polg.Hiv.'!S32</f>
        <v>-540007</v>
      </c>
      <c r="U232" s="74"/>
    </row>
    <row r="233" spans="1:21" hidden="1" x14ac:dyDescent="0.25">
      <c r="A233" s="22"/>
      <c r="B233" s="56" t="str">
        <f t="shared" si="72"/>
        <v>Wass Albert Művelődési Központ és Könyvtár</v>
      </c>
      <c r="C233" s="73">
        <f>+'8. WAMKK'!C32</f>
        <v>13092000</v>
      </c>
      <c r="D233" s="73">
        <f>+'8. WAMKK'!D32</f>
        <v>13019600</v>
      </c>
      <c r="E233" s="73">
        <f>+'8. WAMKK'!E32</f>
        <v>16293600</v>
      </c>
      <c r="F233" s="73">
        <f>+'8. WAMKK'!F32</f>
        <v>14701260</v>
      </c>
      <c r="G233" s="73"/>
      <c r="H233" s="73">
        <f>+'8. WAMKK'!H32</f>
        <v>4969781</v>
      </c>
      <c r="I233" s="73">
        <f>+'8. WAMKK'!I32</f>
        <v>12120491</v>
      </c>
      <c r="J233" s="73">
        <f>+'8. WAMKK'!J32</f>
        <v>14257854</v>
      </c>
      <c r="K233" s="73"/>
      <c r="L233" s="648"/>
      <c r="M233" s="648"/>
      <c r="N233" s="648"/>
      <c r="O233" s="648"/>
      <c r="P233" s="73">
        <f>+'8. WAMKK'!P32</f>
        <v>-72400</v>
      </c>
      <c r="Q233" s="73">
        <f>+'8. WAMKK'!Q32</f>
        <v>3274000</v>
      </c>
      <c r="R233" s="73">
        <f>+'8. WAMKK'!R32</f>
        <v>-1592340</v>
      </c>
      <c r="S233" s="73">
        <f>+'8. WAMKK'!S32</f>
        <v>1609260</v>
      </c>
      <c r="U233" s="74"/>
    </row>
    <row r="234" spans="1:21" hidden="1" x14ac:dyDescent="0.25">
      <c r="A234" s="22"/>
      <c r="B234" s="56" t="str">
        <f t="shared" si="72"/>
        <v>Központi Konyha</v>
      </c>
      <c r="C234" s="73">
        <f>+'9. Közp. Konyha'!C32</f>
        <v>71371000</v>
      </c>
      <c r="D234" s="73">
        <f>+'9. Közp. Konyha'!D32</f>
        <v>71371000</v>
      </c>
      <c r="E234" s="73">
        <f>+'9. Közp. Konyha'!E32</f>
        <v>71371000</v>
      </c>
      <c r="F234" s="73">
        <f>+'9. Közp. Konyha'!F32</f>
        <v>68742000</v>
      </c>
      <c r="G234" s="73"/>
      <c r="H234" s="73">
        <f>+'9. Közp. Konyha'!H32</f>
        <v>35582506</v>
      </c>
      <c r="I234" s="73">
        <f>+'9. Közp. Konyha'!I32</f>
        <v>44993253</v>
      </c>
      <c r="J234" s="73">
        <f>+'9. Közp. Konyha'!J32</f>
        <v>65438408</v>
      </c>
      <c r="K234" s="73"/>
      <c r="L234" s="648"/>
      <c r="M234" s="648"/>
      <c r="N234" s="648"/>
      <c r="O234" s="648"/>
      <c r="P234" s="73">
        <f>+'9. Közp. Konyha'!P32</f>
        <v>0</v>
      </c>
      <c r="Q234" s="73">
        <f>+'9. Közp. Konyha'!Q32</f>
        <v>0</v>
      </c>
      <c r="R234" s="73">
        <f>+'9. Közp. Konyha'!R32</f>
        <v>-2629000</v>
      </c>
      <c r="S234" s="73">
        <f>+'9. Közp. Konyha'!S32</f>
        <v>-2629000</v>
      </c>
      <c r="U234" s="74"/>
    </row>
    <row r="235" spans="1:21" hidden="1" x14ac:dyDescent="0.25">
      <c r="A235" s="22"/>
      <c r="B235" s="334" t="s">
        <v>437</v>
      </c>
      <c r="C235" s="335">
        <f>SUM(C229:C234)</f>
        <v>135391000</v>
      </c>
      <c r="D235" s="335">
        <f>SUM(D229:D234)</f>
        <v>134722173</v>
      </c>
      <c r="E235" s="335">
        <f>SUM(E229:E234)</f>
        <v>138220224</v>
      </c>
      <c r="F235" s="335">
        <f>SUM(F229:F234)</f>
        <v>128578218</v>
      </c>
      <c r="G235" s="335"/>
      <c r="H235" s="335">
        <f>SUM(H229:H234)</f>
        <v>60225774</v>
      </c>
      <c r="I235" s="335">
        <f>SUM(I229:I234)</f>
        <v>86694688</v>
      </c>
      <c r="J235" s="335">
        <f>SUM(J229:J234)</f>
        <v>121253800</v>
      </c>
      <c r="K235" s="335"/>
      <c r="L235" s="657"/>
      <c r="M235" s="657"/>
      <c r="N235" s="657"/>
      <c r="O235" s="657"/>
      <c r="P235" s="335">
        <f>SUM(P229:P234)</f>
        <v>-668827</v>
      </c>
      <c r="Q235" s="335">
        <f>SUM(Q229:Q234)</f>
        <v>3498051</v>
      </c>
      <c r="R235" s="335">
        <f>SUM(R229:R234)</f>
        <v>-9642006</v>
      </c>
      <c r="S235" s="336">
        <f>SUM(S229:S234)</f>
        <v>-6812782</v>
      </c>
      <c r="U235" s="74"/>
    </row>
    <row r="236" spans="1:21" hidden="1" x14ac:dyDescent="0.25">
      <c r="A236" s="22"/>
      <c r="B236" s="22"/>
      <c r="C236" s="73"/>
      <c r="D236" s="74"/>
      <c r="E236" s="74"/>
      <c r="F236" s="74"/>
      <c r="G236" s="74"/>
      <c r="H236" s="73"/>
      <c r="K236" s="74"/>
      <c r="L236" s="646"/>
      <c r="M236" s="647"/>
      <c r="N236" s="603"/>
      <c r="O236" s="648"/>
      <c r="P236" s="73"/>
      <c r="Q236" s="73"/>
      <c r="R236" s="73"/>
      <c r="S236" s="73"/>
      <c r="U236" s="74"/>
    </row>
    <row r="237" spans="1:21" hidden="1" x14ac:dyDescent="0.25">
      <c r="A237" s="22"/>
      <c r="B237" s="22"/>
      <c r="C237" s="73">
        <f>+C227+C219</f>
        <v>432854910.02999997</v>
      </c>
      <c r="D237" s="74"/>
      <c r="E237" s="74"/>
      <c r="F237" s="74"/>
      <c r="G237" s="74"/>
      <c r="H237" s="73"/>
      <c r="K237" s="74"/>
      <c r="L237" s="646"/>
      <c r="M237" s="647"/>
      <c r="N237" s="603"/>
      <c r="O237" s="648"/>
      <c r="P237" s="73"/>
      <c r="Q237" s="73"/>
      <c r="R237" s="73"/>
      <c r="S237" s="73"/>
      <c r="U237" s="74"/>
    </row>
    <row r="238" spans="1:21" hidden="1" x14ac:dyDescent="0.25">
      <c r="A238" s="22"/>
      <c r="B238" s="22"/>
      <c r="C238" s="73"/>
      <c r="D238" s="74"/>
      <c r="E238" s="74"/>
      <c r="F238" s="74"/>
      <c r="G238" s="74"/>
      <c r="H238" s="73"/>
      <c r="K238" s="74"/>
      <c r="L238" s="646"/>
      <c r="M238" s="647"/>
      <c r="N238" s="603"/>
      <c r="O238" s="648"/>
      <c r="P238" s="73"/>
      <c r="Q238" s="73"/>
      <c r="R238" s="73"/>
      <c r="S238" s="73"/>
      <c r="U238" s="74"/>
    </row>
    <row r="239" spans="1:21" hidden="1" x14ac:dyDescent="0.25">
      <c r="A239" s="22"/>
      <c r="B239" s="22"/>
      <c r="C239" s="73"/>
      <c r="D239" s="74"/>
      <c r="E239" s="74"/>
      <c r="F239" s="74"/>
      <c r="G239" s="74"/>
      <c r="H239" s="73"/>
      <c r="K239" s="74"/>
      <c r="L239" s="646"/>
      <c r="M239" s="647"/>
      <c r="N239" s="603"/>
      <c r="O239" s="648"/>
      <c r="P239" s="73"/>
      <c r="Q239" s="73"/>
      <c r="R239" s="73"/>
      <c r="S239" s="73"/>
      <c r="U239" s="74"/>
    </row>
    <row r="240" spans="1:21" hidden="1" x14ac:dyDescent="0.25">
      <c r="A240" s="22"/>
      <c r="B240" s="22"/>
      <c r="C240" s="22"/>
      <c r="D240" s="23"/>
      <c r="H240" s="22"/>
      <c r="L240" s="646"/>
      <c r="M240" s="647"/>
      <c r="N240" s="603"/>
      <c r="O240" s="648"/>
      <c r="P240" s="22"/>
      <c r="Q240" s="22"/>
      <c r="R240" s="22"/>
      <c r="S240" s="22"/>
    </row>
    <row r="241" spans="1:19" hidden="1" x14ac:dyDescent="0.25">
      <c r="A241" s="22"/>
      <c r="B241" s="22"/>
      <c r="C241" s="22"/>
      <c r="D241" s="23"/>
      <c r="H241" s="22"/>
      <c r="L241" s="648"/>
      <c r="M241" s="603"/>
      <c r="N241" s="603"/>
      <c r="O241" s="648"/>
      <c r="P241" s="22"/>
      <c r="Q241" s="22"/>
      <c r="R241" s="22"/>
      <c r="S241" s="22"/>
    </row>
    <row r="242" spans="1:19" hidden="1" x14ac:dyDescent="0.25">
      <c r="A242" s="22"/>
      <c r="B242" s="22"/>
      <c r="C242" s="22"/>
      <c r="D242" s="23"/>
      <c r="H242" s="22"/>
      <c r="L242" s="648"/>
      <c r="M242" s="603"/>
      <c r="N242" s="603"/>
      <c r="O242" s="648"/>
      <c r="P242" s="22"/>
      <c r="Q242" s="22"/>
      <c r="R242" s="22"/>
      <c r="S242" s="22"/>
    </row>
    <row r="243" spans="1:19" hidden="1" x14ac:dyDescent="0.25">
      <c r="A243" s="22"/>
      <c r="B243" s="22"/>
      <c r="C243" s="22"/>
      <c r="D243" s="23"/>
      <c r="H243" s="22"/>
      <c r="L243" s="648"/>
      <c r="M243" s="603"/>
      <c r="N243" s="603"/>
      <c r="O243" s="648"/>
      <c r="P243" s="22"/>
      <c r="Q243" s="22"/>
      <c r="R243" s="22"/>
      <c r="S243" s="22"/>
    </row>
    <row r="244" spans="1:19" hidden="1" x14ac:dyDescent="0.25">
      <c r="A244" s="22"/>
      <c r="B244" s="22"/>
      <c r="C244" s="22"/>
      <c r="D244" s="23"/>
      <c r="H244" s="22"/>
      <c r="L244" s="648"/>
      <c r="M244" s="603"/>
      <c r="N244" s="603"/>
      <c r="O244" s="648"/>
      <c r="P244" s="22"/>
      <c r="Q244" s="22"/>
      <c r="R244" s="22"/>
      <c r="S244" s="22"/>
    </row>
    <row r="245" spans="1:19" hidden="1" x14ac:dyDescent="0.25">
      <c r="A245" s="22"/>
      <c r="B245" s="22"/>
      <c r="C245" s="22"/>
      <c r="D245" s="23"/>
      <c r="H245" s="22"/>
      <c r="L245" s="648"/>
      <c r="M245" s="603"/>
      <c r="N245" s="603"/>
      <c r="O245" s="648"/>
      <c r="P245" s="22"/>
      <c r="Q245" s="22"/>
      <c r="R245" s="22"/>
      <c r="S245" s="22"/>
    </row>
    <row r="246" spans="1:19" hidden="1" x14ac:dyDescent="0.25">
      <c r="A246" s="22"/>
      <c r="B246" s="22"/>
      <c r="C246" s="22"/>
      <c r="D246" s="23"/>
      <c r="H246" s="22"/>
      <c r="L246" s="648"/>
      <c r="M246" s="603"/>
      <c r="N246" s="603"/>
      <c r="O246" s="648"/>
      <c r="P246" s="22"/>
      <c r="Q246" s="22"/>
      <c r="R246" s="22"/>
      <c r="S246" s="22"/>
    </row>
    <row r="247" spans="1:19" hidden="1" x14ac:dyDescent="0.25">
      <c r="A247" s="22"/>
      <c r="B247" s="22"/>
      <c r="C247" s="22"/>
      <c r="D247" s="23"/>
      <c r="H247" s="22"/>
      <c r="L247" s="648"/>
      <c r="M247" s="603"/>
      <c r="N247" s="603"/>
      <c r="O247" s="648"/>
      <c r="P247" s="22"/>
      <c r="Q247" s="22"/>
      <c r="R247" s="22"/>
      <c r="S247" s="22"/>
    </row>
    <row r="248" spans="1:19" hidden="1" x14ac:dyDescent="0.25">
      <c r="A248" s="22"/>
      <c r="B248" s="22"/>
      <c r="C248" s="22"/>
      <c r="D248" s="23"/>
      <c r="H248" s="22"/>
      <c r="L248" s="648"/>
      <c r="M248" s="603"/>
      <c r="N248" s="603"/>
      <c r="O248" s="648"/>
      <c r="P248" s="22"/>
      <c r="Q248" s="22"/>
      <c r="R248" s="22"/>
      <c r="S248" s="22"/>
    </row>
    <row r="249" spans="1:19" hidden="1" x14ac:dyDescent="0.25">
      <c r="A249" s="22"/>
      <c r="B249" s="22"/>
      <c r="C249" s="22"/>
      <c r="D249" s="23"/>
      <c r="H249" s="22"/>
      <c r="L249" s="648"/>
      <c r="M249" s="603"/>
      <c r="N249" s="603"/>
      <c r="O249" s="648"/>
      <c r="P249" s="22"/>
      <c r="Q249" s="22"/>
      <c r="R249" s="22"/>
      <c r="S249" s="22"/>
    </row>
    <row r="250" spans="1:19" hidden="1" x14ac:dyDescent="0.25">
      <c r="A250" s="22"/>
      <c r="B250" s="22"/>
      <c r="C250" s="22"/>
      <c r="D250" s="23"/>
      <c r="H250" s="22"/>
      <c r="L250" s="648"/>
      <c r="M250" s="603"/>
      <c r="N250" s="603"/>
      <c r="O250" s="648"/>
      <c r="P250" s="22"/>
      <c r="Q250" s="22"/>
      <c r="R250" s="22"/>
      <c r="S250" s="22"/>
    </row>
    <row r="251" spans="1:19" hidden="1" x14ac:dyDescent="0.25">
      <c r="A251" s="22"/>
      <c r="B251" s="22"/>
      <c r="C251" s="22"/>
      <c r="D251" s="23"/>
      <c r="H251" s="22"/>
      <c r="L251" s="648"/>
      <c r="M251" s="603"/>
      <c r="N251" s="603"/>
      <c r="O251" s="648"/>
      <c r="P251" s="22"/>
      <c r="Q251" s="22"/>
      <c r="R251" s="22"/>
      <c r="S251" s="22"/>
    </row>
    <row r="252" spans="1:19" hidden="1" x14ac:dyDescent="0.25">
      <c r="A252" s="22"/>
      <c r="B252" s="22"/>
      <c r="C252" s="22"/>
      <c r="D252" s="23"/>
      <c r="H252" s="22"/>
      <c r="L252" s="648"/>
      <c r="M252" s="603"/>
      <c r="N252" s="603"/>
      <c r="O252" s="648"/>
      <c r="P252" s="22"/>
      <c r="Q252" s="22"/>
      <c r="R252" s="22"/>
      <c r="S252" s="22"/>
    </row>
    <row r="253" spans="1:19" hidden="1" x14ac:dyDescent="0.25">
      <c r="A253" s="22"/>
      <c r="B253" s="22"/>
      <c r="C253" s="22"/>
      <c r="D253" s="23"/>
      <c r="H253" s="22"/>
      <c r="L253" s="648"/>
      <c r="M253" s="603"/>
      <c r="N253" s="603"/>
      <c r="O253" s="648"/>
      <c r="P253" s="22"/>
      <c r="Q253" s="22"/>
      <c r="R253" s="22"/>
      <c r="S253" s="22"/>
    </row>
    <row r="254" spans="1:19" hidden="1" x14ac:dyDescent="0.25">
      <c r="A254" s="22"/>
      <c r="B254" s="22"/>
      <c r="C254" s="22"/>
      <c r="D254" s="23"/>
      <c r="H254" s="22"/>
      <c r="L254" s="648"/>
      <c r="M254" s="603"/>
      <c r="N254" s="603"/>
      <c r="O254" s="648"/>
      <c r="P254" s="22"/>
      <c r="Q254" s="22"/>
      <c r="R254" s="22"/>
      <c r="S254" s="22"/>
    </row>
    <row r="255" spans="1:19" hidden="1" x14ac:dyDescent="0.25">
      <c r="A255" s="22"/>
      <c r="B255" s="22"/>
      <c r="C255" s="22"/>
      <c r="D255" s="23"/>
      <c r="H255" s="22"/>
      <c r="L255" s="648"/>
      <c r="M255" s="603"/>
      <c r="N255" s="603"/>
      <c r="O255" s="648"/>
      <c r="P255" s="22"/>
      <c r="Q255" s="22"/>
      <c r="R255" s="22"/>
      <c r="S255" s="22"/>
    </row>
    <row r="256" spans="1:19" hidden="1" x14ac:dyDescent="0.25">
      <c r="A256" s="22"/>
      <c r="B256" s="22"/>
      <c r="C256" s="22"/>
      <c r="D256" s="23"/>
      <c r="H256" s="22"/>
      <c r="L256" s="648"/>
      <c r="M256" s="603"/>
      <c r="N256" s="603"/>
      <c r="O256" s="648"/>
      <c r="P256" s="22"/>
      <c r="Q256" s="22"/>
      <c r="R256" s="22"/>
      <c r="S256" s="22"/>
    </row>
    <row r="257" spans="1:19" hidden="1" x14ac:dyDescent="0.25">
      <c r="A257" s="22"/>
      <c r="B257" s="22"/>
      <c r="C257" s="22"/>
      <c r="D257" s="23"/>
      <c r="H257" s="22"/>
      <c r="L257" s="648"/>
      <c r="M257" s="603"/>
      <c r="N257" s="603"/>
      <c r="O257" s="648"/>
      <c r="P257" s="22"/>
      <c r="Q257" s="22"/>
      <c r="R257" s="22"/>
      <c r="S257" s="22"/>
    </row>
    <row r="258" spans="1:19" hidden="1" x14ac:dyDescent="0.25">
      <c r="A258" s="22"/>
      <c r="B258" s="22"/>
      <c r="C258" s="22"/>
      <c r="D258" s="23"/>
      <c r="H258" s="22"/>
      <c r="L258" s="648"/>
      <c r="M258" s="603"/>
      <c r="N258" s="603"/>
      <c r="O258" s="648"/>
      <c r="P258" s="22"/>
      <c r="Q258" s="22"/>
      <c r="R258" s="22"/>
      <c r="S258" s="22"/>
    </row>
    <row r="259" spans="1:19" hidden="1" x14ac:dyDescent="0.25">
      <c r="A259" s="22"/>
      <c r="B259" s="22"/>
      <c r="C259" s="22"/>
      <c r="D259" s="23"/>
      <c r="H259" s="22"/>
      <c r="L259" s="648"/>
      <c r="M259" s="603"/>
      <c r="N259" s="603"/>
      <c r="O259" s="648"/>
      <c r="P259" s="22"/>
      <c r="Q259" s="22"/>
      <c r="R259" s="22"/>
      <c r="S259" s="22"/>
    </row>
    <row r="260" spans="1:19" hidden="1" x14ac:dyDescent="0.25">
      <c r="A260" s="22"/>
      <c r="B260" s="22"/>
      <c r="C260" s="22"/>
      <c r="D260" s="23"/>
      <c r="H260" s="22"/>
      <c r="L260" s="648"/>
      <c r="M260" s="603"/>
      <c r="N260" s="603"/>
      <c r="O260" s="648"/>
      <c r="P260" s="22"/>
      <c r="Q260" s="22"/>
      <c r="R260" s="22"/>
      <c r="S260" s="22"/>
    </row>
    <row r="261" spans="1:19" hidden="1" x14ac:dyDescent="0.25">
      <c r="A261" s="22"/>
      <c r="B261" s="22"/>
      <c r="C261" s="22"/>
      <c r="D261" s="23"/>
      <c r="H261" s="22"/>
      <c r="L261" s="648"/>
      <c r="M261" s="603"/>
      <c r="N261" s="603"/>
      <c r="O261" s="648"/>
      <c r="P261" s="22"/>
      <c r="Q261" s="22"/>
      <c r="R261" s="22"/>
      <c r="S261" s="22"/>
    </row>
    <row r="262" spans="1:19" hidden="1" x14ac:dyDescent="0.25">
      <c r="A262" s="22"/>
      <c r="B262" s="22"/>
      <c r="C262" s="22"/>
      <c r="D262" s="23"/>
      <c r="H262" s="22"/>
      <c r="L262" s="648"/>
      <c r="M262" s="603"/>
      <c r="N262" s="603"/>
      <c r="O262" s="648"/>
      <c r="P262" s="22"/>
      <c r="Q262" s="22"/>
      <c r="R262" s="22"/>
      <c r="S262" s="22"/>
    </row>
    <row r="263" spans="1:19" hidden="1" x14ac:dyDescent="0.25">
      <c r="A263" s="22"/>
      <c r="B263" s="22"/>
      <c r="C263" s="22"/>
      <c r="D263" s="23"/>
      <c r="H263" s="22"/>
      <c r="L263" s="648"/>
      <c r="M263" s="603"/>
      <c r="N263" s="603"/>
      <c r="O263" s="648"/>
      <c r="P263" s="22"/>
      <c r="Q263" s="22"/>
      <c r="R263" s="22"/>
      <c r="S263" s="22"/>
    </row>
    <row r="264" spans="1:19" hidden="1" x14ac:dyDescent="0.25">
      <c r="A264" s="22"/>
      <c r="B264" s="22"/>
      <c r="C264" s="22"/>
      <c r="D264" s="23"/>
      <c r="H264" s="22"/>
      <c r="L264" s="648"/>
      <c r="M264" s="603"/>
      <c r="N264" s="603"/>
      <c r="O264" s="648"/>
      <c r="P264" s="22"/>
      <c r="Q264" s="22"/>
      <c r="R264" s="22"/>
      <c r="S264" s="22"/>
    </row>
    <row r="265" spans="1:19" hidden="1" x14ac:dyDescent="0.25">
      <c r="A265" s="22"/>
      <c r="B265" s="22"/>
      <c r="C265" s="22"/>
      <c r="D265" s="23"/>
      <c r="H265" s="22"/>
      <c r="L265" s="648"/>
      <c r="M265" s="603"/>
      <c r="N265" s="603"/>
      <c r="O265" s="648"/>
      <c r="P265" s="22"/>
      <c r="Q265" s="22"/>
      <c r="R265" s="22"/>
      <c r="S265" s="22"/>
    </row>
    <row r="266" spans="1:19" hidden="1" x14ac:dyDescent="0.25">
      <c r="A266" s="22"/>
      <c r="B266" s="22"/>
      <c r="C266" s="22"/>
      <c r="D266" s="23"/>
      <c r="H266" s="22"/>
      <c r="L266" s="648"/>
      <c r="M266" s="603"/>
      <c r="N266" s="603"/>
      <c r="O266" s="648"/>
      <c r="P266" s="22"/>
      <c r="Q266" s="22"/>
      <c r="R266" s="22"/>
      <c r="S266" s="22"/>
    </row>
    <row r="267" spans="1:19" hidden="1" x14ac:dyDescent="0.25">
      <c r="A267" s="22"/>
      <c r="B267" s="22"/>
      <c r="C267" s="22"/>
      <c r="D267" s="23"/>
      <c r="H267" s="22"/>
      <c r="L267" s="648"/>
      <c r="M267" s="603"/>
      <c r="N267" s="603"/>
      <c r="O267" s="648"/>
      <c r="P267" s="22"/>
      <c r="Q267" s="22"/>
      <c r="R267" s="22"/>
      <c r="S267" s="22"/>
    </row>
    <row r="268" spans="1:19" hidden="1" x14ac:dyDescent="0.25">
      <c r="A268" s="22"/>
      <c r="B268" s="22"/>
      <c r="C268" s="22"/>
      <c r="D268" s="23"/>
      <c r="H268" s="22"/>
      <c r="L268" s="648"/>
      <c r="M268" s="603"/>
      <c r="N268" s="603"/>
      <c r="O268" s="648"/>
      <c r="P268" s="22"/>
      <c r="Q268" s="22"/>
      <c r="R268" s="22"/>
      <c r="S268" s="22"/>
    </row>
    <row r="269" spans="1:19" hidden="1" x14ac:dyDescent="0.25">
      <c r="A269" s="22"/>
      <c r="B269" s="22"/>
      <c r="C269" s="22"/>
      <c r="D269" s="23"/>
      <c r="H269" s="22"/>
      <c r="L269" s="648"/>
      <c r="M269" s="603"/>
      <c r="N269" s="603"/>
      <c r="O269" s="648"/>
      <c r="P269" s="22"/>
      <c r="Q269" s="22"/>
      <c r="R269" s="22"/>
      <c r="S269" s="22"/>
    </row>
    <row r="270" spans="1:19" hidden="1" x14ac:dyDescent="0.25">
      <c r="A270" s="22"/>
      <c r="B270" s="22"/>
      <c r="C270" s="22"/>
      <c r="D270" s="23"/>
      <c r="H270" s="22"/>
      <c r="L270" s="648"/>
      <c r="M270" s="603"/>
      <c r="N270" s="603"/>
      <c r="O270" s="648"/>
      <c r="P270" s="22"/>
      <c r="Q270" s="22"/>
      <c r="R270" s="22"/>
      <c r="S270" s="22"/>
    </row>
    <row r="271" spans="1:19" hidden="1" x14ac:dyDescent="0.25">
      <c r="A271" s="22"/>
      <c r="B271" s="22"/>
      <c r="C271" s="22"/>
      <c r="D271" s="23"/>
      <c r="H271" s="22"/>
      <c r="L271" s="648"/>
      <c r="M271" s="603"/>
      <c r="N271" s="603"/>
      <c r="O271" s="648"/>
      <c r="P271" s="22"/>
      <c r="Q271" s="22"/>
      <c r="R271" s="22"/>
      <c r="S271" s="22"/>
    </row>
    <row r="272" spans="1:19" hidden="1" x14ac:dyDescent="0.25">
      <c r="A272" s="22"/>
      <c r="B272" s="22"/>
      <c r="C272" s="22"/>
      <c r="D272" s="23"/>
      <c r="H272" s="22"/>
      <c r="L272" s="648"/>
      <c r="M272" s="603"/>
      <c r="N272" s="603"/>
      <c r="O272" s="648"/>
      <c r="P272" s="22"/>
      <c r="Q272" s="22"/>
      <c r="R272" s="22"/>
      <c r="S272" s="22"/>
    </row>
    <row r="273" spans="1:19" hidden="1" x14ac:dyDescent="0.25">
      <c r="A273" s="22"/>
      <c r="B273" s="22"/>
      <c r="C273" s="22"/>
      <c r="D273" s="23"/>
      <c r="H273" s="22"/>
      <c r="L273" s="648"/>
      <c r="M273" s="603"/>
      <c r="N273" s="603"/>
      <c r="O273" s="648"/>
      <c r="P273" s="22"/>
      <c r="Q273" s="22"/>
      <c r="R273" s="22"/>
      <c r="S273" s="22"/>
    </row>
    <row r="274" spans="1:19" hidden="1" x14ac:dyDescent="0.25">
      <c r="A274" s="22"/>
      <c r="B274" s="22"/>
      <c r="C274" s="22"/>
      <c r="D274" s="23"/>
      <c r="H274" s="22"/>
      <c r="L274" s="648"/>
      <c r="M274" s="603"/>
      <c r="N274" s="603"/>
      <c r="O274" s="648"/>
      <c r="P274" s="22"/>
      <c r="Q274" s="22"/>
      <c r="R274" s="22"/>
      <c r="S274" s="22"/>
    </row>
    <row r="275" spans="1:19" hidden="1" x14ac:dyDescent="0.25">
      <c r="A275" s="22"/>
      <c r="B275" s="22"/>
      <c r="C275" s="22"/>
      <c r="D275" s="23"/>
      <c r="H275" s="22"/>
      <c r="L275" s="648"/>
      <c r="M275" s="603"/>
      <c r="N275" s="603"/>
      <c r="O275" s="648"/>
      <c r="P275" s="22"/>
      <c r="Q275" s="22"/>
      <c r="R275" s="22"/>
      <c r="S275" s="22"/>
    </row>
    <row r="276" spans="1:19" hidden="1" x14ac:dyDescent="0.25">
      <c r="A276" s="22"/>
      <c r="B276" s="22"/>
      <c r="C276" s="22"/>
      <c r="D276" s="23"/>
      <c r="H276" s="22"/>
      <c r="L276" s="648"/>
      <c r="M276" s="603"/>
      <c r="N276" s="603"/>
      <c r="O276" s="648"/>
      <c r="P276" s="22"/>
      <c r="Q276" s="22"/>
      <c r="R276" s="22"/>
      <c r="S276" s="22"/>
    </row>
    <row r="277" spans="1:19" hidden="1" x14ac:dyDescent="0.25">
      <c r="A277" s="22"/>
      <c r="B277" s="22"/>
      <c r="C277" s="22"/>
      <c r="D277" s="23"/>
      <c r="H277" s="22"/>
      <c r="L277" s="648"/>
      <c r="M277" s="603"/>
      <c r="N277" s="603"/>
      <c r="O277" s="648"/>
      <c r="P277" s="22"/>
      <c r="Q277" s="22"/>
      <c r="R277" s="22"/>
      <c r="S277" s="22"/>
    </row>
    <row r="278" spans="1:19" hidden="1" x14ac:dyDescent="0.25">
      <c r="A278" s="22"/>
      <c r="B278" s="22"/>
      <c r="C278" s="22"/>
      <c r="D278" s="23"/>
      <c r="H278" s="22"/>
      <c r="L278" s="648"/>
      <c r="M278" s="603"/>
      <c r="N278" s="603"/>
      <c r="O278" s="648"/>
      <c r="P278" s="22"/>
      <c r="Q278" s="22"/>
      <c r="R278" s="22"/>
      <c r="S278" s="22"/>
    </row>
    <row r="279" spans="1:19" hidden="1" x14ac:dyDescent="0.25">
      <c r="A279" s="22"/>
      <c r="B279" s="22"/>
      <c r="C279" s="22"/>
      <c r="D279" s="23"/>
      <c r="H279" s="22"/>
      <c r="L279" s="648"/>
      <c r="M279" s="603"/>
      <c r="N279" s="603"/>
      <c r="O279" s="648"/>
      <c r="P279" s="22"/>
      <c r="Q279" s="22"/>
      <c r="R279" s="22"/>
      <c r="S279" s="22"/>
    </row>
    <row r="280" spans="1:19" hidden="1" x14ac:dyDescent="0.25">
      <c r="A280" s="22"/>
      <c r="B280" s="22"/>
      <c r="C280" s="22"/>
      <c r="D280" s="23"/>
      <c r="H280" s="22"/>
      <c r="L280" s="648"/>
      <c r="M280" s="603"/>
      <c r="N280" s="603"/>
      <c r="O280" s="648"/>
      <c r="P280" s="22"/>
      <c r="Q280" s="22"/>
      <c r="R280" s="22"/>
      <c r="S280" s="22"/>
    </row>
    <row r="281" spans="1:19" hidden="1" x14ac:dyDescent="0.25">
      <c r="A281" s="22"/>
      <c r="B281" s="22"/>
      <c r="C281" s="22"/>
      <c r="D281" s="23"/>
      <c r="H281" s="22"/>
      <c r="L281" s="648"/>
      <c r="M281" s="603"/>
      <c r="N281" s="603"/>
      <c r="O281" s="648"/>
      <c r="P281" s="22"/>
      <c r="Q281" s="22"/>
      <c r="R281" s="22"/>
      <c r="S281" s="22"/>
    </row>
    <row r="282" spans="1:19" hidden="1" x14ac:dyDescent="0.25">
      <c r="A282" s="22"/>
      <c r="B282" s="22"/>
      <c r="C282" s="22"/>
      <c r="D282" s="23"/>
      <c r="H282" s="22"/>
      <c r="L282" s="648"/>
      <c r="M282" s="603"/>
      <c r="N282" s="603"/>
      <c r="O282" s="648"/>
      <c r="P282" s="22"/>
      <c r="Q282" s="22"/>
      <c r="R282" s="22"/>
      <c r="S282" s="22"/>
    </row>
    <row r="283" spans="1:19" hidden="1" x14ac:dyDescent="0.25">
      <c r="A283" s="22"/>
      <c r="B283" s="22"/>
      <c r="C283" s="22"/>
      <c r="D283" s="23"/>
      <c r="H283" s="22"/>
      <c r="L283" s="648"/>
      <c r="M283" s="603"/>
      <c r="N283" s="603"/>
      <c r="O283" s="648"/>
      <c r="P283" s="22"/>
      <c r="Q283" s="22"/>
      <c r="R283" s="22"/>
      <c r="S283" s="22"/>
    </row>
    <row r="284" spans="1:19" hidden="1" x14ac:dyDescent="0.25">
      <c r="A284" s="22"/>
      <c r="B284" s="22"/>
      <c r="C284" s="22"/>
      <c r="D284" s="23"/>
      <c r="H284" s="22"/>
      <c r="L284" s="648"/>
      <c r="M284" s="603"/>
      <c r="N284" s="603"/>
      <c r="O284" s="648"/>
      <c r="P284" s="22"/>
      <c r="Q284" s="22"/>
      <c r="R284" s="22"/>
      <c r="S284" s="22"/>
    </row>
    <row r="285" spans="1:19" hidden="1" x14ac:dyDescent="0.25">
      <c r="A285" s="22"/>
      <c r="B285" s="22"/>
      <c r="C285" s="22"/>
      <c r="D285" s="23"/>
      <c r="H285" s="22"/>
      <c r="L285" s="648"/>
      <c r="M285" s="603"/>
      <c r="N285" s="603"/>
      <c r="O285" s="648"/>
      <c r="P285" s="22"/>
      <c r="Q285" s="22"/>
      <c r="R285" s="22"/>
      <c r="S285" s="22"/>
    </row>
    <row r="286" spans="1:19" hidden="1" x14ac:dyDescent="0.25">
      <c r="A286" s="22"/>
      <c r="B286" s="22"/>
      <c r="C286" s="22"/>
      <c r="D286" s="23"/>
      <c r="H286" s="22"/>
      <c r="L286" s="648"/>
      <c r="M286" s="603"/>
      <c r="N286" s="603"/>
      <c r="O286" s="648"/>
      <c r="P286" s="22"/>
      <c r="Q286" s="22"/>
      <c r="R286" s="22"/>
      <c r="S286" s="22"/>
    </row>
    <row r="287" spans="1:19" hidden="1" x14ac:dyDescent="0.25">
      <c r="A287" s="22"/>
      <c r="B287" s="22"/>
      <c r="C287" s="22"/>
      <c r="D287" s="23"/>
      <c r="H287" s="22"/>
      <c r="L287" s="648"/>
      <c r="M287" s="603"/>
      <c r="N287" s="603"/>
      <c r="O287" s="648"/>
      <c r="P287" s="22"/>
      <c r="Q287" s="22"/>
      <c r="R287" s="22"/>
      <c r="S287" s="22"/>
    </row>
    <row r="288" spans="1:19" hidden="1" x14ac:dyDescent="0.25">
      <c r="A288" s="22"/>
      <c r="B288" s="22"/>
      <c r="C288" s="22"/>
      <c r="D288" s="23"/>
      <c r="H288" s="22"/>
      <c r="L288" s="648"/>
      <c r="M288" s="603"/>
      <c r="N288" s="603"/>
      <c r="O288" s="648"/>
      <c r="P288" s="22"/>
      <c r="Q288" s="22"/>
      <c r="R288" s="22"/>
      <c r="S288" s="22"/>
    </row>
    <row r="289" spans="1:19" hidden="1" x14ac:dyDescent="0.25">
      <c r="A289" s="22"/>
      <c r="B289" s="22"/>
      <c r="C289" s="22"/>
      <c r="D289" s="23"/>
      <c r="H289" s="22"/>
      <c r="L289" s="648"/>
      <c r="M289" s="603"/>
      <c r="N289" s="603"/>
      <c r="O289" s="648"/>
      <c r="P289" s="22"/>
      <c r="Q289" s="22"/>
      <c r="R289" s="22"/>
      <c r="S289" s="22"/>
    </row>
    <row r="290" spans="1:19" hidden="1" x14ac:dyDescent="0.25">
      <c r="A290" s="22"/>
      <c r="B290" s="22"/>
      <c r="C290" s="22"/>
      <c r="D290" s="23"/>
      <c r="H290" s="22"/>
      <c r="L290" s="648"/>
      <c r="M290" s="603"/>
      <c r="N290" s="603"/>
      <c r="O290" s="648"/>
      <c r="P290" s="22"/>
      <c r="Q290" s="22"/>
      <c r="R290" s="22"/>
      <c r="S290" s="22"/>
    </row>
    <row r="291" spans="1:19" x14ac:dyDescent="0.25">
      <c r="A291" s="22"/>
      <c r="B291" s="22"/>
      <c r="C291" s="22"/>
      <c r="D291" s="23"/>
      <c r="H291" s="22"/>
      <c r="L291" s="648"/>
      <c r="M291" s="603"/>
      <c r="N291" s="603"/>
      <c r="O291" s="648"/>
      <c r="P291" s="22"/>
      <c r="Q291" s="22"/>
      <c r="R291" s="22"/>
      <c r="S291" s="22"/>
    </row>
    <row r="292" spans="1:19" x14ac:dyDescent="0.25">
      <c r="A292" s="56"/>
      <c r="B292" s="22"/>
      <c r="C292" s="22"/>
      <c r="D292" s="23"/>
      <c r="H292" s="22"/>
      <c r="L292" s="633"/>
      <c r="M292" s="598"/>
      <c r="N292" s="598"/>
      <c r="O292" s="631"/>
      <c r="P292" s="22"/>
      <c r="Q292" s="22"/>
      <c r="R292" s="22"/>
      <c r="S292" s="22"/>
    </row>
    <row r="293" spans="1:19" x14ac:dyDescent="0.25">
      <c r="A293" s="22"/>
      <c r="B293" s="22"/>
      <c r="C293" s="22"/>
      <c r="D293" s="23"/>
      <c r="H293" s="22"/>
      <c r="L293" s="633"/>
      <c r="M293" s="598"/>
      <c r="N293" s="598"/>
      <c r="O293" s="631"/>
      <c r="P293" s="22"/>
      <c r="Q293" s="22"/>
      <c r="R293" s="22"/>
      <c r="S293" s="22"/>
    </row>
    <row r="294" spans="1:19" x14ac:dyDescent="0.25">
      <c r="A294" s="22"/>
      <c r="B294" s="22"/>
      <c r="C294" s="22"/>
      <c r="D294" s="23"/>
      <c r="H294" s="22"/>
      <c r="L294" s="633"/>
      <c r="M294" s="598"/>
      <c r="N294" s="598"/>
      <c r="O294" s="631"/>
      <c r="P294" s="22"/>
      <c r="Q294" s="22"/>
      <c r="R294" s="22"/>
      <c r="S294" s="22"/>
    </row>
    <row r="295" spans="1:19" x14ac:dyDescent="0.25">
      <c r="A295" s="22"/>
      <c r="B295" s="711"/>
      <c r="C295" s="22"/>
      <c r="D295" s="23"/>
      <c r="H295" s="22"/>
      <c r="L295" s="633"/>
      <c r="M295" s="598"/>
      <c r="N295" s="598"/>
      <c r="O295" s="631"/>
      <c r="P295" s="22"/>
      <c r="Q295" s="22"/>
      <c r="R295" s="22"/>
      <c r="S295" s="22"/>
    </row>
    <row r="296" spans="1:19" x14ac:dyDescent="0.25">
      <c r="A296" s="22"/>
      <c r="B296" s="711"/>
      <c r="C296" s="22"/>
      <c r="D296" s="23"/>
      <c r="H296" s="22"/>
      <c r="L296" s="633"/>
      <c r="M296" s="598"/>
      <c r="N296" s="598"/>
      <c r="O296" s="631"/>
      <c r="P296" s="22"/>
      <c r="Q296" s="22"/>
      <c r="R296" s="22"/>
      <c r="S296" s="22"/>
    </row>
    <row r="297" spans="1:19" x14ac:dyDescent="0.25">
      <c r="A297" s="22"/>
      <c r="B297" s="22"/>
      <c r="C297" s="22"/>
      <c r="D297" s="23"/>
      <c r="H297" s="22"/>
      <c r="L297" s="633"/>
      <c r="M297" s="598"/>
      <c r="N297" s="598"/>
      <c r="O297" s="631"/>
      <c r="P297" s="22"/>
      <c r="Q297" s="22"/>
      <c r="R297" s="22"/>
      <c r="S297" s="22"/>
    </row>
    <row r="298" spans="1:19" x14ac:dyDescent="0.25">
      <c r="A298" s="22"/>
      <c r="B298" s="22"/>
      <c r="C298" s="22"/>
      <c r="D298" s="23"/>
      <c r="H298" s="22"/>
      <c r="L298" s="633"/>
      <c r="M298" s="598"/>
      <c r="N298" s="598"/>
      <c r="O298" s="631"/>
      <c r="P298" s="22"/>
      <c r="Q298" s="22"/>
      <c r="R298" s="22"/>
      <c r="S298" s="22"/>
    </row>
    <row r="299" spans="1:19" x14ac:dyDescent="0.25">
      <c r="A299" s="22"/>
      <c r="B299" s="22"/>
      <c r="C299" s="22"/>
      <c r="D299" s="23"/>
      <c r="H299" s="22"/>
      <c r="L299" s="633"/>
      <c r="M299" s="598"/>
      <c r="N299" s="598"/>
      <c r="O299" s="631"/>
      <c r="P299" s="22"/>
      <c r="Q299" s="22"/>
      <c r="R299" s="22"/>
      <c r="S299" s="22"/>
    </row>
    <row r="300" spans="1:19" x14ac:dyDescent="0.25">
      <c r="A300" s="22"/>
      <c r="B300" s="22"/>
      <c r="C300" s="22"/>
      <c r="D300" s="23"/>
      <c r="H300" s="22"/>
      <c r="L300" s="633"/>
      <c r="M300" s="598"/>
      <c r="N300" s="598"/>
      <c r="O300" s="631"/>
      <c r="P300" s="22"/>
      <c r="Q300" s="22"/>
      <c r="R300" s="22"/>
      <c r="S300" s="22"/>
    </row>
    <row r="301" spans="1:19" x14ac:dyDescent="0.25">
      <c r="A301" s="22"/>
      <c r="B301" s="22"/>
      <c r="C301" s="22"/>
      <c r="D301" s="23"/>
      <c r="H301" s="22"/>
      <c r="L301" s="633"/>
      <c r="M301" s="598"/>
      <c r="N301" s="598"/>
      <c r="O301" s="631"/>
      <c r="P301" s="22"/>
      <c r="Q301" s="22"/>
      <c r="R301" s="22"/>
      <c r="S301" s="22"/>
    </row>
    <row r="302" spans="1:19" x14ac:dyDescent="0.25">
      <c r="A302" s="22"/>
      <c r="B302" s="22"/>
      <c r="C302" s="22"/>
      <c r="D302" s="23"/>
      <c r="H302" s="22"/>
      <c r="L302" s="633"/>
      <c r="M302" s="598"/>
      <c r="N302" s="598"/>
      <c r="O302" s="631"/>
      <c r="P302" s="22"/>
      <c r="Q302" s="22"/>
      <c r="R302" s="22"/>
      <c r="S302" s="22"/>
    </row>
    <row r="303" spans="1:19" x14ac:dyDescent="0.25">
      <c r="A303" s="22"/>
      <c r="B303" s="22"/>
      <c r="C303" s="22"/>
      <c r="D303" s="23"/>
      <c r="H303" s="22"/>
      <c r="L303" s="633"/>
      <c r="M303" s="598"/>
      <c r="N303" s="598"/>
      <c r="O303" s="631"/>
      <c r="P303" s="22"/>
      <c r="Q303" s="22"/>
      <c r="R303" s="22"/>
      <c r="S303" s="22"/>
    </row>
    <row r="304" spans="1:19" x14ac:dyDescent="0.25">
      <c r="A304" s="22"/>
      <c r="B304" s="22"/>
      <c r="C304" s="22"/>
      <c r="D304" s="23"/>
      <c r="H304" s="22"/>
      <c r="L304" s="633"/>
      <c r="M304" s="598"/>
      <c r="N304" s="598"/>
      <c r="O304" s="631"/>
      <c r="P304" s="22"/>
      <c r="Q304" s="22"/>
      <c r="R304" s="22"/>
      <c r="S304" s="22"/>
    </row>
    <row r="305" spans="1:19" x14ac:dyDescent="0.25">
      <c r="A305" s="22"/>
      <c r="B305" s="22"/>
      <c r="C305" s="22"/>
      <c r="D305" s="23"/>
      <c r="H305" s="22"/>
      <c r="L305" s="633"/>
      <c r="M305" s="598"/>
      <c r="N305" s="598"/>
      <c r="O305" s="631"/>
      <c r="P305" s="22"/>
      <c r="Q305" s="22"/>
      <c r="R305" s="22"/>
      <c r="S305" s="22"/>
    </row>
    <row r="306" spans="1:19" x14ac:dyDescent="0.25">
      <c r="A306" s="22"/>
      <c r="B306" s="22"/>
      <c r="C306" s="22"/>
      <c r="D306" s="23"/>
      <c r="H306" s="22"/>
      <c r="L306" s="633"/>
      <c r="M306" s="598"/>
      <c r="N306" s="598"/>
      <c r="O306" s="631"/>
      <c r="P306" s="22"/>
      <c r="Q306" s="22"/>
      <c r="R306" s="22"/>
      <c r="S306" s="22"/>
    </row>
    <row r="307" spans="1:19" x14ac:dyDescent="0.25">
      <c r="A307" s="22"/>
      <c r="B307" s="22"/>
      <c r="C307" s="22"/>
      <c r="D307" s="23"/>
      <c r="H307" s="22"/>
      <c r="L307" s="633"/>
      <c r="M307" s="598"/>
      <c r="N307" s="598"/>
      <c r="O307" s="631"/>
      <c r="P307" s="22"/>
      <c r="Q307" s="22"/>
      <c r="R307" s="22"/>
      <c r="S307" s="22"/>
    </row>
    <row r="308" spans="1:19" x14ac:dyDescent="0.25">
      <c r="A308" s="22"/>
      <c r="B308" s="22"/>
      <c r="C308" s="22"/>
      <c r="D308" s="23"/>
      <c r="H308" s="22"/>
      <c r="L308" s="633"/>
      <c r="M308" s="598"/>
      <c r="N308" s="598"/>
      <c r="O308" s="631"/>
      <c r="P308" s="22"/>
      <c r="Q308" s="22"/>
      <c r="R308" s="22"/>
      <c r="S308" s="22"/>
    </row>
    <row r="309" spans="1:19" x14ac:dyDescent="0.25">
      <c r="A309" s="22"/>
      <c r="B309" s="22"/>
      <c r="C309" s="22"/>
      <c r="D309" s="23"/>
      <c r="H309" s="22"/>
      <c r="L309" s="633"/>
      <c r="M309" s="598"/>
      <c r="N309" s="598"/>
      <c r="O309" s="631"/>
      <c r="P309" s="22"/>
      <c r="Q309" s="22"/>
      <c r="R309" s="22"/>
      <c r="S309" s="22"/>
    </row>
    <row r="310" spans="1:19" x14ac:dyDescent="0.25">
      <c r="A310" s="22"/>
      <c r="B310" s="22"/>
      <c r="C310" s="22"/>
      <c r="D310" s="23"/>
      <c r="H310" s="22"/>
      <c r="L310" s="633"/>
      <c r="M310" s="598"/>
      <c r="N310" s="598"/>
      <c r="O310" s="631"/>
      <c r="P310" s="22"/>
      <c r="Q310" s="22"/>
      <c r="R310" s="22"/>
      <c r="S310" s="22"/>
    </row>
    <row r="311" spans="1:19" x14ac:dyDescent="0.25">
      <c r="A311" s="22"/>
      <c r="B311" s="22"/>
      <c r="C311" s="22"/>
      <c r="D311" s="23"/>
      <c r="H311" s="22"/>
      <c r="L311" s="633"/>
      <c r="M311" s="598"/>
      <c r="N311" s="598"/>
      <c r="O311" s="631"/>
      <c r="P311" s="22"/>
      <c r="Q311" s="22"/>
      <c r="R311" s="22"/>
      <c r="S311" s="22"/>
    </row>
    <row r="312" spans="1:19" x14ac:dyDescent="0.25">
      <c r="A312" s="22"/>
      <c r="B312" s="22"/>
      <c r="C312" s="22"/>
      <c r="D312" s="23"/>
      <c r="H312" s="22"/>
      <c r="L312" s="633"/>
      <c r="M312" s="598"/>
      <c r="N312" s="598"/>
      <c r="O312" s="631"/>
      <c r="P312" s="22"/>
      <c r="Q312" s="22"/>
      <c r="R312" s="22"/>
      <c r="S312" s="22"/>
    </row>
    <row r="313" spans="1:19" x14ac:dyDescent="0.25">
      <c r="A313" s="22"/>
      <c r="B313" s="22"/>
      <c r="C313" s="22"/>
      <c r="D313" s="23"/>
      <c r="H313" s="22"/>
      <c r="L313" s="633"/>
      <c r="M313" s="598"/>
      <c r="N313" s="598"/>
      <c r="O313" s="631"/>
      <c r="P313" s="22"/>
      <c r="Q313" s="22"/>
      <c r="R313" s="22"/>
      <c r="S313" s="22"/>
    </row>
    <row r="314" spans="1:19" x14ac:dyDescent="0.25">
      <c r="A314" s="22"/>
      <c r="B314" s="22"/>
      <c r="C314" s="22"/>
      <c r="D314" s="23"/>
      <c r="H314" s="22"/>
      <c r="L314" s="633"/>
      <c r="M314" s="598"/>
      <c r="N314" s="598"/>
      <c r="O314" s="631"/>
      <c r="P314" s="22"/>
      <c r="Q314" s="22"/>
      <c r="R314" s="22"/>
      <c r="S314" s="22"/>
    </row>
    <row r="315" spans="1:19" x14ac:dyDescent="0.25">
      <c r="A315" s="22"/>
      <c r="B315" s="22"/>
      <c r="C315" s="22"/>
      <c r="D315" s="23"/>
      <c r="H315" s="22"/>
      <c r="L315" s="633"/>
      <c r="M315" s="598"/>
      <c r="N315" s="598"/>
      <c r="O315" s="631"/>
      <c r="P315" s="22"/>
      <c r="Q315" s="22"/>
      <c r="R315" s="22"/>
      <c r="S315" s="22"/>
    </row>
    <row r="316" spans="1:19" x14ac:dyDescent="0.25">
      <c r="A316" s="22"/>
      <c r="B316" s="22"/>
      <c r="C316" s="22"/>
      <c r="D316" s="23"/>
      <c r="H316" s="22"/>
      <c r="L316" s="633"/>
      <c r="M316" s="598"/>
      <c r="N316" s="598"/>
      <c r="O316" s="631"/>
      <c r="P316" s="22"/>
      <c r="Q316" s="22"/>
      <c r="R316" s="22"/>
      <c r="S316" s="22"/>
    </row>
    <row r="317" spans="1:19" x14ac:dyDescent="0.25">
      <c r="A317" s="22"/>
      <c r="B317" s="22"/>
      <c r="C317" s="22"/>
      <c r="D317" s="23"/>
      <c r="H317" s="22"/>
      <c r="L317" s="633"/>
      <c r="M317" s="598"/>
      <c r="N317" s="598"/>
      <c r="O317" s="631"/>
      <c r="P317" s="22"/>
      <c r="Q317" s="22"/>
      <c r="R317" s="22"/>
      <c r="S317" s="22"/>
    </row>
    <row r="318" spans="1:19" x14ac:dyDescent="0.25">
      <c r="A318" s="22"/>
      <c r="B318" s="22"/>
      <c r="C318" s="22"/>
      <c r="D318" s="23"/>
      <c r="H318" s="22"/>
      <c r="L318" s="633"/>
      <c r="M318" s="598"/>
      <c r="N318" s="598"/>
      <c r="O318" s="631"/>
      <c r="P318" s="22"/>
      <c r="Q318" s="22"/>
      <c r="R318" s="22"/>
      <c r="S318" s="22"/>
    </row>
    <row r="319" spans="1:19" x14ac:dyDescent="0.25">
      <c r="A319" s="22"/>
      <c r="B319" s="22"/>
      <c r="C319" s="22"/>
      <c r="D319" s="23"/>
      <c r="H319" s="22"/>
      <c r="L319" s="633"/>
      <c r="M319" s="598"/>
      <c r="N319" s="598"/>
      <c r="O319" s="631"/>
      <c r="P319" s="22"/>
      <c r="Q319" s="22"/>
      <c r="R319" s="22"/>
      <c r="S319" s="22"/>
    </row>
    <row r="320" spans="1:19" x14ac:dyDescent="0.25">
      <c r="A320" s="22"/>
      <c r="B320" s="22"/>
      <c r="C320" s="22"/>
      <c r="D320" s="23"/>
      <c r="H320" s="22"/>
      <c r="L320" s="633"/>
      <c r="M320" s="598"/>
      <c r="N320" s="598"/>
      <c r="O320" s="631"/>
      <c r="P320" s="22"/>
      <c r="Q320" s="22"/>
      <c r="R320" s="22"/>
      <c r="S320" s="22"/>
    </row>
    <row r="321" spans="1:19" x14ac:dyDescent="0.25">
      <c r="A321" s="22"/>
      <c r="B321" s="22"/>
      <c r="C321" s="22"/>
      <c r="D321" s="23"/>
      <c r="H321" s="22"/>
      <c r="L321" s="633"/>
      <c r="M321" s="598"/>
      <c r="N321" s="598"/>
      <c r="O321" s="631"/>
      <c r="P321" s="22"/>
      <c r="Q321" s="22"/>
      <c r="R321" s="22"/>
      <c r="S321" s="22"/>
    </row>
    <row r="322" spans="1:19" x14ac:dyDescent="0.25">
      <c r="A322" s="22"/>
      <c r="B322" s="22"/>
      <c r="C322" s="22"/>
      <c r="D322" s="23"/>
      <c r="H322" s="22"/>
      <c r="L322" s="633"/>
      <c r="M322" s="598"/>
      <c r="N322" s="598"/>
      <c r="O322" s="631"/>
      <c r="P322" s="22"/>
      <c r="Q322" s="22"/>
      <c r="R322" s="22"/>
      <c r="S322" s="22"/>
    </row>
    <row r="323" spans="1:19" x14ac:dyDescent="0.25">
      <c r="A323" s="22"/>
      <c r="B323" s="22"/>
      <c r="C323" s="22"/>
      <c r="D323" s="23"/>
      <c r="H323" s="22"/>
      <c r="L323" s="633"/>
      <c r="M323" s="598"/>
      <c r="N323" s="598"/>
      <c r="O323" s="631"/>
      <c r="P323" s="22"/>
      <c r="Q323" s="22"/>
      <c r="R323" s="22"/>
      <c r="S323" s="22"/>
    </row>
    <row r="324" spans="1:19" x14ac:dyDescent="0.25">
      <c r="A324" s="22"/>
      <c r="B324" s="22"/>
      <c r="C324" s="22"/>
      <c r="D324" s="23"/>
      <c r="H324" s="22"/>
      <c r="L324" s="633"/>
      <c r="M324" s="598"/>
      <c r="N324" s="598"/>
      <c r="O324" s="631"/>
      <c r="P324" s="22"/>
      <c r="Q324" s="22"/>
      <c r="R324" s="22"/>
      <c r="S324" s="22"/>
    </row>
    <row r="325" spans="1:19" x14ac:dyDescent="0.25">
      <c r="A325" s="22"/>
      <c r="B325" s="22"/>
      <c r="C325" s="22"/>
      <c r="D325" s="23"/>
      <c r="H325" s="22"/>
      <c r="L325" s="633"/>
      <c r="M325" s="598"/>
      <c r="N325" s="598"/>
      <c r="O325" s="631"/>
      <c r="P325" s="22"/>
      <c r="Q325" s="22"/>
      <c r="R325" s="22"/>
      <c r="S325" s="22"/>
    </row>
    <row r="326" spans="1:19" x14ac:dyDescent="0.25">
      <c r="A326" s="22"/>
      <c r="B326" s="22"/>
      <c r="C326" s="22"/>
      <c r="D326" s="23"/>
      <c r="H326" s="22"/>
      <c r="L326" s="633"/>
      <c r="M326" s="598"/>
      <c r="N326" s="598"/>
      <c r="O326" s="631"/>
      <c r="P326" s="22"/>
      <c r="Q326" s="22"/>
      <c r="R326" s="22"/>
      <c r="S326" s="22"/>
    </row>
    <row r="327" spans="1:19" x14ac:dyDescent="0.25">
      <c r="A327" s="22"/>
      <c r="B327" s="22"/>
      <c r="C327" s="22"/>
      <c r="D327" s="23"/>
      <c r="H327" s="22"/>
      <c r="L327" s="633"/>
      <c r="M327" s="598"/>
      <c r="N327" s="598"/>
      <c r="O327" s="631"/>
      <c r="P327" s="22"/>
      <c r="Q327" s="22"/>
      <c r="R327" s="22"/>
      <c r="S327" s="22"/>
    </row>
    <row r="328" spans="1:19" x14ac:dyDescent="0.25">
      <c r="A328" s="22"/>
      <c r="B328" s="22"/>
      <c r="C328" s="22"/>
      <c r="D328" s="23"/>
      <c r="H328" s="22"/>
      <c r="L328" s="633"/>
      <c r="M328" s="598"/>
      <c r="N328" s="598"/>
      <c r="O328" s="631"/>
      <c r="P328" s="22"/>
      <c r="Q328" s="22"/>
      <c r="R328" s="22"/>
      <c r="S328" s="22"/>
    </row>
    <row r="329" spans="1:19" x14ac:dyDescent="0.25">
      <c r="A329" s="22"/>
      <c r="B329" s="22"/>
      <c r="C329" s="22"/>
      <c r="D329" s="23"/>
      <c r="H329" s="22"/>
      <c r="L329" s="633"/>
      <c r="M329" s="598"/>
      <c r="N329" s="598"/>
      <c r="O329" s="631"/>
      <c r="P329" s="22"/>
      <c r="Q329" s="22"/>
      <c r="R329" s="22"/>
      <c r="S329" s="22"/>
    </row>
    <row r="330" spans="1:19" x14ac:dyDescent="0.25">
      <c r="A330" s="22"/>
      <c r="B330" s="22"/>
      <c r="C330" s="22"/>
      <c r="D330" s="23"/>
      <c r="H330" s="22"/>
      <c r="L330" s="633"/>
      <c r="M330" s="598"/>
      <c r="N330" s="598"/>
      <c r="O330" s="631"/>
      <c r="P330" s="22"/>
      <c r="Q330" s="22"/>
      <c r="R330" s="22"/>
      <c r="S330" s="22"/>
    </row>
    <row r="331" spans="1:19" x14ac:dyDescent="0.25">
      <c r="A331" s="22"/>
      <c r="B331" s="22"/>
      <c r="C331" s="22"/>
      <c r="D331" s="23"/>
      <c r="H331" s="22"/>
      <c r="L331" s="633"/>
      <c r="M331" s="598"/>
      <c r="N331" s="598"/>
      <c r="O331" s="631"/>
      <c r="P331" s="22"/>
      <c r="Q331" s="22"/>
      <c r="R331" s="22"/>
      <c r="S331" s="22"/>
    </row>
    <row r="332" spans="1:19" x14ac:dyDescent="0.25">
      <c r="A332" s="22"/>
      <c r="B332" s="22"/>
      <c r="C332" s="22"/>
      <c r="D332" s="23"/>
      <c r="H332" s="22"/>
      <c r="L332" s="633"/>
      <c r="M332" s="598"/>
      <c r="N332" s="598"/>
      <c r="O332" s="631"/>
      <c r="P332" s="22"/>
      <c r="Q332" s="22"/>
      <c r="R332" s="22"/>
      <c r="S332" s="22"/>
    </row>
    <row r="333" spans="1:19" x14ac:dyDescent="0.25">
      <c r="A333" s="22"/>
      <c r="B333" s="22"/>
      <c r="C333" s="22"/>
      <c r="D333" s="23"/>
      <c r="H333" s="22"/>
      <c r="L333" s="633"/>
      <c r="M333" s="598"/>
      <c r="N333" s="598"/>
      <c r="O333" s="631"/>
      <c r="P333" s="22"/>
      <c r="Q333" s="22"/>
      <c r="R333" s="22"/>
      <c r="S333" s="22"/>
    </row>
    <row r="334" spans="1:19" x14ac:dyDescent="0.25">
      <c r="A334" s="22"/>
      <c r="B334" s="22"/>
      <c r="C334" s="22"/>
      <c r="D334" s="23"/>
      <c r="H334" s="22"/>
      <c r="L334" s="633"/>
      <c r="M334" s="598"/>
      <c r="N334" s="598"/>
      <c r="O334" s="631"/>
      <c r="P334" s="22"/>
      <c r="Q334" s="22"/>
      <c r="R334" s="22"/>
      <c r="S334" s="22"/>
    </row>
    <row r="335" spans="1:19" x14ac:dyDescent="0.25">
      <c r="A335" s="22"/>
      <c r="B335" s="22"/>
      <c r="C335" s="22"/>
      <c r="D335" s="23"/>
      <c r="H335" s="22"/>
      <c r="L335" s="633"/>
      <c r="M335" s="598"/>
      <c r="N335" s="598"/>
      <c r="O335" s="631"/>
      <c r="P335" s="22"/>
      <c r="Q335" s="22"/>
      <c r="R335" s="22"/>
      <c r="S335" s="22"/>
    </row>
    <row r="336" spans="1:19" x14ac:dyDescent="0.25">
      <c r="A336" s="22"/>
      <c r="B336" s="22"/>
      <c r="C336" s="22"/>
      <c r="D336" s="23"/>
      <c r="H336" s="22"/>
      <c r="L336" s="633"/>
      <c r="M336" s="598"/>
      <c r="N336" s="598"/>
      <c r="O336" s="631"/>
      <c r="P336" s="22"/>
      <c r="Q336" s="22"/>
      <c r="R336" s="22"/>
      <c r="S336" s="22"/>
    </row>
    <row r="337" spans="1:19" x14ac:dyDescent="0.25">
      <c r="A337" s="22"/>
      <c r="B337" s="22"/>
      <c r="C337" s="22"/>
      <c r="D337" s="23"/>
      <c r="H337" s="22"/>
      <c r="L337" s="633"/>
      <c r="M337" s="598"/>
      <c r="N337" s="598"/>
      <c r="O337" s="631"/>
      <c r="P337" s="22"/>
      <c r="Q337" s="22"/>
      <c r="R337" s="22"/>
      <c r="S337" s="22"/>
    </row>
    <row r="338" spans="1:19" x14ac:dyDescent="0.25">
      <c r="A338" s="22"/>
      <c r="B338" s="22"/>
      <c r="C338" s="22"/>
      <c r="D338" s="23"/>
      <c r="H338" s="22"/>
      <c r="L338" s="633"/>
      <c r="M338" s="598"/>
      <c r="N338" s="598"/>
      <c r="O338" s="631"/>
      <c r="P338" s="22"/>
      <c r="Q338" s="22"/>
      <c r="R338" s="22"/>
      <c r="S338" s="22"/>
    </row>
    <row r="339" spans="1:19" x14ac:dyDescent="0.25">
      <c r="A339" s="22"/>
      <c r="B339" s="22"/>
      <c r="C339" s="22"/>
      <c r="D339" s="23"/>
      <c r="H339" s="22"/>
      <c r="L339" s="633"/>
      <c r="M339" s="598"/>
      <c r="N339" s="598"/>
      <c r="O339" s="631"/>
      <c r="P339" s="22"/>
      <c r="Q339" s="22"/>
      <c r="R339" s="22"/>
      <c r="S339" s="22"/>
    </row>
    <row r="340" spans="1:19" x14ac:dyDescent="0.25">
      <c r="A340" s="22"/>
      <c r="B340" s="22"/>
      <c r="C340" s="22"/>
      <c r="D340" s="23"/>
      <c r="H340" s="22"/>
      <c r="L340" s="633"/>
      <c r="M340" s="598"/>
      <c r="N340" s="598"/>
      <c r="O340" s="631"/>
      <c r="P340" s="22"/>
      <c r="Q340" s="22"/>
      <c r="R340" s="22"/>
      <c r="S340" s="22"/>
    </row>
    <row r="341" spans="1:19" x14ac:dyDescent="0.25">
      <c r="A341" s="22"/>
      <c r="B341" s="22"/>
      <c r="C341" s="22"/>
      <c r="D341" s="23"/>
      <c r="H341" s="22"/>
      <c r="L341" s="633"/>
      <c r="M341" s="598"/>
      <c r="N341" s="598"/>
      <c r="O341" s="631"/>
      <c r="P341" s="22"/>
      <c r="Q341" s="22"/>
      <c r="R341" s="22"/>
      <c r="S341" s="22"/>
    </row>
    <row r="342" spans="1:19" x14ac:dyDescent="0.25">
      <c r="A342" s="22"/>
      <c r="B342" s="22"/>
      <c r="C342" s="22"/>
      <c r="D342" s="23"/>
      <c r="H342" s="22"/>
      <c r="L342" s="633"/>
      <c r="M342" s="598"/>
      <c r="N342" s="598"/>
      <c r="O342" s="631"/>
      <c r="P342" s="22"/>
      <c r="Q342" s="22"/>
      <c r="R342" s="22"/>
      <c r="S342" s="22"/>
    </row>
    <row r="343" spans="1:19" x14ac:dyDescent="0.25">
      <c r="A343" s="22"/>
      <c r="B343" s="22"/>
      <c r="C343" s="22"/>
      <c r="D343" s="23"/>
      <c r="H343" s="22"/>
      <c r="L343" s="633"/>
      <c r="M343" s="598"/>
      <c r="N343" s="598"/>
      <c r="O343" s="631"/>
      <c r="P343" s="22"/>
      <c r="Q343" s="22"/>
      <c r="R343" s="22"/>
      <c r="S343" s="22"/>
    </row>
    <row r="344" spans="1:19" x14ac:dyDescent="0.25">
      <c r="A344" s="22"/>
      <c r="B344" s="22"/>
      <c r="C344" s="22"/>
      <c r="D344" s="23"/>
      <c r="H344" s="22"/>
      <c r="L344" s="633"/>
      <c r="M344" s="598"/>
      <c r="N344" s="598"/>
      <c r="O344" s="631"/>
      <c r="P344" s="22"/>
      <c r="Q344" s="22"/>
      <c r="R344" s="22"/>
      <c r="S344" s="22"/>
    </row>
    <row r="345" spans="1:19" x14ac:dyDescent="0.25">
      <c r="A345" s="22"/>
      <c r="B345" s="22"/>
      <c r="C345" s="22"/>
      <c r="D345" s="23"/>
      <c r="H345" s="22"/>
      <c r="L345" s="633"/>
      <c r="M345" s="598"/>
      <c r="N345" s="598"/>
      <c r="O345" s="631"/>
      <c r="P345" s="22"/>
      <c r="Q345" s="22"/>
      <c r="R345" s="22"/>
      <c r="S345" s="22"/>
    </row>
    <row r="346" spans="1:19" x14ac:dyDescent="0.25">
      <c r="A346" s="22"/>
      <c r="B346" s="22"/>
      <c r="C346" s="22"/>
      <c r="D346" s="23"/>
      <c r="H346" s="22"/>
      <c r="L346" s="633"/>
      <c r="M346" s="598"/>
      <c r="N346" s="598"/>
      <c r="O346" s="631"/>
      <c r="P346" s="22"/>
      <c r="Q346" s="22"/>
      <c r="R346" s="22"/>
      <c r="S346" s="22"/>
    </row>
    <row r="347" spans="1:19" x14ac:dyDescent="0.25">
      <c r="A347" s="22"/>
      <c r="B347" s="22"/>
      <c r="C347" s="22"/>
      <c r="D347" s="23"/>
      <c r="H347" s="22"/>
      <c r="L347" s="633"/>
      <c r="M347" s="598"/>
      <c r="N347" s="598"/>
      <c r="O347" s="631"/>
      <c r="P347" s="22"/>
      <c r="Q347" s="22"/>
      <c r="R347" s="22"/>
      <c r="S347" s="22"/>
    </row>
    <row r="348" spans="1:19" x14ac:dyDescent="0.25">
      <c r="A348" s="22"/>
      <c r="B348" s="22"/>
      <c r="C348" s="22"/>
      <c r="D348" s="23"/>
      <c r="H348" s="22"/>
      <c r="L348" s="633"/>
      <c r="M348" s="598"/>
      <c r="N348" s="598"/>
      <c r="O348" s="631"/>
      <c r="P348" s="22"/>
      <c r="Q348" s="22"/>
      <c r="R348" s="22"/>
      <c r="S348" s="22"/>
    </row>
    <row r="349" spans="1:19" x14ac:dyDescent="0.25">
      <c r="A349" s="22"/>
      <c r="B349" s="22"/>
      <c r="C349" s="22"/>
      <c r="D349" s="23"/>
      <c r="H349" s="22"/>
      <c r="L349" s="633"/>
      <c r="M349" s="598"/>
      <c r="N349" s="598"/>
      <c r="O349" s="631"/>
      <c r="P349" s="22"/>
      <c r="Q349" s="22"/>
      <c r="R349" s="22"/>
      <c r="S349" s="22"/>
    </row>
    <row r="350" spans="1:19" x14ac:dyDescent="0.25">
      <c r="A350" s="22"/>
      <c r="B350" s="22"/>
      <c r="C350" s="22"/>
      <c r="D350" s="23"/>
      <c r="H350" s="22"/>
      <c r="L350" s="633"/>
      <c r="M350" s="598"/>
      <c r="N350" s="598"/>
      <c r="O350" s="631"/>
      <c r="P350" s="22"/>
      <c r="Q350" s="22"/>
      <c r="R350" s="22"/>
      <c r="S350" s="22"/>
    </row>
    <row r="351" spans="1:19" x14ac:dyDescent="0.25">
      <c r="A351" s="22"/>
      <c r="B351" s="22"/>
      <c r="C351" s="22"/>
      <c r="D351" s="23"/>
      <c r="H351" s="22"/>
      <c r="L351" s="633"/>
      <c r="M351" s="598"/>
      <c r="N351" s="598"/>
      <c r="O351" s="631"/>
      <c r="P351" s="22"/>
      <c r="Q351" s="22"/>
      <c r="R351" s="22"/>
      <c r="S351" s="22"/>
    </row>
    <row r="352" spans="1:19" x14ac:dyDescent="0.25">
      <c r="A352" s="22"/>
      <c r="B352" s="22"/>
      <c r="C352" s="22"/>
      <c r="D352" s="23"/>
      <c r="H352" s="22"/>
      <c r="L352" s="633"/>
      <c r="M352" s="598"/>
      <c r="N352" s="598"/>
      <c r="O352" s="631"/>
      <c r="P352" s="22"/>
      <c r="Q352" s="22"/>
      <c r="R352" s="22"/>
      <c r="S352" s="22"/>
    </row>
    <row r="353" spans="1:19" x14ac:dyDescent="0.25">
      <c r="A353" s="22"/>
      <c r="B353" s="22"/>
      <c r="C353" s="22"/>
      <c r="D353" s="23"/>
      <c r="H353" s="22"/>
      <c r="L353" s="633"/>
      <c r="M353" s="598"/>
      <c r="N353" s="598"/>
      <c r="O353" s="631"/>
      <c r="P353" s="22"/>
      <c r="Q353" s="22"/>
      <c r="R353" s="22"/>
      <c r="S353" s="22"/>
    </row>
    <row r="354" spans="1:19" x14ac:dyDescent="0.25">
      <c r="A354" s="22"/>
      <c r="B354" s="22"/>
      <c r="C354" s="22"/>
      <c r="D354" s="23"/>
      <c r="H354" s="22"/>
      <c r="L354" s="633"/>
      <c r="M354" s="598"/>
      <c r="N354" s="598"/>
      <c r="O354" s="631"/>
      <c r="P354" s="22"/>
      <c r="Q354" s="22"/>
      <c r="R354" s="22"/>
      <c r="S354" s="22"/>
    </row>
    <row r="355" spans="1:19" x14ac:dyDescent="0.25">
      <c r="A355" s="22"/>
      <c r="B355" s="22"/>
      <c r="C355" s="22"/>
      <c r="D355" s="23"/>
      <c r="H355" s="22"/>
      <c r="L355" s="633"/>
      <c r="M355" s="598"/>
      <c r="N355" s="598"/>
      <c r="O355" s="631"/>
      <c r="P355" s="22"/>
      <c r="Q355" s="22"/>
      <c r="R355" s="22"/>
      <c r="S355" s="22"/>
    </row>
    <row r="356" spans="1:19" x14ac:dyDescent="0.25">
      <c r="A356" s="22"/>
      <c r="B356" s="22"/>
      <c r="C356" s="22"/>
      <c r="D356" s="23"/>
      <c r="H356" s="22"/>
      <c r="L356" s="633"/>
      <c r="M356" s="598"/>
      <c r="N356" s="598"/>
      <c r="O356" s="631"/>
      <c r="P356" s="22"/>
      <c r="Q356" s="22"/>
      <c r="R356" s="22"/>
      <c r="S356" s="22"/>
    </row>
    <row r="357" spans="1:19" x14ac:dyDescent="0.25">
      <c r="A357" s="22"/>
      <c r="B357" s="22"/>
      <c r="C357" s="22"/>
      <c r="D357" s="23"/>
      <c r="H357" s="22"/>
      <c r="L357" s="633"/>
      <c r="M357" s="598"/>
      <c r="N357" s="598"/>
      <c r="O357" s="631"/>
      <c r="P357" s="22"/>
      <c r="Q357" s="22"/>
      <c r="R357" s="22"/>
      <c r="S357" s="22"/>
    </row>
    <row r="358" spans="1:19" x14ac:dyDescent="0.25">
      <c r="A358" s="22"/>
      <c r="B358" s="22"/>
      <c r="C358" s="22"/>
      <c r="D358" s="23"/>
      <c r="H358" s="22"/>
      <c r="L358" s="633"/>
      <c r="M358" s="598"/>
      <c r="N358" s="598"/>
      <c r="O358" s="631"/>
      <c r="P358" s="22"/>
      <c r="Q358" s="22"/>
      <c r="R358" s="22"/>
      <c r="S358" s="22"/>
    </row>
    <row r="359" spans="1:19" x14ac:dyDescent="0.25">
      <c r="A359" s="22"/>
      <c r="B359" s="22"/>
      <c r="C359" s="22"/>
      <c r="D359" s="23"/>
      <c r="H359" s="22"/>
      <c r="L359" s="633"/>
      <c r="M359" s="598"/>
      <c r="N359" s="598"/>
      <c r="O359" s="631"/>
      <c r="P359" s="22"/>
      <c r="Q359" s="22"/>
      <c r="R359" s="22"/>
      <c r="S359" s="22"/>
    </row>
    <row r="360" spans="1:19" x14ac:dyDescent="0.25">
      <c r="A360" s="22"/>
      <c r="B360" s="22"/>
      <c r="C360" s="22"/>
      <c r="D360" s="23"/>
      <c r="H360" s="22"/>
      <c r="L360" s="633"/>
      <c r="M360" s="598"/>
      <c r="N360" s="598"/>
      <c r="O360" s="631"/>
      <c r="P360" s="22"/>
      <c r="Q360" s="22"/>
      <c r="R360" s="22"/>
      <c r="S360" s="22"/>
    </row>
    <row r="361" spans="1:19" x14ac:dyDescent="0.25">
      <c r="A361" s="22"/>
      <c r="B361" s="22"/>
      <c r="C361" s="22"/>
      <c r="D361" s="23"/>
      <c r="H361" s="22"/>
      <c r="L361" s="633"/>
      <c r="M361" s="598"/>
      <c r="N361" s="598"/>
      <c r="O361" s="631"/>
      <c r="P361" s="22"/>
      <c r="Q361" s="22"/>
      <c r="R361" s="22"/>
      <c r="S361" s="22"/>
    </row>
    <row r="362" spans="1:19" x14ac:dyDescent="0.25">
      <c r="A362" s="22"/>
      <c r="B362" s="22"/>
      <c r="C362" s="22"/>
      <c r="D362" s="23"/>
      <c r="H362" s="22"/>
      <c r="L362" s="633"/>
      <c r="M362" s="598"/>
      <c r="N362" s="598"/>
      <c r="O362" s="631"/>
      <c r="P362" s="22"/>
      <c r="Q362" s="22"/>
      <c r="R362" s="22"/>
      <c r="S362" s="22"/>
    </row>
    <row r="363" spans="1:19" x14ac:dyDescent="0.25">
      <c r="A363" s="22"/>
      <c r="B363" s="22"/>
      <c r="C363" s="22"/>
      <c r="D363" s="23"/>
      <c r="H363" s="22"/>
      <c r="L363" s="633"/>
      <c r="M363" s="598"/>
      <c r="N363" s="598"/>
      <c r="O363" s="631"/>
      <c r="P363" s="22"/>
      <c r="Q363" s="22"/>
      <c r="R363" s="22"/>
      <c r="S363" s="22"/>
    </row>
    <row r="364" spans="1:19" x14ac:dyDescent="0.25">
      <c r="A364" s="22"/>
      <c r="B364" s="22"/>
      <c r="C364" s="22"/>
      <c r="D364" s="23"/>
      <c r="H364" s="22"/>
      <c r="L364" s="633"/>
      <c r="M364" s="598"/>
      <c r="N364" s="598"/>
      <c r="O364" s="631"/>
      <c r="P364" s="22"/>
      <c r="Q364" s="22"/>
      <c r="R364" s="22"/>
      <c r="S364" s="22"/>
    </row>
    <row r="365" spans="1:19" x14ac:dyDescent="0.25">
      <c r="A365" s="22"/>
      <c r="B365" s="22"/>
      <c r="C365" s="22"/>
      <c r="D365" s="23"/>
      <c r="H365" s="22"/>
      <c r="L365" s="633"/>
      <c r="M365" s="598"/>
      <c r="N365" s="598"/>
      <c r="O365" s="631"/>
      <c r="P365" s="22"/>
      <c r="Q365" s="22"/>
      <c r="R365" s="22"/>
      <c r="S365" s="22"/>
    </row>
    <row r="366" spans="1:19" x14ac:dyDescent="0.25">
      <c r="A366" s="22"/>
      <c r="B366" s="22"/>
      <c r="C366" s="22"/>
      <c r="D366" s="23"/>
      <c r="H366" s="22"/>
      <c r="L366" s="633"/>
      <c r="M366" s="598"/>
      <c r="N366" s="598"/>
      <c r="O366" s="631"/>
      <c r="P366" s="22"/>
      <c r="Q366" s="22"/>
      <c r="R366" s="22"/>
      <c r="S366" s="22"/>
    </row>
    <row r="367" spans="1:19" x14ac:dyDescent="0.25">
      <c r="A367" s="22"/>
      <c r="B367" s="22"/>
      <c r="C367" s="22"/>
      <c r="D367" s="23"/>
      <c r="H367" s="22"/>
      <c r="L367" s="633"/>
      <c r="M367" s="598"/>
      <c r="N367" s="598"/>
      <c r="O367" s="631"/>
      <c r="P367" s="22"/>
      <c r="Q367" s="22"/>
      <c r="R367" s="22"/>
      <c r="S367" s="22"/>
    </row>
    <row r="368" spans="1:19" x14ac:dyDescent="0.25">
      <c r="A368" s="22"/>
      <c r="B368" s="22"/>
      <c r="C368" s="22"/>
      <c r="D368" s="23"/>
      <c r="H368" s="22"/>
      <c r="L368" s="633"/>
      <c r="M368" s="598"/>
      <c r="N368" s="598"/>
      <c r="O368" s="631"/>
      <c r="P368" s="22"/>
      <c r="Q368" s="22"/>
      <c r="R368" s="22"/>
      <c r="S368" s="22"/>
    </row>
    <row r="369" spans="1:19" x14ac:dyDescent="0.25">
      <c r="A369" s="22"/>
      <c r="B369" s="22"/>
      <c r="C369" s="22"/>
      <c r="D369" s="23"/>
      <c r="H369" s="22"/>
      <c r="L369" s="633"/>
      <c r="M369" s="598"/>
      <c r="N369" s="598"/>
      <c r="O369" s="631"/>
      <c r="P369" s="22"/>
      <c r="Q369" s="22"/>
      <c r="R369" s="22"/>
      <c r="S369" s="22"/>
    </row>
    <row r="370" spans="1:19" x14ac:dyDescent="0.25">
      <c r="A370" s="22"/>
      <c r="B370" s="22"/>
      <c r="C370" s="22"/>
      <c r="D370" s="23"/>
      <c r="H370" s="22"/>
      <c r="L370" s="633"/>
      <c r="M370" s="598"/>
      <c r="N370" s="598"/>
      <c r="O370" s="631"/>
      <c r="P370" s="22"/>
      <c r="Q370" s="22"/>
      <c r="R370" s="22"/>
      <c r="S370" s="22"/>
    </row>
    <row r="371" spans="1:19" x14ac:dyDescent="0.25">
      <c r="A371" s="22"/>
      <c r="B371" s="22"/>
      <c r="C371" s="22"/>
      <c r="D371" s="23"/>
      <c r="H371" s="22"/>
      <c r="L371" s="633"/>
      <c r="M371" s="598"/>
      <c r="N371" s="598"/>
      <c r="O371" s="631"/>
      <c r="P371" s="22"/>
      <c r="Q371" s="22"/>
      <c r="R371" s="22"/>
      <c r="S371" s="22"/>
    </row>
    <row r="372" spans="1:19" x14ac:dyDescent="0.25">
      <c r="A372" s="22"/>
      <c r="B372" s="22"/>
      <c r="C372" s="22"/>
      <c r="D372" s="23"/>
      <c r="H372" s="22"/>
      <c r="L372" s="633"/>
      <c r="M372" s="598"/>
      <c r="N372" s="598"/>
      <c r="O372" s="631"/>
      <c r="P372" s="22"/>
      <c r="Q372" s="22"/>
      <c r="R372" s="22"/>
      <c r="S372" s="22"/>
    </row>
    <row r="373" spans="1:19" x14ac:dyDescent="0.25">
      <c r="A373" s="22"/>
      <c r="B373" s="22"/>
      <c r="C373" s="22"/>
      <c r="D373" s="23"/>
      <c r="H373" s="22"/>
      <c r="L373" s="633"/>
      <c r="M373" s="598"/>
      <c r="N373" s="598"/>
      <c r="O373" s="631"/>
      <c r="P373" s="22"/>
      <c r="Q373" s="22"/>
      <c r="R373" s="22"/>
      <c r="S373" s="22"/>
    </row>
    <row r="374" spans="1:19" x14ac:dyDescent="0.25">
      <c r="A374" s="22"/>
      <c r="B374" s="22"/>
      <c r="C374" s="22"/>
      <c r="D374" s="23"/>
      <c r="H374" s="22"/>
      <c r="L374" s="633"/>
      <c r="M374" s="598"/>
      <c r="N374" s="598"/>
      <c r="O374" s="631"/>
      <c r="P374" s="22"/>
      <c r="Q374" s="22"/>
      <c r="R374" s="22"/>
      <c r="S374" s="22"/>
    </row>
    <row r="375" spans="1:19" x14ac:dyDescent="0.25">
      <c r="A375" s="22"/>
      <c r="B375" s="22"/>
      <c r="C375" s="22"/>
      <c r="D375" s="23"/>
      <c r="H375" s="22"/>
      <c r="L375" s="633"/>
      <c r="M375" s="598"/>
      <c r="N375" s="598"/>
      <c r="O375" s="631"/>
      <c r="P375" s="22"/>
      <c r="Q375" s="22"/>
      <c r="R375" s="22"/>
      <c r="S375" s="22"/>
    </row>
    <row r="376" spans="1:19" x14ac:dyDescent="0.25">
      <c r="A376" s="22"/>
      <c r="B376" s="22"/>
      <c r="C376" s="22"/>
      <c r="D376" s="23"/>
      <c r="H376" s="22"/>
      <c r="L376" s="633"/>
      <c r="M376" s="598"/>
      <c r="N376" s="598"/>
      <c r="O376" s="631"/>
      <c r="P376" s="22"/>
      <c r="Q376" s="22"/>
      <c r="R376" s="22"/>
      <c r="S376" s="22"/>
    </row>
    <row r="377" spans="1:19" x14ac:dyDescent="0.25">
      <c r="A377" s="22"/>
      <c r="B377" s="22"/>
      <c r="C377" s="22"/>
      <c r="D377" s="23"/>
      <c r="H377" s="22"/>
      <c r="L377" s="633"/>
      <c r="M377" s="598"/>
      <c r="N377" s="598"/>
      <c r="O377" s="631"/>
      <c r="P377" s="22"/>
      <c r="Q377" s="22"/>
      <c r="R377" s="22"/>
      <c r="S377" s="22"/>
    </row>
    <row r="378" spans="1:19" x14ac:dyDescent="0.25">
      <c r="A378" s="22"/>
      <c r="B378" s="22"/>
      <c r="C378" s="22"/>
      <c r="D378" s="23"/>
      <c r="H378" s="22"/>
      <c r="L378" s="633"/>
      <c r="M378" s="598"/>
      <c r="N378" s="598"/>
      <c r="O378" s="631"/>
      <c r="P378" s="22"/>
      <c r="Q378" s="22"/>
      <c r="R378" s="22"/>
      <c r="S378" s="22"/>
    </row>
    <row r="379" spans="1:19" x14ac:dyDescent="0.25">
      <c r="A379" s="22"/>
      <c r="B379" s="22"/>
      <c r="C379" s="22"/>
      <c r="D379" s="23"/>
      <c r="H379" s="22"/>
      <c r="L379" s="633"/>
      <c r="M379" s="598"/>
      <c r="N379" s="598"/>
      <c r="O379" s="631"/>
      <c r="P379" s="22"/>
      <c r="Q379" s="22"/>
      <c r="R379" s="22"/>
      <c r="S379" s="22"/>
    </row>
    <row r="380" spans="1:19" x14ac:dyDescent="0.25">
      <c r="A380" s="22"/>
      <c r="B380" s="22"/>
      <c r="C380" s="22"/>
      <c r="D380" s="23"/>
      <c r="H380" s="22"/>
      <c r="L380" s="633"/>
      <c r="M380" s="598"/>
      <c r="N380" s="598"/>
      <c r="O380" s="631"/>
      <c r="P380" s="22"/>
      <c r="Q380" s="22"/>
      <c r="R380" s="22"/>
      <c r="S380" s="22"/>
    </row>
    <row r="381" spans="1:19" x14ac:dyDescent="0.25">
      <c r="A381" s="22"/>
      <c r="B381" s="22"/>
      <c r="C381" s="22"/>
      <c r="D381" s="23"/>
      <c r="H381" s="22"/>
      <c r="L381" s="633"/>
      <c r="M381" s="598"/>
      <c r="N381" s="598"/>
      <c r="O381" s="631"/>
      <c r="P381" s="22"/>
      <c r="Q381" s="22"/>
      <c r="R381" s="22"/>
      <c r="S381" s="22"/>
    </row>
    <row r="382" spans="1:19" x14ac:dyDescent="0.25">
      <c r="A382" s="22"/>
      <c r="B382" s="22"/>
      <c r="C382" s="22"/>
      <c r="D382" s="23"/>
      <c r="H382" s="22"/>
      <c r="L382" s="633"/>
      <c r="M382" s="598"/>
      <c r="N382" s="598"/>
      <c r="O382" s="631"/>
      <c r="P382" s="22"/>
      <c r="Q382" s="22"/>
      <c r="R382" s="22"/>
      <c r="S382" s="22"/>
    </row>
    <row r="383" spans="1:19" x14ac:dyDescent="0.25">
      <c r="A383" s="22"/>
      <c r="B383" s="22"/>
      <c r="C383" s="22"/>
      <c r="D383" s="23"/>
      <c r="H383" s="22"/>
      <c r="L383" s="633"/>
      <c r="M383" s="598"/>
      <c r="N383" s="598"/>
      <c r="O383" s="631"/>
      <c r="P383" s="22"/>
      <c r="Q383" s="22"/>
      <c r="R383" s="22"/>
      <c r="S383" s="22"/>
    </row>
    <row r="384" spans="1:19" x14ac:dyDescent="0.25">
      <c r="A384" s="22"/>
      <c r="B384" s="22"/>
      <c r="C384" s="22"/>
      <c r="D384" s="23"/>
      <c r="H384" s="22"/>
      <c r="L384" s="633"/>
      <c r="M384" s="598"/>
      <c r="N384" s="598"/>
      <c r="O384" s="631"/>
      <c r="P384" s="22"/>
      <c r="Q384" s="22"/>
      <c r="R384" s="22"/>
      <c r="S384" s="22"/>
    </row>
    <row r="385" spans="1:19" x14ac:dyDescent="0.25">
      <c r="A385" s="22"/>
      <c r="B385" s="22"/>
      <c r="C385" s="22"/>
      <c r="D385" s="23"/>
      <c r="H385" s="22"/>
      <c r="L385" s="633"/>
      <c r="M385" s="598"/>
      <c r="N385" s="598"/>
      <c r="O385" s="631"/>
      <c r="P385" s="22"/>
      <c r="Q385" s="22"/>
      <c r="R385" s="22"/>
      <c r="S385" s="22"/>
    </row>
    <row r="386" spans="1:19" x14ac:dyDescent="0.25">
      <c r="A386" s="22"/>
      <c r="B386" s="22"/>
      <c r="C386" s="22"/>
      <c r="D386" s="23"/>
      <c r="H386" s="22"/>
      <c r="L386" s="633"/>
      <c r="M386" s="598"/>
      <c r="N386" s="598"/>
      <c r="O386" s="631"/>
      <c r="P386" s="22"/>
      <c r="Q386" s="22"/>
      <c r="R386" s="22"/>
      <c r="S386" s="22"/>
    </row>
    <row r="387" spans="1:19" x14ac:dyDescent="0.25">
      <c r="A387" s="22"/>
      <c r="B387" s="22"/>
      <c r="C387" s="22"/>
      <c r="D387" s="23"/>
      <c r="H387" s="22"/>
      <c r="L387" s="633"/>
      <c r="M387" s="598"/>
      <c r="N387" s="598"/>
      <c r="O387" s="631"/>
      <c r="P387" s="22"/>
      <c r="Q387" s="22"/>
      <c r="R387" s="22"/>
      <c r="S387" s="22"/>
    </row>
    <row r="388" spans="1:19" x14ac:dyDescent="0.25">
      <c r="A388" s="22"/>
      <c r="B388" s="22"/>
      <c r="C388" s="22"/>
      <c r="D388" s="23"/>
      <c r="H388" s="22"/>
      <c r="L388" s="633"/>
      <c r="M388" s="598"/>
      <c r="N388" s="598"/>
      <c r="O388" s="631"/>
      <c r="P388" s="22"/>
      <c r="Q388" s="22"/>
      <c r="R388" s="22"/>
      <c r="S388" s="22"/>
    </row>
    <row r="389" spans="1:19" x14ac:dyDescent="0.25">
      <c r="A389" s="22"/>
      <c r="B389" s="22"/>
      <c r="C389" s="22"/>
      <c r="D389" s="23"/>
      <c r="H389" s="22"/>
      <c r="L389" s="633"/>
      <c r="M389" s="598"/>
      <c r="N389" s="598"/>
      <c r="O389" s="631"/>
      <c r="P389" s="22"/>
      <c r="Q389" s="22"/>
      <c r="R389" s="22"/>
      <c r="S389" s="22"/>
    </row>
    <row r="390" spans="1:19" x14ac:dyDescent="0.25">
      <c r="A390" s="22"/>
      <c r="B390" s="22"/>
      <c r="C390" s="22"/>
      <c r="D390" s="23"/>
      <c r="H390" s="22"/>
      <c r="L390" s="633"/>
      <c r="M390" s="598"/>
      <c r="N390" s="598"/>
      <c r="O390" s="631"/>
      <c r="P390" s="22"/>
      <c r="Q390" s="22"/>
      <c r="R390" s="22"/>
      <c r="S390" s="22"/>
    </row>
    <row r="391" spans="1:19" x14ac:dyDescent="0.25">
      <c r="A391" s="22"/>
      <c r="B391" s="22"/>
      <c r="C391" s="22"/>
      <c r="D391" s="23"/>
      <c r="H391" s="22"/>
      <c r="L391" s="633"/>
      <c r="M391" s="598"/>
      <c r="N391" s="598"/>
      <c r="O391" s="631"/>
      <c r="P391" s="22"/>
      <c r="Q391" s="22"/>
      <c r="R391" s="22"/>
      <c r="S391" s="22"/>
    </row>
    <row r="392" spans="1:19" x14ac:dyDescent="0.25">
      <c r="A392" s="22"/>
      <c r="B392" s="22"/>
      <c r="C392" s="22"/>
      <c r="D392" s="23"/>
      <c r="H392" s="22"/>
      <c r="L392" s="633"/>
      <c r="M392" s="598"/>
      <c r="N392" s="598"/>
      <c r="O392" s="631"/>
      <c r="P392" s="22"/>
      <c r="Q392" s="22"/>
      <c r="R392" s="22"/>
      <c r="S392" s="22"/>
    </row>
    <row r="393" spans="1:19" x14ac:dyDescent="0.25">
      <c r="A393" s="22"/>
      <c r="B393" s="22"/>
      <c r="C393" s="22"/>
      <c r="D393" s="23"/>
      <c r="H393" s="22"/>
      <c r="L393" s="633"/>
      <c r="M393" s="598"/>
      <c r="N393" s="598"/>
      <c r="O393" s="631"/>
      <c r="P393" s="22"/>
      <c r="Q393" s="22"/>
      <c r="R393" s="22"/>
      <c r="S393" s="22"/>
    </row>
    <row r="394" spans="1:19" x14ac:dyDescent="0.25">
      <c r="A394" s="22"/>
      <c r="B394" s="22"/>
      <c r="C394" s="22"/>
      <c r="D394" s="23"/>
      <c r="H394" s="22"/>
      <c r="L394" s="633"/>
      <c r="M394" s="598"/>
      <c r="N394" s="598"/>
      <c r="O394" s="631"/>
      <c r="P394" s="22"/>
      <c r="Q394" s="22"/>
      <c r="R394" s="22"/>
      <c r="S394" s="22"/>
    </row>
    <row r="395" spans="1:19" x14ac:dyDescent="0.25">
      <c r="A395" s="22"/>
      <c r="B395" s="22"/>
      <c r="C395" s="22"/>
      <c r="D395" s="23"/>
      <c r="H395" s="22"/>
      <c r="L395" s="633"/>
      <c r="M395" s="598"/>
      <c r="N395" s="598"/>
      <c r="O395" s="631"/>
      <c r="P395" s="22"/>
      <c r="Q395" s="22"/>
      <c r="R395" s="22"/>
      <c r="S395" s="22"/>
    </row>
    <row r="396" spans="1:19" x14ac:dyDescent="0.25">
      <c r="A396" s="22"/>
      <c r="B396" s="22"/>
      <c r="C396" s="22"/>
      <c r="D396" s="23"/>
      <c r="H396" s="22"/>
      <c r="L396" s="633"/>
      <c r="M396" s="598"/>
      <c r="N396" s="598"/>
      <c r="O396" s="631"/>
      <c r="P396" s="22"/>
      <c r="Q396" s="22"/>
      <c r="R396" s="22"/>
      <c r="S396" s="22"/>
    </row>
    <row r="397" spans="1:19" x14ac:dyDescent="0.25">
      <c r="A397" s="22"/>
      <c r="B397" s="22"/>
      <c r="C397" s="22"/>
      <c r="D397" s="23"/>
      <c r="H397" s="22"/>
      <c r="L397" s="633"/>
      <c r="M397" s="598"/>
      <c r="N397" s="598"/>
      <c r="O397" s="631"/>
      <c r="P397" s="22"/>
      <c r="Q397" s="22"/>
      <c r="R397" s="22"/>
      <c r="S397" s="22"/>
    </row>
    <row r="398" spans="1:19" x14ac:dyDescent="0.25">
      <c r="A398" s="22"/>
      <c r="B398" s="22"/>
      <c r="C398" s="22"/>
      <c r="D398" s="23"/>
      <c r="H398" s="22"/>
      <c r="L398" s="633"/>
      <c r="M398" s="598"/>
      <c r="N398" s="598"/>
      <c r="O398" s="631"/>
      <c r="P398" s="22"/>
      <c r="Q398" s="22"/>
      <c r="R398" s="22"/>
      <c r="S398" s="22"/>
    </row>
    <row r="399" spans="1:19" x14ac:dyDescent="0.25">
      <c r="A399" s="22"/>
      <c r="B399" s="22"/>
      <c r="C399" s="22"/>
      <c r="D399" s="23"/>
      <c r="H399" s="22"/>
      <c r="L399" s="633"/>
      <c r="M399" s="598"/>
      <c r="N399" s="598"/>
      <c r="O399" s="631"/>
      <c r="P399" s="22"/>
      <c r="Q399" s="22"/>
      <c r="R399" s="22"/>
      <c r="S399" s="22"/>
    </row>
    <row r="400" spans="1:19" x14ac:dyDescent="0.25">
      <c r="A400" s="22"/>
      <c r="B400" s="22"/>
      <c r="C400" s="22"/>
      <c r="D400" s="23"/>
      <c r="H400" s="22"/>
      <c r="L400" s="633"/>
      <c r="M400" s="598"/>
      <c r="N400" s="598"/>
      <c r="O400" s="631"/>
      <c r="P400" s="22"/>
      <c r="Q400" s="22"/>
      <c r="R400" s="22"/>
      <c r="S400" s="22"/>
    </row>
    <row r="401" spans="1:19" x14ac:dyDescent="0.25">
      <c r="A401" s="22"/>
      <c r="B401" s="22"/>
      <c r="C401" s="22"/>
      <c r="D401" s="23"/>
      <c r="H401" s="22"/>
      <c r="L401" s="633"/>
      <c r="M401" s="598"/>
      <c r="N401" s="598"/>
      <c r="O401" s="631"/>
      <c r="P401" s="22"/>
      <c r="Q401" s="22"/>
      <c r="R401" s="22"/>
      <c r="S401" s="22"/>
    </row>
    <row r="402" spans="1:19" x14ac:dyDescent="0.25">
      <c r="A402" s="22"/>
      <c r="B402" s="22"/>
      <c r="C402" s="22"/>
      <c r="D402" s="23"/>
      <c r="H402" s="22"/>
      <c r="L402" s="633"/>
      <c r="M402" s="598"/>
      <c r="N402" s="598"/>
      <c r="O402" s="631"/>
      <c r="P402" s="22"/>
      <c r="Q402" s="22"/>
      <c r="R402" s="22"/>
      <c r="S402" s="22"/>
    </row>
    <row r="403" spans="1:19" x14ac:dyDescent="0.25">
      <c r="A403" s="22"/>
      <c r="B403" s="22"/>
      <c r="C403" s="22"/>
      <c r="D403" s="23"/>
      <c r="H403" s="22"/>
      <c r="L403" s="633"/>
      <c r="M403" s="598"/>
      <c r="N403" s="598"/>
      <c r="O403" s="631"/>
      <c r="P403" s="22"/>
      <c r="Q403" s="22"/>
      <c r="R403" s="22"/>
      <c r="S403" s="22"/>
    </row>
    <row r="404" spans="1:19" x14ac:dyDescent="0.25">
      <c r="A404" s="22"/>
      <c r="B404" s="22"/>
      <c r="C404" s="22"/>
      <c r="D404" s="23"/>
      <c r="H404" s="22"/>
      <c r="L404" s="633"/>
      <c r="M404" s="598"/>
      <c r="N404" s="598"/>
      <c r="O404" s="631"/>
      <c r="P404" s="22"/>
      <c r="Q404" s="22"/>
      <c r="R404" s="22"/>
      <c r="S404" s="22"/>
    </row>
    <row r="405" spans="1:19" x14ac:dyDescent="0.25">
      <c r="A405" s="22"/>
      <c r="B405" s="22"/>
      <c r="C405" s="22"/>
      <c r="D405" s="23"/>
      <c r="H405" s="22"/>
      <c r="L405" s="633"/>
      <c r="M405" s="598"/>
      <c r="N405" s="598"/>
      <c r="O405" s="631"/>
      <c r="P405" s="22"/>
      <c r="Q405" s="22"/>
      <c r="R405" s="22"/>
      <c r="S405" s="22"/>
    </row>
    <row r="406" spans="1:19" x14ac:dyDescent="0.25">
      <c r="A406" s="22"/>
      <c r="B406" s="22"/>
      <c r="C406" s="22"/>
      <c r="D406" s="23"/>
      <c r="H406" s="22"/>
      <c r="L406" s="633"/>
      <c r="M406" s="598"/>
      <c r="N406" s="598"/>
      <c r="O406" s="631"/>
      <c r="P406" s="22"/>
      <c r="Q406" s="22"/>
      <c r="R406" s="22"/>
      <c r="S406" s="22"/>
    </row>
    <row r="407" spans="1:19" x14ac:dyDescent="0.25">
      <c r="A407" s="22"/>
      <c r="B407" s="22"/>
      <c r="C407" s="22"/>
      <c r="D407" s="23"/>
      <c r="H407" s="22"/>
      <c r="L407" s="633"/>
      <c r="M407" s="598"/>
      <c r="N407" s="598"/>
      <c r="O407" s="631"/>
      <c r="P407" s="22"/>
      <c r="Q407" s="22"/>
      <c r="R407" s="22"/>
      <c r="S407" s="22"/>
    </row>
    <row r="408" spans="1:19" x14ac:dyDescent="0.25">
      <c r="A408" s="22"/>
      <c r="B408" s="22"/>
      <c r="C408" s="22"/>
      <c r="D408" s="23"/>
      <c r="H408" s="22"/>
      <c r="L408" s="633"/>
      <c r="M408" s="598"/>
      <c r="N408" s="598"/>
      <c r="O408" s="631"/>
      <c r="P408" s="22"/>
      <c r="Q408" s="22"/>
      <c r="R408" s="22"/>
      <c r="S408" s="22"/>
    </row>
    <row r="409" spans="1:19" x14ac:dyDescent="0.25">
      <c r="A409" s="22"/>
      <c r="B409" s="22"/>
      <c r="C409" s="22"/>
      <c r="D409" s="23"/>
      <c r="H409" s="22"/>
      <c r="L409" s="633"/>
      <c r="M409" s="598"/>
      <c r="N409" s="598"/>
      <c r="O409" s="631"/>
      <c r="P409" s="22"/>
      <c r="Q409" s="22"/>
      <c r="R409" s="22"/>
      <c r="S409" s="22"/>
    </row>
    <row r="410" spans="1:19" x14ac:dyDescent="0.25">
      <c r="A410" s="22"/>
      <c r="B410" s="22"/>
      <c r="C410" s="22"/>
      <c r="D410" s="23"/>
      <c r="H410" s="22"/>
      <c r="L410" s="633"/>
      <c r="M410" s="598"/>
      <c r="N410" s="598"/>
      <c r="O410" s="631"/>
      <c r="P410" s="22"/>
      <c r="Q410" s="22"/>
      <c r="R410" s="22"/>
      <c r="S410" s="22"/>
    </row>
    <row r="411" spans="1:19" x14ac:dyDescent="0.25">
      <c r="A411" s="22"/>
      <c r="B411" s="22"/>
      <c r="C411" s="22"/>
      <c r="D411" s="23"/>
      <c r="H411" s="22"/>
      <c r="L411" s="633"/>
      <c r="M411" s="598"/>
      <c r="N411" s="598"/>
      <c r="O411" s="631"/>
      <c r="P411" s="22"/>
      <c r="Q411" s="22"/>
      <c r="R411" s="22"/>
      <c r="S411" s="22"/>
    </row>
    <row r="412" spans="1:19" x14ac:dyDescent="0.25">
      <c r="A412" s="22"/>
      <c r="B412" s="22"/>
      <c r="C412" s="22"/>
      <c r="D412" s="23"/>
      <c r="H412" s="22"/>
      <c r="L412" s="633"/>
      <c r="M412" s="598"/>
      <c r="N412" s="598"/>
      <c r="O412" s="631"/>
      <c r="P412" s="22"/>
      <c r="Q412" s="22"/>
      <c r="R412" s="22"/>
      <c r="S412" s="22"/>
    </row>
    <row r="413" spans="1:19" x14ac:dyDescent="0.25">
      <c r="A413" s="22"/>
      <c r="B413" s="22"/>
      <c r="C413" s="22"/>
      <c r="D413" s="23"/>
      <c r="H413" s="22"/>
      <c r="L413" s="633"/>
      <c r="M413" s="598"/>
      <c r="N413" s="598"/>
      <c r="O413" s="631"/>
      <c r="P413" s="22"/>
      <c r="Q413" s="22"/>
      <c r="R413" s="22"/>
      <c r="S413" s="22"/>
    </row>
    <row r="414" spans="1:19" x14ac:dyDescent="0.25">
      <c r="A414" s="22"/>
      <c r="B414" s="22"/>
      <c r="C414" s="22"/>
      <c r="D414" s="23"/>
      <c r="H414" s="22"/>
      <c r="L414" s="633"/>
      <c r="M414" s="598"/>
      <c r="N414" s="598"/>
      <c r="O414" s="631"/>
      <c r="P414" s="22"/>
      <c r="Q414" s="22"/>
      <c r="R414" s="22"/>
      <c r="S414" s="22"/>
    </row>
    <row r="415" spans="1:19" x14ac:dyDescent="0.25">
      <c r="A415" s="22"/>
      <c r="B415" s="22"/>
      <c r="C415" s="22"/>
      <c r="D415" s="23"/>
      <c r="H415" s="22"/>
      <c r="L415" s="633"/>
      <c r="M415" s="598"/>
      <c r="N415" s="598"/>
      <c r="O415" s="631"/>
      <c r="P415" s="22"/>
      <c r="Q415" s="22"/>
      <c r="R415" s="22"/>
      <c r="S415" s="22"/>
    </row>
    <row r="416" spans="1:19" x14ac:dyDescent="0.25">
      <c r="A416" s="22"/>
      <c r="B416" s="22"/>
      <c r="C416" s="22"/>
      <c r="D416" s="23"/>
      <c r="H416" s="22"/>
      <c r="L416" s="633"/>
      <c r="M416" s="598"/>
      <c r="N416" s="598"/>
      <c r="O416" s="631"/>
      <c r="P416" s="22"/>
      <c r="Q416" s="22"/>
      <c r="R416" s="22"/>
      <c r="S416" s="22"/>
    </row>
    <row r="417" spans="1:19" x14ac:dyDescent="0.25">
      <c r="A417" s="22"/>
      <c r="B417" s="22"/>
      <c r="C417" s="22"/>
      <c r="D417" s="23"/>
      <c r="H417" s="22"/>
      <c r="L417" s="633"/>
      <c r="M417" s="598"/>
      <c r="N417" s="598"/>
      <c r="O417" s="631"/>
      <c r="P417" s="22"/>
      <c r="Q417" s="22"/>
      <c r="R417" s="22"/>
      <c r="S417" s="22"/>
    </row>
    <row r="418" spans="1:19" x14ac:dyDescent="0.25">
      <c r="A418" s="22"/>
      <c r="B418" s="22"/>
      <c r="C418" s="22"/>
      <c r="D418" s="23"/>
      <c r="H418" s="22"/>
      <c r="L418" s="633"/>
      <c r="M418" s="598"/>
      <c r="N418" s="598"/>
      <c r="O418" s="631"/>
      <c r="P418" s="22"/>
      <c r="Q418" s="22"/>
      <c r="R418" s="22"/>
      <c r="S418" s="22"/>
    </row>
    <row r="419" spans="1:19" x14ac:dyDescent="0.25">
      <c r="A419" s="22"/>
      <c r="B419" s="22"/>
      <c r="C419" s="22"/>
      <c r="D419" s="23"/>
      <c r="H419" s="22"/>
      <c r="L419" s="633"/>
      <c r="M419" s="598"/>
      <c r="N419" s="598"/>
      <c r="O419" s="631"/>
      <c r="P419" s="22"/>
      <c r="Q419" s="22"/>
      <c r="R419" s="22"/>
      <c r="S419" s="22"/>
    </row>
    <row r="420" spans="1:19" x14ac:dyDescent="0.25">
      <c r="A420" s="22"/>
      <c r="B420" s="22"/>
      <c r="C420" s="22"/>
      <c r="D420" s="23"/>
      <c r="H420" s="22"/>
      <c r="L420" s="633"/>
      <c r="M420" s="598"/>
      <c r="N420" s="598"/>
      <c r="O420" s="631"/>
      <c r="P420" s="22"/>
      <c r="Q420" s="22"/>
      <c r="R420" s="22"/>
      <c r="S420" s="22"/>
    </row>
    <row r="421" spans="1:19" x14ac:dyDescent="0.25">
      <c r="A421" s="22"/>
      <c r="B421" s="22"/>
      <c r="C421" s="22"/>
      <c r="D421" s="23"/>
      <c r="H421" s="22"/>
      <c r="L421" s="633"/>
      <c r="M421" s="598"/>
      <c r="N421" s="598"/>
      <c r="O421" s="631"/>
      <c r="P421" s="22"/>
      <c r="Q421" s="22"/>
      <c r="R421" s="22"/>
      <c r="S421" s="22"/>
    </row>
    <row r="422" spans="1:19" x14ac:dyDescent="0.25">
      <c r="A422" s="22"/>
      <c r="B422" s="22"/>
      <c r="C422" s="22"/>
      <c r="D422" s="23"/>
      <c r="H422" s="22"/>
      <c r="L422" s="633"/>
      <c r="M422" s="598"/>
      <c r="N422" s="598"/>
      <c r="O422" s="631"/>
      <c r="P422" s="22"/>
      <c r="Q422" s="22"/>
      <c r="R422" s="22"/>
      <c r="S422" s="22"/>
    </row>
    <row r="423" spans="1:19" x14ac:dyDescent="0.25">
      <c r="A423" s="22"/>
      <c r="B423" s="22"/>
      <c r="C423" s="22"/>
      <c r="D423" s="23"/>
      <c r="H423" s="22"/>
      <c r="L423" s="633"/>
      <c r="M423" s="598"/>
      <c r="N423" s="598"/>
      <c r="O423" s="631"/>
      <c r="P423" s="22"/>
      <c r="Q423" s="22"/>
      <c r="R423" s="22"/>
      <c r="S423" s="22"/>
    </row>
    <row r="424" spans="1:19" x14ac:dyDescent="0.25">
      <c r="A424" s="22"/>
      <c r="B424" s="22"/>
      <c r="C424" s="22"/>
      <c r="D424" s="23"/>
      <c r="H424" s="22"/>
      <c r="L424" s="633"/>
      <c r="M424" s="598"/>
      <c r="N424" s="598"/>
      <c r="O424" s="631"/>
      <c r="P424" s="22"/>
      <c r="Q424" s="22"/>
      <c r="R424" s="22"/>
      <c r="S424" s="22"/>
    </row>
    <row r="425" spans="1:19" x14ac:dyDescent="0.25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5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5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5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5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5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5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5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5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5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5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5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5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5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5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5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5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5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5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5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5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5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5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5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5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5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5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5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5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5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5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5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5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5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5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5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5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5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5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5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5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5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5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5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5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5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5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5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5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5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5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5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5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5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5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5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5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5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5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5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5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5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5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5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5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5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5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5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5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5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5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5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5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5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5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5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5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5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5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5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5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5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5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5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5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5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5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5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5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5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5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5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5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5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5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5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5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5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5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5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5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5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5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5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5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5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5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5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5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5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5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5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5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5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5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5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5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5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5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5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5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5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5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5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5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5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5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5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5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5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5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5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5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5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5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5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5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5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5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5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5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5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5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5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5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5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5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5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5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5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5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5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5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5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5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5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5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5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5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5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5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5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5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5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5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5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5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5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5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5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5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5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5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5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5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5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5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5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5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5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5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5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5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5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5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5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5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5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5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5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5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5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5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5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5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5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5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5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5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5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5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5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5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5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5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5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5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5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5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5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5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5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5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5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5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5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5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5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5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5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5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5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5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5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5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5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5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5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5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5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5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5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5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5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5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5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5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5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5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5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5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5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5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5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5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5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5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5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5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5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5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5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5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5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5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5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5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5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5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5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5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5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5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5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5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5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5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5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5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5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5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5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5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5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5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5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5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5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5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5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5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5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5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5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5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5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5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5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5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5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5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5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5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5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5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5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5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5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5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5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5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5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5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5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5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5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5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5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5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5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5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5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5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5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5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5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5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5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5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5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5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5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5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5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5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5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5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5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5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5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5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5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5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5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5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5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5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5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5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5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5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5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5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5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5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5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5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5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5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5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5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5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5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5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5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5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5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5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5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5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5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5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5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5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5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5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5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5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5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5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5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5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5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5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5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5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5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5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5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5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5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5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5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5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5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5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5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5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5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5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5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5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5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5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5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5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5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5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5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5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5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5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5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5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5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5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5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5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5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5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5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5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5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5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5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5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5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5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5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5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5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5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5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5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5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5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5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5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5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5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5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5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5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5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5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5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5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5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5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5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5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5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5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5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5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5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5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5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5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5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5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5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5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5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5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5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5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5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5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5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5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5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5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5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5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5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5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5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5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5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5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5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5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5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5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5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5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5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5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5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5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5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5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5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5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5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5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5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5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5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5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5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5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5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5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5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5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5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5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5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5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5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5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5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5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5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5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5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5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5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5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5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5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5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5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5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5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5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5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5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5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5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5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5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5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5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5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5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5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5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5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5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5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5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5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5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5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5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5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5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5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5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5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5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5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5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5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5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5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5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5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5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5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5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5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5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5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5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5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5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5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5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5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5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5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5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5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5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5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5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5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5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5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5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5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5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5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5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5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5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5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5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5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5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5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5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5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5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5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5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5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5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5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5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5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5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5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5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5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5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5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5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5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5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5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5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5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6">
    <mergeCell ref="C8:F8"/>
    <mergeCell ref="H8:J8"/>
    <mergeCell ref="L8:N8"/>
    <mergeCell ref="C7:F7"/>
    <mergeCell ref="P7:T7"/>
    <mergeCell ref="H7:N7"/>
  </mergeCells>
  <phoneticPr fontId="2" type="noConversion"/>
  <printOptions horizontalCentered="1"/>
  <pageMargins left="0" right="0" top="0.59055118110236227" bottom="0" header="0.51181102362204722" footer="0.51181102362204722"/>
  <pageSetup paperSize="9" scale="35" fitToHeight="0" orientation="portrait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view="pageBreakPreview" zoomScale="85" zoomScaleNormal="75" zoomScaleSheetLayoutView="85" workbookViewId="0">
      <selection activeCell="N16" sqref="N16"/>
    </sheetView>
  </sheetViews>
  <sheetFormatPr defaultRowHeight="13.2" x14ac:dyDescent="0.25"/>
  <cols>
    <col min="1" max="1" width="6.44140625" style="25" bestFit="1" customWidth="1"/>
    <col min="2" max="2" width="56.44140625" style="13" customWidth="1"/>
    <col min="3" max="3" width="15.5546875" style="17" customWidth="1"/>
    <col min="4" max="4" width="15.5546875" style="13" customWidth="1"/>
    <col min="5" max="5" width="12.109375" style="13" bestFit="1" customWidth="1"/>
    <col min="6" max="6" width="13.88671875" style="13" customWidth="1"/>
    <col min="7" max="7" width="0.6640625" style="13" customWidth="1"/>
    <col min="8" max="9" width="15.5546875" style="13" customWidth="1"/>
    <col min="10" max="10" width="15.44140625" style="13" customWidth="1"/>
    <col min="11" max="11" width="0.5546875" style="13" customWidth="1"/>
    <col min="12" max="12" width="13.5546875" style="13" bestFit="1" customWidth="1"/>
    <col min="13" max="13" width="11.33203125" style="13" bestFit="1" customWidth="1"/>
    <col min="14" max="14" width="13" style="13" bestFit="1" customWidth="1"/>
    <col min="15" max="15" width="0.6640625" style="13" customWidth="1"/>
    <col min="16" max="16" width="14.5546875" style="13" customWidth="1"/>
    <col min="17" max="18" width="15.21875" style="13" bestFit="1" customWidth="1"/>
    <col min="19" max="19" width="15.5546875" style="13" customWidth="1"/>
    <col min="20" max="20" width="10.5546875" style="13" customWidth="1"/>
    <col min="21" max="21" width="0.6640625" style="13" customWidth="1"/>
    <col min="22" max="22" width="1.6640625" style="13" customWidth="1"/>
    <col min="25" max="26" width="12.5546875" bestFit="1" customWidth="1"/>
  </cols>
  <sheetData>
    <row r="1" spans="1:26" ht="24.6" x14ac:dyDescent="0.4">
      <c r="A1" s="567" t="s">
        <v>456</v>
      </c>
      <c r="B1" s="225"/>
      <c r="C1" s="225"/>
      <c r="D1" s="225"/>
      <c r="E1" s="225"/>
      <c r="F1" s="225"/>
      <c r="G1" s="224"/>
      <c r="H1" s="223"/>
      <c r="I1" s="223"/>
      <c r="J1" s="221" t="str">
        <f>+'1. Sülysáp összesen'!J1</f>
        <v>2019. ÉVI ZÁRSZÁMADÁS</v>
      </c>
      <c r="K1" s="227"/>
      <c r="L1" s="227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65"/>
      <c r="W4" s="122"/>
      <c r="X4" s="122"/>
    </row>
    <row r="5" spans="1:26" ht="20.100000000000001" customHeight="1" x14ac:dyDescent="0.3">
      <c r="A5" s="245"/>
      <c r="B5" s="245" t="s">
        <v>373</v>
      </c>
      <c r="C5" s="246">
        <f>+C89</f>
        <v>41408310.030000001</v>
      </c>
      <c r="D5" s="246">
        <f>+D89</f>
        <v>41408310</v>
      </c>
      <c r="E5" s="246">
        <f>+E89</f>
        <v>41408310</v>
      </c>
      <c r="F5" s="246">
        <f>+F89</f>
        <v>39713004</v>
      </c>
      <c r="G5" s="246"/>
      <c r="H5" s="246">
        <f>+H89</f>
        <v>17506348</v>
      </c>
      <c r="I5" s="246">
        <f>+I89</f>
        <v>27535325</v>
      </c>
      <c r="J5" s="246">
        <f>+J89</f>
        <v>38718454</v>
      </c>
      <c r="K5" s="89"/>
      <c r="L5" s="639">
        <f t="shared" ref="L5:N6" si="0">IF(H5&gt;0,H5/C5,0)</f>
        <v>0.42277378592163711</v>
      </c>
      <c r="M5" s="639">
        <f t="shared" si="0"/>
        <v>0.66497099253748826</v>
      </c>
      <c r="N5" s="639">
        <f t="shared" si="0"/>
        <v>0.93504067178786099</v>
      </c>
      <c r="O5" s="639"/>
      <c r="P5" s="246">
        <f>+P89</f>
        <v>-3.0000001192092896E-2</v>
      </c>
      <c r="Q5" s="246">
        <f>+Q89</f>
        <v>0</v>
      </c>
      <c r="R5" s="246">
        <f>+R89</f>
        <v>-1695306</v>
      </c>
      <c r="S5" s="246">
        <f>+S89</f>
        <v>-1695306.0300000012</v>
      </c>
      <c r="T5" s="132">
        <f>IF(C5=0,0,+S5/C5)</f>
        <v>-4.0941203076671449E-2</v>
      </c>
      <c r="U5" s="118"/>
      <c r="V5" s="195">
        <f>+S5-E5+C5</f>
        <v>-1695306</v>
      </c>
      <c r="W5" s="122"/>
      <c r="X5" s="122"/>
    </row>
    <row r="6" spans="1:26" ht="20.100000000000001" customHeight="1" x14ac:dyDescent="0.3">
      <c r="A6" s="247"/>
      <c r="B6" s="247" t="s">
        <v>372</v>
      </c>
      <c r="C6" s="248">
        <f>+C102</f>
        <v>41408310.030000001</v>
      </c>
      <c r="D6" s="248">
        <f>+D102</f>
        <v>41408310</v>
      </c>
      <c r="E6" s="248">
        <f>+E102</f>
        <v>41408310</v>
      </c>
      <c r="F6" s="248">
        <f>+F102</f>
        <v>39713004</v>
      </c>
      <c r="G6" s="248"/>
      <c r="H6" s="248">
        <f>+H102</f>
        <v>19270047</v>
      </c>
      <c r="I6" s="248">
        <f>+I102</f>
        <v>29182128</v>
      </c>
      <c r="J6" s="248">
        <f>+J102</f>
        <v>38954346</v>
      </c>
      <c r="K6" s="67"/>
      <c r="L6" s="639">
        <f t="shared" si="0"/>
        <v>0.46536666157201295</v>
      </c>
      <c r="M6" s="639">
        <f t="shared" si="0"/>
        <v>0.70474085998679981</v>
      </c>
      <c r="N6" s="639">
        <f t="shared" si="0"/>
        <v>0.94073740270974593</v>
      </c>
      <c r="O6" s="639"/>
      <c r="P6" s="248">
        <f>+P102</f>
        <v>-3.0000001192092896E-2</v>
      </c>
      <c r="Q6" s="248">
        <f>+Q102</f>
        <v>0</v>
      </c>
      <c r="R6" s="248">
        <f>+R102</f>
        <v>-1695306</v>
      </c>
      <c r="S6" s="248">
        <f>+S102</f>
        <v>-1695306.0300000012</v>
      </c>
      <c r="T6" s="31">
        <f>IF(C6=0,0,+S6/C6)</f>
        <v>-4.0941203076671449E-2</v>
      </c>
      <c r="U6" s="118"/>
      <c r="V6" s="195">
        <f>+S6-E6+C6</f>
        <v>-1695306</v>
      </c>
      <c r="W6" s="122"/>
      <c r="X6" s="122"/>
    </row>
    <row r="7" spans="1:26" ht="20.100000000000001" customHeight="1" x14ac:dyDescent="0.3">
      <c r="A7" s="247"/>
      <c r="B7" s="247" t="s">
        <v>404</v>
      </c>
      <c r="C7" s="248">
        <f>+C6-C5</f>
        <v>0</v>
      </c>
      <c r="D7" s="248">
        <f>+D6-D5</f>
        <v>0</v>
      </c>
      <c r="E7" s="248">
        <f>+E6-E5</f>
        <v>0</v>
      </c>
      <c r="F7" s="248">
        <f>+F6-F5</f>
        <v>0</v>
      </c>
      <c r="G7" s="248"/>
      <c r="H7" s="248">
        <f>+H6-H5</f>
        <v>1763699</v>
      </c>
      <c r="I7" s="248">
        <f>+I6-I5</f>
        <v>1646803</v>
      </c>
      <c r="J7" s="248">
        <f>+J6-J5</f>
        <v>235892</v>
      </c>
      <c r="K7" s="67"/>
      <c r="L7" s="639"/>
      <c r="M7" s="639"/>
      <c r="N7" s="639"/>
      <c r="O7" s="639"/>
      <c r="P7" s="248">
        <f>+P6-P5</f>
        <v>0</v>
      </c>
      <c r="Q7" s="248">
        <f>+Q6-Q5</f>
        <v>0</v>
      </c>
      <c r="R7" s="248">
        <f>+R6-R5</f>
        <v>0</v>
      </c>
      <c r="S7" s="248">
        <f>+S6-S5</f>
        <v>0</v>
      </c>
      <c r="T7" s="31">
        <f>IF(C7=0,0,+S7/C7)</f>
        <v>0</v>
      </c>
      <c r="U7" s="118"/>
      <c r="V7" s="195">
        <f>+S7-E7+C7</f>
        <v>0</v>
      </c>
      <c r="W7" s="122"/>
      <c r="X7" s="122"/>
    </row>
    <row r="8" spans="1:26" x14ac:dyDescent="0.25">
      <c r="A8" s="231"/>
      <c r="B8" s="232"/>
      <c r="C8" s="609"/>
      <c r="D8" s="610"/>
      <c r="E8" s="610"/>
      <c r="F8" s="610"/>
      <c r="G8" s="611"/>
      <c r="H8" s="611"/>
      <c r="I8" s="611"/>
      <c r="J8" s="611"/>
      <c r="K8" s="611"/>
      <c r="L8" s="591"/>
      <c r="M8" s="591"/>
      <c r="N8" s="136"/>
      <c r="O8" s="120"/>
      <c r="P8" s="81"/>
      <c r="Q8" s="81"/>
      <c r="R8" s="81"/>
      <c r="S8" s="81"/>
      <c r="T8" s="151"/>
      <c r="U8" s="120"/>
      <c r="V8" s="192"/>
      <c r="W8" s="122"/>
      <c r="X8" s="122"/>
    </row>
    <row r="9" spans="1:26" ht="15.6" x14ac:dyDescent="0.3">
      <c r="A9" s="62"/>
      <c r="B9" s="233"/>
      <c r="C9" s="1442" t="s">
        <v>403</v>
      </c>
      <c r="D9" s="1450"/>
      <c r="E9" s="1450"/>
      <c r="F9" s="1451"/>
      <c r="G9" s="153"/>
      <c r="H9" s="1442" t="s">
        <v>402</v>
      </c>
      <c r="I9" s="1450"/>
      <c r="J9" s="1450"/>
      <c r="K9" s="1450"/>
      <c r="L9" s="1450"/>
      <c r="M9" s="1450"/>
      <c r="N9" s="1451"/>
      <c r="O9" s="153"/>
      <c r="P9" s="1442" t="s">
        <v>399</v>
      </c>
      <c r="Q9" s="1450"/>
      <c r="R9" s="1450"/>
      <c r="S9" s="1450"/>
      <c r="T9" s="1451"/>
      <c r="U9" s="196"/>
      <c r="V9" s="192"/>
      <c r="W9" s="122"/>
      <c r="X9" s="122"/>
    </row>
    <row r="10" spans="1:26" x14ac:dyDescent="0.25">
      <c r="A10" s="60"/>
      <c r="B10" s="61"/>
      <c r="C10" s="1437" t="s">
        <v>412</v>
      </c>
      <c r="D10" s="1438"/>
      <c r="E10" s="1438"/>
      <c r="F10" s="1439"/>
      <c r="G10" s="133"/>
      <c r="H10" s="1437" t="s">
        <v>412</v>
      </c>
      <c r="I10" s="1440"/>
      <c r="J10" s="1441"/>
      <c r="K10" s="133"/>
      <c r="L10" s="1437" t="s">
        <v>411</v>
      </c>
      <c r="M10" s="1440"/>
      <c r="N10" s="1441"/>
      <c r="O10" s="134"/>
      <c r="P10" s="127">
        <f>+'3. Önk. Kiadások'!P8</f>
        <v>1</v>
      </c>
      <c r="Q10" s="127">
        <f>+'3. Önk. Kiadások'!Q8</f>
        <v>1</v>
      </c>
      <c r="R10" s="127">
        <f>+'3. Önk. Kiadások'!R8</f>
        <v>1</v>
      </c>
      <c r="S10" s="126"/>
      <c r="T10" s="126"/>
      <c r="U10" s="152"/>
      <c r="V10" s="197"/>
      <c r="W10" s="130"/>
      <c r="X10" s="130"/>
      <c r="Y10" s="130"/>
      <c r="Z10" s="130"/>
    </row>
    <row r="11" spans="1:26" ht="68.7" customHeight="1" x14ac:dyDescent="0.25">
      <c r="A11" s="27" t="s">
        <v>368</v>
      </c>
      <c r="B11" s="27" t="s">
        <v>366</v>
      </c>
      <c r="C11" s="517" t="s">
        <v>484</v>
      </c>
      <c r="D11" s="355" t="s">
        <v>485</v>
      </c>
      <c r="E11" s="355" t="s">
        <v>486</v>
      </c>
      <c r="F11" s="518" t="s">
        <v>502</v>
      </c>
      <c r="G11" s="355"/>
      <c r="H11" s="491" t="s">
        <v>487</v>
      </c>
      <c r="I11" s="356" t="s">
        <v>488</v>
      </c>
      <c r="J11" s="356" t="s">
        <v>501</v>
      </c>
      <c r="K11" s="355"/>
      <c r="L11" s="357" t="s">
        <v>489</v>
      </c>
      <c r="M11" s="357" t="s">
        <v>490</v>
      </c>
      <c r="N11" s="492" t="s">
        <v>503</v>
      </c>
      <c r="O11" s="355"/>
      <c r="P11" s="491" t="s">
        <v>491</v>
      </c>
      <c r="Q11" s="356" t="s">
        <v>492</v>
      </c>
      <c r="R11" s="356" t="s">
        <v>510</v>
      </c>
      <c r="S11" s="356" t="s">
        <v>400</v>
      </c>
      <c r="T11" s="492" t="s">
        <v>401</v>
      </c>
      <c r="U11" s="186"/>
      <c r="V11" s="131" t="s">
        <v>405</v>
      </c>
      <c r="W11" s="122"/>
      <c r="X11" s="122"/>
    </row>
    <row r="12" spans="1:26" x14ac:dyDescent="0.25">
      <c r="A12" s="15"/>
      <c r="B12" s="15"/>
      <c r="C12" s="69"/>
      <c r="D12" s="93"/>
      <c r="E12" s="93"/>
      <c r="F12" s="93"/>
      <c r="G12" s="94"/>
      <c r="H12" s="94"/>
      <c r="I12" s="94"/>
      <c r="J12" s="94"/>
      <c r="K12" s="94"/>
      <c r="L12" s="591"/>
      <c r="M12" s="591"/>
      <c r="N12" s="591"/>
      <c r="O12" s="120"/>
      <c r="P12" s="81"/>
      <c r="Q12" s="81"/>
      <c r="R12" s="81"/>
      <c r="S12" s="81"/>
      <c r="T12" s="151"/>
      <c r="U12" s="120"/>
      <c r="V12" s="192"/>
      <c r="W12" s="122"/>
      <c r="X12" s="122"/>
    </row>
    <row r="13" spans="1:26" x14ac:dyDescent="0.25">
      <c r="A13" s="24" t="s">
        <v>0</v>
      </c>
      <c r="B13" s="24" t="s">
        <v>3</v>
      </c>
      <c r="C13" s="89">
        <f>SUM(C14:C28)</f>
        <v>26281954</v>
      </c>
      <c r="D13" s="89">
        <f t="shared" ref="D13:J13" si="1">SUM(D14:D28)</f>
        <v>26281954</v>
      </c>
      <c r="E13" s="89">
        <f t="shared" si="1"/>
        <v>26281954</v>
      </c>
      <c r="F13" s="89">
        <f t="shared" si="1"/>
        <v>25037660</v>
      </c>
      <c r="G13" s="89"/>
      <c r="H13" s="89">
        <f t="shared" si="1"/>
        <v>11842617</v>
      </c>
      <c r="I13" s="89">
        <f t="shared" si="1"/>
        <v>18141800</v>
      </c>
      <c r="J13" s="89">
        <f t="shared" si="1"/>
        <v>24992323</v>
      </c>
      <c r="K13" s="90"/>
      <c r="L13" s="588">
        <f>IF(H13&gt;0,H13/C13,0)</f>
        <v>0.45059880250912848</v>
      </c>
      <c r="M13" s="588">
        <f>IF(I13&gt;0,I13/D13,0)</f>
        <v>0.69027592088472567</v>
      </c>
      <c r="N13" s="588">
        <f>IF(J13&gt;0,J13/F13,0)</f>
        <v>0.99818924771723871</v>
      </c>
      <c r="O13" s="118"/>
      <c r="P13" s="90">
        <f>+(D13-C13)*P$10</f>
        <v>0</v>
      </c>
      <c r="Q13" s="90">
        <f>+(E13-D13)*Q$10</f>
        <v>0</v>
      </c>
      <c r="R13" s="90">
        <f>+(F13-E13)*R$10</f>
        <v>-1244294</v>
      </c>
      <c r="S13" s="90">
        <f>+P$10*P13+Q$10*Q13+R$10*R13</f>
        <v>-1244294</v>
      </c>
      <c r="T13" s="198">
        <f>IF(C13=0,0,+S13/C13)</f>
        <v>-4.734404451054134E-2</v>
      </c>
      <c r="U13" s="118"/>
      <c r="V13" s="192">
        <f>+S13-E13+C13</f>
        <v>-1244294</v>
      </c>
      <c r="W13" s="122"/>
      <c r="X13" s="122"/>
    </row>
    <row r="14" spans="1:26" x14ac:dyDescent="0.25">
      <c r="A14" s="15" t="s">
        <v>1</v>
      </c>
      <c r="B14" s="15"/>
      <c r="C14" s="298"/>
      <c r="D14" s="217"/>
      <c r="E14" s="217"/>
      <c r="F14" s="217"/>
      <c r="G14" s="92"/>
      <c r="H14" s="299"/>
      <c r="I14" s="299"/>
      <c r="J14" s="299"/>
      <c r="K14" s="92"/>
      <c r="L14" s="587"/>
      <c r="M14" s="587"/>
      <c r="N14" s="587"/>
      <c r="O14" s="119"/>
      <c r="P14" s="92"/>
      <c r="Q14" s="92"/>
      <c r="R14" s="92"/>
      <c r="S14" s="92">
        <f>+P$10*P14+Q$10*Q14+R$10*R14</f>
        <v>0</v>
      </c>
      <c r="T14" s="85"/>
      <c r="U14" s="119"/>
      <c r="V14" s="192">
        <f t="shared" ref="V14:V76" si="2">+S14-E14+C14</f>
        <v>0</v>
      </c>
      <c r="W14" s="122"/>
      <c r="X14" s="122"/>
    </row>
    <row r="15" spans="1:26" x14ac:dyDescent="0.25">
      <c r="A15" s="15" t="s">
        <v>2</v>
      </c>
      <c r="B15" s="15" t="s">
        <v>358</v>
      </c>
      <c r="C15" s="298">
        <f>24511954-110000</f>
        <v>24401954</v>
      </c>
      <c r="D15" s="218">
        <v>24401954</v>
      </c>
      <c r="E15" s="218">
        <v>24401954</v>
      </c>
      <c r="F15" s="218">
        <v>22716756</v>
      </c>
      <c r="G15" s="94"/>
      <c r="H15" s="300">
        <v>11366905</v>
      </c>
      <c r="I15" s="300">
        <v>17051869</v>
      </c>
      <c r="J15" s="300">
        <v>22716756</v>
      </c>
      <c r="K15" s="94"/>
      <c r="L15" s="591">
        <f t="shared" ref="L15:L23" si="3">IF(H15&gt;0,H15/C15,0)</f>
        <v>0.46581945855647461</v>
      </c>
      <c r="M15" s="591">
        <f t="shared" ref="M15:M23" si="4">IF(I15&gt;0,I15/D15,0)</f>
        <v>0.6987911295956053</v>
      </c>
      <c r="N15" s="591">
        <f t="shared" ref="N15:N23" si="5">IF(J15&gt;0,J15/E15,0)</f>
        <v>0.93094003865428154</v>
      </c>
      <c r="O15" s="120"/>
      <c r="P15" s="81">
        <f t="shared" ref="P15:P23" si="6">+(D15-C15)*P$10</f>
        <v>0</v>
      </c>
      <c r="Q15" s="81">
        <f t="shared" ref="Q15:Q23" si="7">+(E15-D15)*Q$10</f>
        <v>0</v>
      </c>
      <c r="R15" s="81">
        <f t="shared" ref="R15:R23" si="8">+(F15-E15)*R$10</f>
        <v>-1685198</v>
      </c>
      <c r="S15" s="81">
        <f>+P$10*P15+Q$10*Q15+R$10*R15</f>
        <v>-1685198</v>
      </c>
      <c r="T15" s="85">
        <f t="shared" ref="T15:T23" si="9">IF(C15=0,0,+S15/C15)</f>
        <v>-6.9059961345718457E-2</v>
      </c>
      <c r="U15" s="120"/>
      <c r="V15" s="192">
        <f t="shared" si="2"/>
        <v>-1685198</v>
      </c>
      <c r="W15" s="122"/>
      <c r="X15" s="123"/>
      <c r="Y15" s="37"/>
    </row>
    <row r="16" spans="1:26" x14ac:dyDescent="0.25">
      <c r="A16" s="526" t="s">
        <v>507</v>
      </c>
      <c r="B16" s="479" t="s">
        <v>517</v>
      </c>
      <c r="C16" s="298">
        <v>0</v>
      </c>
      <c r="D16" s="218">
        <v>0</v>
      </c>
      <c r="E16" s="218"/>
      <c r="F16" s="218">
        <v>600000</v>
      </c>
      <c r="G16" s="94"/>
      <c r="H16" s="300"/>
      <c r="I16" s="300"/>
      <c r="J16" s="300">
        <v>598767</v>
      </c>
      <c r="K16" s="94"/>
      <c r="L16" s="591">
        <f t="shared" si="3"/>
        <v>0</v>
      </c>
      <c r="M16" s="591">
        <f t="shared" si="4"/>
        <v>0</v>
      </c>
      <c r="N16" s="591" t="e">
        <f t="shared" si="5"/>
        <v>#DIV/0!</v>
      </c>
      <c r="O16" s="120"/>
      <c r="P16" s="81">
        <f t="shared" si="6"/>
        <v>0</v>
      </c>
      <c r="Q16" s="81">
        <f t="shared" si="7"/>
        <v>0</v>
      </c>
      <c r="R16" s="81">
        <f t="shared" si="8"/>
        <v>600000</v>
      </c>
      <c r="S16" s="81">
        <f t="shared" ref="S16:S27" si="10">+P$10*P16+Q$10*Q16+R$10*R16</f>
        <v>600000</v>
      </c>
      <c r="T16" s="85">
        <f t="shared" si="9"/>
        <v>0</v>
      </c>
      <c r="U16" s="120"/>
      <c r="V16" s="192">
        <f t="shared" si="2"/>
        <v>600000</v>
      </c>
      <c r="W16" s="122"/>
      <c r="X16" s="122"/>
    </row>
    <row r="17" spans="1:26" x14ac:dyDescent="0.25">
      <c r="A17" s="15" t="s">
        <v>10</v>
      </c>
      <c r="B17" s="15" t="s">
        <v>376</v>
      </c>
      <c r="C17" s="218"/>
      <c r="D17" s="218"/>
      <c r="E17" s="218"/>
      <c r="F17" s="218"/>
      <c r="G17" s="94"/>
      <c r="H17" s="300"/>
      <c r="I17" s="300"/>
      <c r="J17" s="300"/>
      <c r="K17" s="94"/>
      <c r="L17" s="591">
        <f t="shared" si="3"/>
        <v>0</v>
      </c>
      <c r="M17" s="591">
        <f t="shared" si="4"/>
        <v>0</v>
      </c>
      <c r="N17" s="591">
        <f t="shared" si="5"/>
        <v>0</v>
      </c>
      <c r="O17" s="120"/>
      <c r="P17" s="81">
        <f t="shared" si="6"/>
        <v>0</v>
      </c>
      <c r="Q17" s="81">
        <f t="shared" si="7"/>
        <v>0</v>
      </c>
      <c r="R17" s="81">
        <f t="shared" si="8"/>
        <v>0</v>
      </c>
      <c r="S17" s="81">
        <f t="shared" si="10"/>
        <v>0</v>
      </c>
      <c r="T17" s="85">
        <f t="shared" si="9"/>
        <v>0</v>
      </c>
      <c r="U17" s="120"/>
      <c r="V17" s="192">
        <f t="shared" si="2"/>
        <v>0</v>
      </c>
      <c r="W17" s="122"/>
      <c r="X17" s="122"/>
    </row>
    <row r="18" spans="1:26" x14ac:dyDescent="0.25">
      <c r="A18" s="15" t="s">
        <v>380</v>
      </c>
      <c r="B18" s="15" t="s">
        <v>5</v>
      </c>
      <c r="C18" s="298">
        <v>0</v>
      </c>
      <c r="D18" s="218">
        <v>0</v>
      </c>
      <c r="E18" s="218"/>
      <c r="F18" s="218">
        <v>0</v>
      </c>
      <c r="G18" s="94"/>
      <c r="H18" s="300"/>
      <c r="I18" s="300"/>
      <c r="J18" s="300"/>
      <c r="K18" s="94"/>
      <c r="L18" s="591">
        <f t="shared" si="3"/>
        <v>0</v>
      </c>
      <c r="M18" s="591">
        <f t="shared" si="4"/>
        <v>0</v>
      </c>
      <c r="N18" s="591">
        <f t="shared" si="5"/>
        <v>0</v>
      </c>
      <c r="O18" s="120"/>
      <c r="P18" s="81">
        <f t="shared" si="6"/>
        <v>0</v>
      </c>
      <c r="Q18" s="81">
        <f t="shared" si="7"/>
        <v>0</v>
      </c>
      <c r="R18" s="81">
        <f t="shared" si="8"/>
        <v>0</v>
      </c>
      <c r="S18" s="81">
        <f t="shared" si="10"/>
        <v>0</v>
      </c>
      <c r="T18" s="85">
        <f t="shared" si="9"/>
        <v>0</v>
      </c>
      <c r="U18" s="120"/>
      <c r="V18" s="192">
        <f t="shared" si="2"/>
        <v>0</v>
      </c>
      <c r="W18" s="122"/>
      <c r="X18" s="122"/>
    </row>
    <row r="19" spans="1:26" x14ac:dyDescent="0.25">
      <c r="A19" s="15" t="s">
        <v>11</v>
      </c>
      <c r="B19" s="15" t="s">
        <v>6</v>
      </c>
      <c r="C19" s="527">
        <v>480000</v>
      </c>
      <c r="D19" s="527">
        <v>480000</v>
      </c>
      <c r="E19" s="527">
        <f>119096+360904</f>
        <v>480000</v>
      </c>
      <c r="F19" s="218">
        <v>10000</v>
      </c>
      <c r="G19" s="94"/>
      <c r="H19" s="300">
        <v>10000</v>
      </c>
      <c r="I19" s="300">
        <f>10000+360904</f>
        <v>370904</v>
      </c>
      <c r="J19" s="300">
        <v>10000</v>
      </c>
      <c r="K19" s="94"/>
      <c r="L19" s="591">
        <f t="shared" si="3"/>
        <v>2.0833333333333332E-2</v>
      </c>
      <c r="M19" s="591">
        <f t="shared" si="4"/>
        <v>0.77271666666666672</v>
      </c>
      <c r="N19" s="591">
        <f t="shared" si="5"/>
        <v>2.0833333333333332E-2</v>
      </c>
      <c r="O19" s="120"/>
      <c r="P19" s="81">
        <f t="shared" si="6"/>
        <v>0</v>
      </c>
      <c r="Q19" s="81">
        <f t="shared" si="7"/>
        <v>0</v>
      </c>
      <c r="R19" s="81">
        <f t="shared" si="8"/>
        <v>-470000</v>
      </c>
      <c r="S19" s="81">
        <f t="shared" si="10"/>
        <v>-470000</v>
      </c>
      <c r="T19" s="85">
        <f t="shared" si="9"/>
        <v>-0.97916666666666663</v>
      </c>
      <c r="U19" s="120"/>
      <c r="V19" s="192">
        <f t="shared" si="2"/>
        <v>-470000</v>
      </c>
      <c r="W19" s="122"/>
      <c r="X19" s="122"/>
    </row>
    <row r="20" spans="1:26" x14ac:dyDescent="0.25">
      <c r="A20" s="15" t="s">
        <v>12</v>
      </c>
      <c r="B20" s="15" t="s">
        <v>7</v>
      </c>
      <c r="C20" s="527">
        <f>8*25000</f>
        <v>200000</v>
      </c>
      <c r="D20" s="527">
        <v>200000</v>
      </c>
      <c r="E20" s="527">
        <v>200000</v>
      </c>
      <c r="F20" s="218">
        <v>0</v>
      </c>
      <c r="G20" s="94"/>
      <c r="H20" s="300"/>
      <c r="I20" s="300"/>
      <c r="J20" s="300"/>
      <c r="K20" s="94"/>
      <c r="L20" s="591">
        <f t="shared" si="3"/>
        <v>0</v>
      </c>
      <c r="M20" s="591">
        <f t="shared" si="4"/>
        <v>0</v>
      </c>
      <c r="N20" s="591">
        <f t="shared" si="5"/>
        <v>0</v>
      </c>
      <c r="O20" s="120"/>
      <c r="P20" s="81">
        <f t="shared" si="6"/>
        <v>0</v>
      </c>
      <c r="Q20" s="81">
        <f t="shared" si="7"/>
        <v>0</v>
      </c>
      <c r="R20" s="81">
        <f t="shared" si="8"/>
        <v>-200000</v>
      </c>
      <c r="S20" s="81">
        <f t="shared" si="10"/>
        <v>-200000</v>
      </c>
      <c r="T20" s="85">
        <f t="shared" si="9"/>
        <v>-1</v>
      </c>
      <c r="U20" s="120"/>
      <c r="V20" s="192">
        <f t="shared" si="2"/>
        <v>-200000</v>
      </c>
      <c r="W20" s="122"/>
      <c r="X20" s="122"/>
    </row>
    <row r="21" spans="1:26" x14ac:dyDescent="0.25">
      <c r="A21" s="15" t="s">
        <v>13</v>
      </c>
      <c r="B21" s="15" t="s">
        <v>8</v>
      </c>
      <c r="C21" s="527">
        <v>100000</v>
      </c>
      <c r="D21" s="527">
        <v>100000</v>
      </c>
      <c r="E21" s="527">
        <v>100000</v>
      </c>
      <c r="F21" s="218">
        <v>100000</v>
      </c>
      <c r="G21" s="94"/>
      <c r="H21" s="300">
        <v>47450</v>
      </c>
      <c r="I21" s="300">
        <v>59080</v>
      </c>
      <c r="J21" s="300">
        <v>82335</v>
      </c>
      <c r="K21" s="94"/>
      <c r="L21" s="591">
        <f t="shared" si="3"/>
        <v>0.47449999999999998</v>
      </c>
      <c r="M21" s="591">
        <f t="shared" si="4"/>
        <v>0.59079999999999999</v>
      </c>
      <c r="N21" s="591">
        <f t="shared" si="5"/>
        <v>0.82335000000000003</v>
      </c>
      <c r="O21" s="120"/>
      <c r="P21" s="81">
        <f t="shared" si="6"/>
        <v>0</v>
      </c>
      <c r="Q21" s="81">
        <f t="shared" si="7"/>
        <v>0</v>
      </c>
      <c r="R21" s="81">
        <f t="shared" si="8"/>
        <v>0</v>
      </c>
      <c r="S21" s="81">
        <f t="shared" si="10"/>
        <v>0</v>
      </c>
      <c r="T21" s="85">
        <f t="shared" si="9"/>
        <v>0</v>
      </c>
      <c r="U21" s="120"/>
      <c r="V21" s="192">
        <f t="shared" si="2"/>
        <v>0</v>
      </c>
      <c r="W21" s="122"/>
      <c r="X21" s="122"/>
    </row>
    <row r="22" spans="1:26" x14ac:dyDescent="0.25">
      <c r="A22" s="15" t="s">
        <v>14</v>
      </c>
      <c r="B22" s="15" t="s">
        <v>9</v>
      </c>
      <c r="C22" s="527">
        <v>0</v>
      </c>
      <c r="D22" s="527">
        <v>0</v>
      </c>
      <c r="E22" s="527">
        <v>0</v>
      </c>
      <c r="F22" s="218">
        <v>0</v>
      </c>
      <c r="G22" s="94"/>
      <c r="H22" s="300">
        <v>0</v>
      </c>
      <c r="I22" s="300"/>
      <c r="J22" s="300"/>
      <c r="K22" s="94"/>
      <c r="L22" s="591">
        <f t="shared" si="3"/>
        <v>0</v>
      </c>
      <c r="M22" s="591">
        <f t="shared" si="4"/>
        <v>0</v>
      </c>
      <c r="N22" s="591">
        <f t="shared" si="5"/>
        <v>0</v>
      </c>
      <c r="O22" s="120"/>
      <c r="P22" s="81">
        <f t="shared" si="6"/>
        <v>0</v>
      </c>
      <c r="Q22" s="81">
        <f t="shared" si="7"/>
        <v>0</v>
      </c>
      <c r="R22" s="81">
        <f t="shared" si="8"/>
        <v>0</v>
      </c>
      <c r="S22" s="81">
        <f t="shared" si="10"/>
        <v>0</v>
      </c>
      <c r="T22" s="85">
        <f t="shared" si="9"/>
        <v>0</v>
      </c>
      <c r="U22" s="120"/>
      <c r="V22" s="192">
        <f t="shared" si="2"/>
        <v>0</v>
      </c>
      <c r="W22" s="122"/>
      <c r="X22" s="122"/>
    </row>
    <row r="23" spans="1:26" x14ac:dyDescent="0.25">
      <c r="A23" s="526" t="s">
        <v>522</v>
      </c>
      <c r="B23" s="479" t="s">
        <v>523</v>
      </c>
      <c r="C23" s="527">
        <v>1100000</v>
      </c>
      <c r="D23" s="527">
        <v>1100000</v>
      </c>
      <c r="E23" s="527">
        <v>1100000</v>
      </c>
      <c r="F23" s="218">
        <f>360904+1250000</f>
        <v>1610904</v>
      </c>
      <c r="G23" s="94"/>
      <c r="H23" s="300">
        <v>418262</v>
      </c>
      <c r="I23" s="300">
        <v>659947</v>
      </c>
      <c r="J23" s="300">
        <f>360904+1223561</f>
        <v>1584465</v>
      </c>
      <c r="K23" s="94"/>
      <c r="L23" s="591">
        <f t="shared" si="3"/>
        <v>0.38023818181818181</v>
      </c>
      <c r="M23" s="591">
        <f t="shared" si="4"/>
        <v>0.5999518181818182</v>
      </c>
      <c r="N23" s="591">
        <f t="shared" si="5"/>
        <v>1.4404227272727272</v>
      </c>
      <c r="O23" s="120"/>
      <c r="P23" s="81">
        <f t="shared" si="6"/>
        <v>0</v>
      </c>
      <c r="Q23" s="81">
        <f t="shared" si="7"/>
        <v>0</v>
      </c>
      <c r="R23" s="81">
        <f t="shared" si="8"/>
        <v>510904</v>
      </c>
      <c r="S23" s="81">
        <f t="shared" si="10"/>
        <v>510904</v>
      </c>
      <c r="T23" s="85">
        <f t="shared" si="9"/>
        <v>0.46445818181818183</v>
      </c>
      <c r="U23" s="120"/>
      <c r="V23" s="192">
        <f t="shared" si="2"/>
        <v>510904</v>
      </c>
      <c r="W23" s="122"/>
      <c r="X23" s="122"/>
    </row>
    <row r="24" spans="1:26" x14ac:dyDescent="0.25">
      <c r="A24" s="15" t="s">
        <v>15</v>
      </c>
      <c r="B24" s="15"/>
      <c r="C24" s="527"/>
      <c r="D24" s="527"/>
      <c r="E24" s="527"/>
      <c r="F24" s="218"/>
      <c r="G24" s="94"/>
      <c r="H24" s="300"/>
      <c r="I24" s="300"/>
      <c r="J24" s="300"/>
      <c r="K24" s="94"/>
      <c r="L24" s="591"/>
      <c r="M24" s="591"/>
      <c r="N24" s="591"/>
      <c r="O24" s="120"/>
      <c r="P24" s="81"/>
      <c r="Q24" s="81"/>
      <c r="R24" s="81"/>
      <c r="S24" s="81">
        <f t="shared" si="10"/>
        <v>0</v>
      </c>
      <c r="T24" s="85"/>
      <c r="U24" s="120"/>
      <c r="V24" s="192">
        <f t="shared" si="2"/>
        <v>0</v>
      </c>
      <c r="W24" s="122"/>
      <c r="X24" s="122"/>
    </row>
    <row r="25" spans="1:26" x14ac:dyDescent="0.25">
      <c r="A25" s="15" t="s">
        <v>16</v>
      </c>
      <c r="B25" s="15" t="s">
        <v>17</v>
      </c>
      <c r="C25" s="527"/>
      <c r="D25" s="527"/>
      <c r="E25" s="527"/>
      <c r="F25" s="218"/>
      <c r="G25" s="94"/>
      <c r="H25" s="300"/>
      <c r="I25" s="300"/>
      <c r="J25" s="300"/>
      <c r="K25" s="94"/>
      <c r="L25" s="591">
        <f t="shared" ref="L25:M27" si="11">IF(H25&gt;0,H25/C25,0)</f>
        <v>0</v>
      </c>
      <c r="M25" s="591">
        <f t="shared" si="11"/>
        <v>0</v>
      </c>
      <c r="N25" s="591">
        <f>IF(J25&gt;0,J25/F25,0)</f>
        <v>0</v>
      </c>
      <c r="O25" s="120"/>
      <c r="P25" s="81">
        <f t="shared" ref="P25:R27" si="12">+(D25-C25)*P$10</f>
        <v>0</v>
      </c>
      <c r="Q25" s="81">
        <f t="shared" si="12"/>
        <v>0</v>
      </c>
      <c r="R25" s="81">
        <f t="shared" si="12"/>
        <v>0</v>
      </c>
      <c r="S25" s="81">
        <f t="shared" si="10"/>
        <v>0</v>
      </c>
      <c r="T25" s="85">
        <f>IF(C25=0,0,+S25/C25)</f>
        <v>0</v>
      </c>
      <c r="U25" s="120"/>
      <c r="V25" s="192">
        <f t="shared" si="2"/>
        <v>0</v>
      </c>
      <c r="W25" s="122"/>
      <c r="X25" s="122"/>
    </row>
    <row r="26" spans="1:26" x14ac:dyDescent="0.25">
      <c r="A26" s="15" t="s">
        <v>18</v>
      </c>
      <c r="B26" s="15" t="s">
        <v>19</v>
      </c>
      <c r="C26" s="527">
        <v>0</v>
      </c>
      <c r="D26" s="527">
        <v>0</v>
      </c>
      <c r="E26" s="527">
        <v>0</v>
      </c>
      <c r="F26" s="218">
        <v>0</v>
      </c>
      <c r="G26" s="94"/>
      <c r="H26" s="300">
        <v>0</v>
      </c>
      <c r="I26" s="300">
        <v>0</v>
      </c>
      <c r="J26" s="300">
        <v>0</v>
      </c>
      <c r="K26" s="94"/>
      <c r="L26" s="591">
        <f t="shared" si="11"/>
        <v>0</v>
      </c>
      <c r="M26" s="591">
        <f t="shared" si="11"/>
        <v>0</v>
      </c>
      <c r="N26" s="591">
        <f>IF(J26&gt;0,J26/F26,0)</f>
        <v>0</v>
      </c>
      <c r="O26" s="120"/>
      <c r="P26" s="81">
        <f t="shared" si="12"/>
        <v>0</v>
      </c>
      <c r="Q26" s="81">
        <f t="shared" si="12"/>
        <v>0</v>
      </c>
      <c r="R26" s="81">
        <f t="shared" si="12"/>
        <v>0</v>
      </c>
      <c r="S26" s="81">
        <f t="shared" si="10"/>
        <v>0</v>
      </c>
      <c r="T26" s="85">
        <f>IF(C26=0,0,+S26/C26)</f>
        <v>0</v>
      </c>
      <c r="U26" s="120"/>
      <c r="V26" s="192">
        <f t="shared" si="2"/>
        <v>0</v>
      </c>
      <c r="W26" s="122"/>
      <c r="X26" s="122"/>
    </row>
    <row r="27" spans="1:26" x14ac:dyDescent="0.25">
      <c r="A27" s="15" t="s">
        <v>20</v>
      </c>
      <c r="B27" s="15" t="s">
        <v>21</v>
      </c>
      <c r="C27" s="298"/>
      <c r="D27" s="218"/>
      <c r="E27" s="218"/>
      <c r="F27" s="218"/>
      <c r="G27" s="94"/>
      <c r="H27" s="300"/>
      <c r="I27" s="300"/>
      <c r="J27" s="300"/>
      <c r="K27" s="94"/>
      <c r="L27" s="591">
        <f t="shared" si="11"/>
        <v>0</v>
      </c>
      <c r="M27" s="591">
        <f t="shared" si="11"/>
        <v>0</v>
      </c>
      <c r="N27" s="591">
        <f>IF(J27&gt;0,J27/F27,0)</f>
        <v>0</v>
      </c>
      <c r="O27" s="120"/>
      <c r="P27" s="81">
        <f t="shared" si="12"/>
        <v>0</v>
      </c>
      <c r="Q27" s="81">
        <f t="shared" si="12"/>
        <v>0</v>
      </c>
      <c r="R27" s="81">
        <f t="shared" si="12"/>
        <v>0</v>
      </c>
      <c r="S27" s="81">
        <f t="shared" si="10"/>
        <v>0</v>
      </c>
      <c r="T27" s="85">
        <f>IF(C27=0,0,+S27/C27)</f>
        <v>0</v>
      </c>
      <c r="U27" s="120"/>
      <c r="V27" s="192">
        <f t="shared" si="2"/>
        <v>0</v>
      </c>
      <c r="W27" s="122"/>
      <c r="X27" s="122"/>
    </row>
    <row r="28" spans="1:26" x14ac:dyDescent="0.25">
      <c r="A28" s="20"/>
      <c r="B28" s="14"/>
      <c r="C28" s="298"/>
      <c r="D28" s="218"/>
      <c r="E28" s="218"/>
      <c r="F28" s="218"/>
      <c r="G28" s="94"/>
      <c r="H28" s="300"/>
      <c r="I28" s="300"/>
      <c r="J28" s="300"/>
      <c r="K28" s="94"/>
      <c r="L28" s="587"/>
      <c r="M28" s="587"/>
      <c r="N28" s="587"/>
      <c r="O28" s="119"/>
      <c r="P28" s="81"/>
      <c r="Q28" s="81"/>
      <c r="R28" s="81"/>
      <c r="S28" s="81"/>
      <c r="T28" s="85"/>
      <c r="U28" s="119"/>
      <c r="V28" s="192">
        <f t="shared" si="2"/>
        <v>0</v>
      </c>
      <c r="W28" s="122"/>
      <c r="X28" s="122"/>
    </row>
    <row r="29" spans="1:26" x14ac:dyDescent="0.25">
      <c r="A29" s="3" t="s">
        <v>22</v>
      </c>
      <c r="B29" s="3" t="s">
        <v>23</v>
      </c>
      <c r="C29" s="89">
        <f>SUM(C30:C31)</f>
        <v>4876356.03</v>
      </c>
      <c r="D29" s="89">
        <f>SUM(D30:D31)</f>
        <v>4876356</v>
      </c>
      <c r="E29" s="89">
        <f>SUM(E30:E31)</f>
        <v>4876356</v>
      </c>
      <c r="F29" s="89">
        <f>SUM(F30:F31)</f>
        <v>4876356</v>
      </c>
      <c r="G29" s="90"/>
      <c r="H29" s="89">
        <f>SUM(H30:H31)</f>
        <v>2545934</v>
      </c>
      <c r="I29" s="89">
        <f>SUM(I30:I31)</f>
        <v>3690717</v>
      </c>
      <c r="J29" s="89">
        <f>SUM(J30:J31)</f>
        <v>4832317</v>
      </c>
      <c r="K29" s="90"/>
      <c r="L29" s="588">
        <f t="shared" ref="L29:N30" si="13">IF(H29&gt;0,H29/C29,0)</f>
        <v>0.52209764511390688</v>
      </c>
      <c r="M29" s="588">
        <f t="shared" si="13"/>
        <v>0.75685963042895144</v>
      </c>
      <c r="N29" s="588">
        <f t="shared" si="13"/>
        <v>0.99096887101762055</v>
      </c>
      <c r="O29" s="118"/>
      <c r="P29" s="90">
        <f t="shared" ref="P29:R30" si="14">+(D29-C29)*P$10</f>
        <v>-3.0000000260770321E-2</v>
      </c>
      <c r="Q29" s="90">
        <f t="shared" si="14"/>
        <v>0</v>
      </c>
      <c r="R29" s="90">
        <f t="shared" si="14"/>
        <v>0</v>
      </c>
      <c r="S29" s="90">
        <f>+P$10*P29+Q$10*Q29+R$10*R29</f>
        <v>-3.0000000260770321E-2</v>
      </c>
      <c r="T29" s="199">
        <f>IF(C29=0,0,+S29/C29)</f>
        <v>-6.1521349294855158E-9</v>
      </c>
      <c r="U29" s="118"/>
      <c r="V29" s="192">
        <f t="shared" si="2"/>
        <v>0</v>
      </c>
      <c r="W29" s="122"/>
      <c r="X29" s="122"/>
      <c r="Y29" s="2"/>
      <c r="Z29" s="2"/>
    </row>
    <row r="30" spans="1:26" x14ac:dyDescent="0.25">
      <c r="A30" s="20"/>
      <c r="B30" s="20" t="s">
        <v>24</v>
      </c>
      <c r="C30" s="268">
        <v>4876356.03</v>
      </c>
      <c r="D30" s="268">
        <v>4876356</v>
      </c>
      <c r="E30" s="268">
        <v>4876356</v>
      </c>
      <c r="F30" s="268">
        <v>4876356</v>
      </c>
      <c r="G30" s="297"/>
      <c r="H30" s="297">
        <v>2545934</v>
      </c>
      <c r="I30" s="297">
        <v>3690717</v>
      </c>
      <c r="J30" s="297">
        <v>4832317</v>
      </c>
      <c r="K30" s="94"/>
      <c r="L30" s="591">
        <f t="shared" si="13"/>
        <v>0.52209764511390688</v>
      </c>
      <c r="M30" s="591">
        <f t="shared" si="13"/>
        <v>0.75685963042895144</v>
      </c>
      <c r="N30" s="591">
        <f t="shared" si="13"/>
        <v>0.99096887101762055</v>
      </c>
      <c r="O30" s="120"/>
      <c r="P30" s="81">
        <f t="shared" si="14"/>
        <v>-3.0000000260770321E-2</v>
      </c>
      <c r="Q30" s="81">
        <f t="shared" si="14"/>
        <v>0</v>
      </c>
      <c r="R30" s="81">
        <f t="shared" si="14"/>
        <v>0</v>
      </c>
      <c r="S30" s="81">
        <f>+P$10*P30+Q$10*Q30+R$10*R30</f>
        <v>-3.0000000260770321E-2</v>
      </c>
      <c r="T30" s="85">
        <f>IF(C30=0,0,+S30/C30)</f>
        <v>-6.1521349294855158E-9</v>
      </c>
      <c r="U30" s="120"/>
      <c r="V30" s="192">
        <f t="shared" si="2"/>
        <v>0</v>
      </c>
      <c r="W30" s="122"/>
      <c r="X30" s="122"/>
      <c r="Y30" s="57"/>
    </row>
    <row r="31" spans="1:26" x14ac:dyDescent="0.25">
      <c r="A31" s="20"/>
      <c r="B31" s="14"/>
      <c r="C31" s="68"/>
      <c r="D31" s="93"/>
      <c r="E31" s="93"/>
      <c r="F31" s="93"/>
      <c r="G31" s="94"/>
      <c r="H31" s="94"/>
      <c r="I31" s="94"/>
      <c r="J31" s="94"/>
      <c r="K31" s="94"/>
      <c r="L31" s="587"/>
      <c r="M31" s="587"/>
      <c r="N31" s="587"/>
      <c r="O31" s="119"/>
      <c r="P31" s="81"/>
      <c r="Q31" s="81"/>
      <c r="R31" s="81"/>
      <c r="S31" s="81"/>
      <c r="T31" s="85"/>
      <c r="U31" s="119"/>
      <c r="V31" s="192">
        <f t="shared" si="2"/>
        <v>0</v>
      </c>
      <c r="W31" s="122"/>
      <c r="X31" s="122"/>
    </row>
    <row r="32" spans="1:26" x14ac:dyDescent="0.25">
      <c r="A32" s="3" t="s">
        <v>25</v>
      </c>
      <c r="B32" s="3" t="s">
        <v>26</v>
      </c>
      <c r="C32" s="89">
        <f>+C33+C41+C48+C66+C71</f>
        <v>10130000</v>
      </c>
      <c r="D32" s="89">
        <f>+D33+D41+D48+D66+D71</f>
        <v>10130000</v>
      </c>
      <c r="E32" s="89">
        <f>+E33+E41+E48+E66+E71</f>
        <v>10130000</v>
      </c>
      <c r="F32" s="89">
        <f>+F33+F41+F48+F66+F71</f>
        <v>9678988</v>
      </c>
      <c r="G32" s="89"/>
      <c r="H32" s="89">
        <f>+H33+H41+H48+H66+H71</f>
        <v>3117797</v>
      </c>
      <c r="I32" s="89">
        <f>+I33+I41+I48+I66+I71</f>
        <v>5702808</v>
      </c>
      <c r="J32" s="89">
        <f>+J33+J41+J48+J66+J71</f>
        <v>8871614</v>
      </c>
      <c r="K32" s="89"/>
      <c r="L32" s="588">
        <f t="shared" ref="L32:L63" si="15">IF(H32&gt;0,H32/C32,0)</f>
        <v>0.30777857847976309</v>
      </c>
      <c r="M32" s="588">
        <f t="shared" ref="M32:M63" si="16">IF(I32&gt;0,I32/D32,0)</f>
        <v>0.56296229022704836</v>
      </c>
      <c r="N32" s="588">
        <f t="shared" ref="N32:N63" si="17">IF(J32&gt;0,J32/E32,0)</f>
        <v>0.87577630799605133</v>
      </c>
      <c r="O32" s="31"/>
      <c r="P32" s="89">
        <f t="shared" ref="P32:P63" si="18">+(D32-C32)*P$10</f>
        <v>0</v>
      </c>
      <c r="Q32" s="89">
        <f t="shared" ref="Q32:Q63" si="19">+(E32-D32)*Q$10</f>
        <v>0</v>
      </c>
      <c r="R32" s="89">
        <f t="shared" ref="R32:R63" si="20">+(F32-E32)*R$10</f>
        <v>-451012</v>
      </c>
      <c r="S32" s="89">
        <f t="shared" ref="S32:S84" si="21">+P$10*P32+Q$10*Q32+R$10*R32</f>
        <v>-451012</v>
      </c>
      <c r="T32" s="198">
        <f t="shared" ref="T32:T63" si="22">IF(C32=0,0,+S32/C32)</f>
        <v>-4.4522408687068117E-2</v>
      </c>
      <c r="U32" s="118"/>
      <c r="V32" s="192">
        <f t="shared" si="2"/>
        <v>-451012</v>
      </c>
      <c r="W32" s="122"/>
      <c r="X32" s="122"/>
    </row>
    <row r="33" spans="1:25" s="42" customFormat="1" x14ac:dyDescent="0.25">
      <c r="A33" s="39" t="s">
        <v>27</v>
      </c>
      <c r="B33" s="39" t="s">
        <v>28</v>
      </c>
      <c r="C33" s="95">
        <f>SUM(C34:C40)</f>
        <v>500000</v>
      </c>
      <c r="D33" s="95">
        <f>SUM(D34:D40)</f>
        <v>500000</v>
      </c>
      <c r="E33" s="95">
        <f>SUM(E34:E40)</f>
        <v>500000</v>
      </c>
      <c r="F33" s="95">
        <f>SUM(F34:F40)</f>
        <v>510000</v>
      </c>
      <c r="G33" s="95"/>
      <c r="H33" s="95">
        <f>SUM(H34:H40)</f>
        <v>167647</v>
      </c>
      <c r="I33" s="95">
        <f>SUM(I34:I40)</f>
        <v>240470</v>
      </c>
      <c r="J33" s="95">
        <f>SUM(J34:J40)</f>
        <v>497087</v>
      </c>
      <c r="K33" s="95"/>
      <c r="L33" s="592">
        <f t="shared" si="15"/>
        <v>0.33529399999999998</v>
      </c>
      <c r="M33" s="592">
        <f t="shared" si="16"/>
        <v>0.48093999999999998</v>
      </c>
      <c r="N33" s="592">
        <f t="shared" si="17"/>
        <v>0.994174</v>
      </c>
      <c r="O33" s="40"/>
      <c r="P33" s="81">
        <f t="shared" si="18"/>
        <v>0</v>
      </c>
      <c r="Q33" s="81">
        <f t="shared" si="19"/>
        <v>0</v>
      </c>
      <c r="R33" s="81">
        <f t="shared" si="20"/>
        <v>10000</v>
      </c>
      <c r="S33" s="81">
        <f t="shared" si="21"/>
        <v>10000</v>
      </c>
      <c r="T33" s="85">
        <f t="shared" si="22"/>
        <v>0.02</v>
      </c>
      <c r="U33" s="121"/>
      <c r="V33" s="192">
        <f t="shared" si="2"/>
        <v>10000</v>
      </c>
      <c r="W33" s="128"/>
      <c r="X33" s="128"/>
    </row>
    <row r="34" spans="1:25" x14ac:dyDescent="0.25">
      <c r="A34" s="20" t="s">
        <v>29</v>
      </c>
      <c r="B34" s="20" t="s">
        <v>31</v>
      </c>
      <c r="C34" s="142">
        <v>50000</v>
      </c>
      <c r="D34" s="142">
        <v>80000</v>
      </c>
      <c r="E34" s="142">
        <v>80000</v>
      </c>
      <c r="F34" s="68">
        <v>80000</v>
      </c>
      <c r="G34" s="96"/>
      <c r="H34" s="96">
        <v>55774</v>
      </c>
      <c r="I34" s="96">
        <v>69947</v>
      </c>
      <c r="J34" s="96">
        <v>69947</v>
      </c>
      <c r="K34" s="96"/>
      <c r="L34" s="591">
        <f t="shared" si="15"/>
        <v>1.11548</v>
      </c>
      <c r="M34" s="591">
        <f t="shared" si="16"/>
        <v>0.87433749999999999</v>
      </c>
      <c r="N34" s="591">
        <f t="shared" si="17"/>
        <v>0.87433749999999999</v>
      </c>
      <c r="O34" s="120"/>
      <c r="P34" s="81">
        <f t="shared" si="18"/>
        <v>30000</v>
      </c>
      <c r="Q34" s="81">
        <f t="shared" si="19"/>
        <v>0</v>
      </c>
      <c r="R34" s="81">
        <f t="shared" si="20"/>
        <v>0</v>
      </c>
      <c r="S34" s="81">
        <f t="shared" si="21"/>
        <v>30000</v>
      </c>
      <c r="T34" s="85">
        <f t="shared" si="22"/>
        <v>0.6</v>
      </c>
      <c r="U34" s="120"/>
      <c r="V34" s="192">
        <f t="shared" si="2"/>
        <v>0</v>
      </c>
      <c r="W34" s="122"/>
      <c r="X34" s="122"/>
    </row>
    <row r="35" spans="1:25" x14ac:dyDescent="0.25">
      <c r="A35" s="20"/>
      <c r="B35" s="20" t="s">
        <v>85</v>
      </c>
      <c r="C35" s="142"/>
      <c r="D35" s="142"/>
      <c r="E35" s="142"/>
      <c r="F35" s="68"/>
      <c r="G35" s="96"/>
      <c r="H35" s="96"/>
      <c r="I35" s="96"/>
      <c r="J35" s="96"/>
      <c r="K35" s="96"/>
      <c r="L35" s="587">
        <f t="shared" si="15"/>
        <v>0</v>
      </c>
      <c r="M35" s="587">
        <f t="shared" si="16"/>
        <v>0</v>
      </c>
      <c r="N35" s="587">
        <f t="shared" si="17"/>
        <v>0</v>
      </c>
      <c r="O35" s="119"/>
      <c r="P35" s="81">
        <f t="shared" si="18"/>
        <v>0</v>
      </c>
      <c r="Q35" s="81">
        <f t="shared" si="19"/>
        <v>0</v>
      </c>
      <c r="R35" s="81">
        <f t="shared" si="20"/>
        <v>0</v>
      </c>
      <c r="S35" s="81">
        <f t="shared" si="21"/>
        <v>0</v>
      </c>
      <c r="T35" s="85">
        <f t="shared" si="22"/>
        <v>0</v>
      </c>
      <c r="U35" s="119"/>
      <c r="V35" s="192">
        <f t="shared" si="2"/>
        <v>0</v>
      </c>
      <c r="W35" s="122"/>
      <c r="X35" s="122"/>
    </row>
    <row r="36" spans="1:25" x14ac:dyDescent="0.25">
      <c r="A36" s="20" t="s">
        <v>30</v>
      </c>
      <c r="B36" s="20" t="s">
        <v>32</v>
      </c>
      <c r="C36" s="142">
        <v>450000</v>
      </c>
      <c r="D36" s="142">
        <v>420000</v>
      </c>
      <c r="E36" s="142">
        <v>420000</v>
      </c>
      <c r="F36" s="68">
        <v>430000</v>
      </c>
      <c r="G36" s="96"/>
      <c r="H36" s="96">
        <v>111873</v>
      </c>
      <c r="I36" s="96">
        <v>170523</v>
      </c>
      <c r="J36" s="96">
        <v>427140</v>
      </c>
      <c r="K36" s="96"/>
      <c r="L36" s="591">
        <f t="shared" si="15"/>
        <v>0.24860666666666667</v>
      </c>
      <c r="M36" s="591">
        <f t="shared" si="16"/>
        <v>0.40600714285714284</v>
      </c>
      <c r="N36" s="591">
        <f t="shared" si="17"/>
        <v>1.0169999999999999</v>
      </c>
      <c r="O36" s="120"/>
      <c r="P36" s="81">
        <f t="shared" si="18"/>
        <v>-30000</v>
      </c>
      <c r="Q36" s="81">
        <f t="shared" si="19"/>
        <v>0</v>
      </c>
      <c r="R36" s="81">
        <f t="shared" si="20"/>
        <v>10000</v>
      </c>
      <c r="S36" s="81">
        <f t="shared" si="21"/>
        <v>-20000</v>
      </c>
      <c r="T36" s="85">
        <f t="shared" si="22"/>
        <v>-4.4444444444444446E-2</v>
      </c>
      <c r="U36" s="120"/>
      <c r="V36" s="192">
        <f t="shared" si="2"/>
        <v>10000</v>
      </c>
      <c r="W36" s="122"/>
      <c r="X36" s="122"/>
    </row>
    <row r="37" spans="1:25" x14ac:dyDescent="0.25">
      <c r="A37" s="20"/>
      <c r="B37" s="20" t="s">
        <v>92</v>
      </c>
      <c r="C37" s="142"/>
      <c r="D37" s="142"/>
      <c r="E37" s="142"/>
      <c r="F37" s="68"/>
      <c r="G37" s="96"/>
      <c r="H37" s="96"/>
      <c r="I37" s="96"/>
      <c r="J37" s="96"/>
      <c r="K37" s="96"/>
      <c r="L37" s="587">
        <f t="shared" si="15"/>
        <v>0</v>
      </c>
      <c r="M37" s="587">
        <f t="shared" si="16"/>
        <v>0</v>
      </c>
      <c r="N37" s="587">
        <f t="shared" si="17"/>
        <v>0</v>
      </c>
      <c r="O37" s="119"/>
      <c r="P37" s="81">
        <f t="shared" si="18"/>
        <v>0</v>
      </c>
      <c r="Q37" s="81">
        <f t="shared" si="19"/>
        <v>0</v>
      </c>
      <c r="R37" s="81">
        <f t="shared" si="20"/>
        <v>0</v>
      </c>
      <c r="S37" s="81">
        <f t="shared" si="21"/>
        <v>0</v>
      </c>
      <c r="T37" s="85">
        <f t="shared" si="22"/>
        <v>0</v>
      </c>
      <c r="U37" s="119"/>
      <c r="V37" s="192">
        <f t="shared" si="2"/>
        <v>0</v>
      </c>
      <c r="W37" s="122"/>
      <c r="X37" s="122"/>
    </row>
    <row r="38" spans="1:25" x14ac:dyDescent="0.25">
      <c r="A38" s="20"/>
      <c r="B38" s="20" t="s">
        <v>91</v>
      </c>
      <c r="C38" s="142"/>
      <c r="D38" s="142"/>
      <c r="E38" s="142"/>
      <c r="F38" s="68"/>
      <c r="G38" s="96"/>
      <c r="H38" s="96"/>
      <c r="I38" s="96"/>
      <c r="J38" s="96"/>
      <c r="K38" s="96"/>
      <c r="L38" s="587">
        <f t="shared" si="15"/>
        <v>0</v>
      </c>
      <c r="M38" s="587">
        <f t="shared" si="16"/>
        <v>0</v>
      </c>
      <c r="N38" s="587">
        <f t="shared" si="17"/>
        <v>0</v>
      </c>
      <c r="O38" s="119"/>
      <c r="P38" s="81">
        <f t="shared" si="18"/>
        <v>0</v>
      </c>
      <c r="Q38" s="81">
        <f t="shared" si="19"/>
        <v>0</v>
      </c>
      <c r="R38" s="81">
        <f t="shared" si="20"/>
        <v>0</v>
      </c>
      <c r="S38" s="81">
        <f t="shared" si="21"/>
        <v>0</v>
      </c>
      <c r="T38" s="85">
        <f t="shared" si="22"/>
        <v>0</v>
      </c>
      <c r="U38" s="119"/>
      <c r="V38" s="192">
        <f t="shared" si="2"/>
        <v>0</v>
      </c>
      <c r="W38" s="122"/>
      <c r="X38" s="122"/>
    </row>
    <row r="39" spans="1:25" x14ac:dyDescent="0.25">
      <c r="A39" s="20"/>
      <c r="B39" s="20" t="s">
        <v>90</v>
      </c>
      <c r="C39" s="142"/>
      <c r="D39" s="142"/>
      <c r="E39" s="142"/>
      <c r="F39" s="68"/>
      <c r="G39" s="96"/>
      <c r="H39" s="96"/>
      <c r="I39" s="96"/>
      <c r="J39" s="96"/>
      <c r="K39" s="96"/>
      <c r="L39" s="587">
        <f t="shared" si="15"/>
        <v>0</v>
      </c>
      <c r="M39" s="587">
        <f t="shared" si="16"/>
        <v>0</v>
      </c>
      <c r="N39" s="587">
        <f t="shared" si="17"/>
        <v>0</v>
      </c>
      <c r="O39" s="119"/>
      <c r="P39" s="81">
        <f t="shared" si="18"/>
        <v>0</v>
      </c>
      <c r="Q39" s="81">
        <f t="shared" si="19"/>
        <v>0</v>
      </c>
      <c r="R39" s="81">
        <f t="shared" si="20"/>
        <v>0</v>
      </c>
      <c r="S39" s="81">
        <f t="shared" si="21"/>
        <v>0</v>
      </c>
      <c r="T39" s="85">
        <f t="shared" si="22"/>
        <v>0</v>
      </c>
      <c r="U39" s="119"/>
      <c r="V39" s="192">
        <f t="shared" si="2"/>
        <v>0</v>
      </c>
      <c r="W39" s="122"/>
      <c r="X39" s="122"/>
    </row>
    <row r="40" spans="1:25" x14ac:dyDescent="0.25">
      <c r="A40" s="20"/>
      <c r="B40" s="20" t="s">
        <v>89</v>
      </c>
      <c r="C40" s="142">
        <v>0</v>
      </c>
      <c r="D40" s="142">
        <v>0</v>
      </c>
      <c r="E40" s="142">
        <v>0</v>
      </c>
      <c r="F40" s="68">
        <v>0</v>
      </c>
      <c r="G40" s="96"/>
      <c r="H40" s="96">
        <v>0</v>
      </c>
      <c r="I40" s="96">
        <v>0</v>
      </c>
      <c r="J40" s="96">
        <v>0</v>
      </c>
      <c r="K40" s="96"/>
      <c r="L40" s="591">
        <f t="shared" si="15"/>
        <v>0</v>
      </c>
      <c r="M40" s="591">
        <f t="shared" si="16"/>
        <v>0</v>
      </c>
      <c r="N40" s="591">
        <f t="shared" si="17"/>
        <v>0</v>
      </c>
      <c r="O40" s="120"/>
      <c r="P40" s="81">
        <f t="shared" si="18"/>
        <v>0</v>
      </c>
      <c r="Q40" s="81">
        <f t="shared" si="19"/>
        <v>0</v>
      </c>
      <c r="R40" s="81">
        <f t="shared" si="20"/>
        <v>0</v>
      </c>
      <c r="S40" s="81">
        <f t="shared" si="21"/>
        <v>0</v>
      </c>
      <c r="T40" s="85">
        <f t="shared" si="22"/>
        <v>0</v>
      </c>
      <c r="U40" s="120"/>
      <c r="V40" s="192">
        <f t="shared" si="2"/>
        <v>0</v>
      </c>
      <c r="W40" s="122"/>
      <c r="X40" s="122"/>
    </row>
    <row r="41" spans="1:25" s="42" customFormat="1" x14ac:dyDescent="0.25">
      <c r="A41" s="39" t="s">
        <v>33</v>
      </c>
      <c r="B41" s="39" t="s">
        <v>34</v>
      </c>
      <c r="C41" s="95">
        <f>SUM(C42:C47)</f>
        <v>190000</v>
      </c>
      <c r="D41" s="95">
        <f>SUM(D42:D47)</f>
        <v>190000</v>
      </c>
      <c r="E41" s="95">
        <f>SUM(E42:E47)</f>
        <v>190000</v>
      </c>
      <c r="F41" s="95">
        <f>SUM(F42:F47)</f>
        <v>190000</v>
      </c>
      <c r="G41" s="95"/>
      <c r="H41" s="95">
        <f>SUM(H42:H47)</f>
        <v>73272</v>
      </c>
      <c r="I41" s="95">
        <f>SUM(I42:I47)</f>
        <v>109102</v>
      </c>
      <c r="J41" s="95">
        <f>SUM(J42:J47)</f>
        <v>125406</v>
      </c>
      <c r="K41" s="95"/>
      <c r="L41" s="592">
        <f t="shared" si="15"/>
        <v>0.3856421052631579</v>
      </c>
      <c r="M41" s="592">
        <f t="shared" si="16"/>
        <v>0.57422105263157897</v>
      </c>
      <c r="N41" s="592">
        <f t="shared" si="17"/>
        <v>0.66003157894736841</v>
      </c>
      <c r="O41" s="121"/>
      <c r="P41" s="81">
        <f t="shared" si="18"/>
        <v>0</v>
      </c>
      <c r="Q41" s="81">
        <f t="shared" si="19"/>
        <v>0</v>
      </c>
      <c r="R41" s="81">
        <f t="shared" si="20"/>
        <v>0</v>
      </c>
      <c r="S41" s="81">
        <f t="shared" si="21"/>
        <v>0</v>
      </c>
      <c r="T41" s="85">
        <f t="shared" si="22"/>
        <v>0</v>
      </c>
      <c r="U41" s="121"/>
      <c r="V41" s="192">
        <f t="shared" si="2"/>
        <v>0</v>
      </c>
      <c r="W41" s="128"/>
      <c r="X41" s="128"/>
    </row>
    <row r="42" spans="1:25" x14ac:dyDescent="0.25">
      <c r="A42" s="20" t="s">
        <v>35</v>
      </c>
      <c r="B42" s="20" t="s">
        <v>36</v>
      </c>
      <c r="C42" s="68">
        <v>90000</v>
      </c>
      <c r="D42" s="68">
        <v>90000</v>
      </c>
      <c r="E42" s="142">
        <v>90000</v>
      </c>
      <c r="F42" s="68">
        <v>90000</v>
      </c>
      <c r="G42" s="96"/>
      <c r="H42" s="96">
        <v>39000</v>
      </c>
      <c r="I42" s="96">
        <v>58500</v>
      </c>
      <c r="J42" s="96">
        <v>58500</v>
      </c>
      <c r="K42" s="96"/>
      <c r="L42" s="591">
        <f t="shared" si="15"/>
        <v>0.43333333333333335</v>
      </c>
      <c r="M42" s="591">
        <f t="shared" si="16"/>
        <v>0.65</v>
      </c>
      <c r="N42" s="591">
        <f t="shared" si="17"/>
        <v>0.65</v>
      </c>
      <c r="O42" s="120"/>
      <c r="P42" s="81">
        <f t="shared" si="18"/>
        <v>0</v>
      </c>
      <c r="Q42" s="81">
        <f t="shared" si="19"/>
        <v>0</v>
      </c>
      <c r="R42" s="81">
        <f t="shared" si="20"/>
        <v>0</v>
      </c>
      <c r="S42" s="81">
        <f t="shared" si="21"/>
        <v>0</v>
      </c>
      <c r="T42" s="85">
        <f t="shared" si="22"/>
        <v>0</v>
      </c>
      <c r="U42" s="120"/>
      <c r="V42" s="192">
        <f t="shared" si="2"/>
        <v>0</v>
      </c>
      <c r="W42" s="122"/>
      <c r="X42" s="122"/>
      <c r="Y42" s="2"/>
    </row>
    <row r="43" spans="1:25" ht="14.25" customHeight="1" x14ac:dyDescent="0.25">
      <c r="A43" s="20"/>
      <c r="B43" s="20" t="s">
        <v>37</v>
      </c>
      <c r="C43" s="68"/>
      <c r="D43" s="68"/>
      <c r="E43" s="68"/>
      <c r="F43" s="68"/>
      <c r="G43" s="96"/>
      <c r="H43" s="96"/>
      <c r="I43" s="96"/>
      <c r="J43" s="96"/>
      <c r="K43" s="96"/>
      <c r="L43" s="587">
        <f t="shared" si="15"/>
        <v>0</v>
      </c>
      <c r="M43" s="587">
        <f t="shared" si="16"/>
        <v>0</v>
      </c>
      <c r="N43" s="587">
        <f t="shared" si="17"/>
        <v>0</v>
      </c>
      <c r="O43" s="119"/>
      <c r="P43" s="81">
        <f t="shared" si="18"/>
        <v>0</v>
      </c>
      <c r="Q43" s="81">
        <f t="shared" si="19"/>
        <v>0</v>
      </c>
      <c r="R43" s="81">
        <f t="shared" si="20"/>
        <v>0</v>
      </c>
      <c r="S43" s="81">
        <f t="shared" si="21"/>
        <v>0</v>
      </c>
      <c r="T43" s="85">
        <f t="shared" si="22"/>
        <v>0</v>
      </c>
      <c r="U43" s="119"/>
      <c r="V43" s="192">
        <f t="shared" si="2"/>
        <v>0</v>
      </c>
      <c r="W43" s="122"/>
      <c r="X43" s="122"/>
    </row>
    <row r="44" spans="1:25" ht="15.75" customHeight="1" x14ac:dyDescent="0.25">
      <c r="A44" s="20"/>
      <c r="B44" s="20" t="s">
        <v>38</v>
      </c>
      <c r="C44" s="68"/>
      <c r="D44" s="68"/>
      <c r="E44" s="68"/>
      <c r="F44" s="68"/>
      <c r="G44" s="96"/>
      <c r="H44" s="96"/>
      <c r="I44" s="96"/>
      <c r="J44" s="96"/>
      <c r="K44" s="96"/>
      <c r="L44" s="587">
        <f t="shared" si="15"/>
        <v>0</v>
      </c>
      <c r="M44" s="587">
        <f t="shared" si="16"/>
        <v>0</v>
      </c>
      <c r="N44" s="587">
        <f t="shared" si="17"/>
        <v>0</v>
      </c>
      <c r="O44" s="119"/>
      <c r="P44" s="81">
        <f t="shared" si="18"/>
        <v>0</v>
      </c>
      <c r="Q44" s="81">
        <f t="shared" si="19"/>
        <v>0</v>
      </c>
      <c r="R44" s="81">
        <f t="shared" si="20"/>
        <v>0</v>
      </c>
      <c r="S44" s="81">
        <f t="shared" si="21"/>
        <v>0</v>
      </c>
      <c r="T44" s="85">
        <f t="shared" si="22"/>
        <v>0</v>
      </c>
      <c r="U44" s="119"/>
      <c r="V44" s="192">
        <f t="shared" si="2"/>
        <v>0</v>
      </c>
      <c r="W44" s="122"/>
      <c r="X44" s="122"/>
    </row>
    <row r="45" spans="1:25" x14ac:dyDescent="0.25">
      <c r="A45" s="20"/>
      <c r="B45" s="20" t="s">
        <v>39</v>
      </c>
      <c r="C45" s="68"/>
      <c r="D45" s="68"/>
      <c r="E45" s="68"/>
      <c r="F45" s="68"/>
      <c r="G45" s="96"/>
      <c r="H45" s="96"/>
      <c r="I45" s="96"/>
      <c r="J45" s="96"/>
      <c r="K45" s="96"/>
      <c r="L45" s="587">
        <f t="shared" si="15"/>
        <v>0</v>
      </c>
      <c r="M45" s="587">
        <f t="shared" si="16"/>
        <v>0</v>
      </c>
      <c r="N45" s="587">
        <f t="shared" si="17"/>
        <v>0</v>
      </c>
      <c r="O45" s="119"/>
      <c r="P45" s="81">
        <f t="shared" si="18"/>
        <v>0</v>
      </c>
      <c r="Q45" s="81">
        <f t="shared" si="19"/>
        <v>0</v>
      </c>
      <c r="R45" s="81">
        <f t="shared" si="20"/>
        <v>0</v>
      </c>
      <c r="S45" s="81">
        <f t="shared" si="21"/>
        <v>0</v>
      </c>
      <c r="T45" s="85">
        <f t="shared" si="22"/>
        <v>0</v>
      </c>
      <c r="U45" s="119"/>
      <c r="V45" s="192">
        <f t="shared" si="2"/>
        <v>0</v>
      </c>
      <c r="W45" s="122"/>
      <c r="X45" s="122"/>
    </row>
    <row r="46" spans="1:25" x14ac:dyDescent="0.25">
      <c r="A46" s="20" t="s">
        <v>40</v>
      </c>
      <c r="B46" s="20" t="s">
        <v>41</v>
      </c>
      <c r="C46" s="68">
        <v>100000</v>
      </c>
      <c r="D46" s="68">
        <v>100000</v>
      </c>
      <c r="E46" s="142">
        <v>100000</v>
      </c>
      <c r="F46" s="68">
        <v>100000</v>
      </c>
      <c r="G46" s="96"/>
      <c r="H46" s="96">
        <v>34272</v>
      </c>
      <c r="I46" s="96">
        <v>50602</v>
      </c>
      <c r="J46" s="96">
        <v>66906</v>
      </c>
      <c r="K46" s="96"/>
      <c r="L46" s="591">
        <f t="shared" si="15"/>
        <v>0.34272000000000002</v>
      </c>
      <c r="M46" s="591">
        <f t="shared" si="16"/>
        <v>0.50602000000000003</v>
      </c>
      <c r="N46" s="591">
        <f t="shared" si="17"/>
        <v>0.66905999999999999</v>
      </c>
      <c r="O46" s="120"/>
      <c r="P46" s="81">
        <f t="shared" si="18"/>
        <v>0</v>
      </c>
      <c r="Q46" s="81">
        <f t="shared" si="19"/>
        <v>0</v>
      </c>
      <c r="R46" s="81">
        <f t="shared" si="20"/>
        <v>0</v>
      </c>
      <c r="S46" s="81">
        <f t="shared" si="21"/>
        <v>0</v>
      </c>
      <c r="T46" s="85">
        <f t="shared" si="22"/>
        <v>0</v>
      </c>
      <c r="U46" s="120"/>
      <c r="V46" s="192">
        <f t="shared" si="2"/>
        <v>0</v>
      </c>
      <c r="W46" s="122"/>
      <c r="X46" s="122"/>
    </row>
    <row r="47" spans="1:25" ht="15.75" customHeight="1" x14ac:dyDescent="0.25">
      <c r="A47" s="20"/>
      <c r="B47" s="20" t="s">
        <v>42</v>
      </c>
      <c r="C47" s="68"/>
      <c r="D47" s="68"/>
      <c r="E47" s="68"/>
      <c r="F47" s="68"/>
      <c r="G47" s="96"/>
      <c r="H47" s="96"/>
      <c r="I47" s="96"/>
      <c r="J47" s="96"/>
      <c r="K47" s="96"/>
      <c r="L47" s="587">
        <f t="shared" si="15"/>
        <v>0</v>
      </c>
      <c r="M47" s="587">
        <f t="shared" si="16"/>
        <v>0</v>
      </c>
      <c r="N47" s="587">
        <f t="shared" si="17"/>
        <v>0</v>
      </c>
      <c r="O47" s="119"/>
      <c r="P47" s="81">
        <f t="shared" si="18"/>
        <v>0</v>
      </c>
      <c r="Q47" s="81">
        <f t="shared" si="19"/>
        <v>0</v>
      </c>
      <c r="R47" s="81">
        <f t="shared" si="20"/>
        <v>0</v>
      </c>
      <c r="S47" s="81">
        <f t="shared" si="21"/>
        <v>0</v>
      </c>
      <c r="T47" s="85">
        <f t="shared" si="22"/>
        <v>0</v>
      </c>
      <c r="U47" s="119"/>
      <c r="V47" s="192">
        <f t="shared" si="2"/>
        <v>0</v>
      </c>
      <c r="W47" s="122"/>
      <c r="X47" s="122"/>
    </row>
    <row r="48" spans="1:25" s="42" customFormat="1" x14ac:dyDescent="0.25">
      <c r="A48" s="39" t="s">
        <v>43</v>
      </c>
      <c r="B48" s="39" t="s">
        <v>44</v>
      </c>
      <c r="C48" s="95">
        <f>SUM(C49:C65)</f>
        <v>5560000</v>
      </c>
      <c r="D48" s="95">
        <f>SUM(D49:D65)</f>
        <v>5560000</v>
      </c>
      <c r="E48" s="95">
        <f>SUM(E49:E65)</f>
        <v>5560000</v>
      </c>
      <c r="F48" s="95">
        <f>SUM(F49:F65)</f>
        <v>5574000</v>
      </c>
      <c r="G48" s="95"/>
      <c r="H48" s="95">
        <f>SUM(H49:H65)</f>
        <v>1716709</v>
      </c>
      <c r="I48" s="95">
        <f>SUM(I49:I65)</f>
        <v>3373799</v>
      </c>
      <c r="J48" s="95">
        <f>SUM(J49:J65)</f>
        <v>5186077</v>
      </c>
      <c r="K48" s="95"/>
      <c r="L48" s="592">
        <f t="shared" si="15"/>
        <v>0.30876061151079137</v>
      </c>
      <c r="M48" s="592">
        <f t="shared" si="16"/>
        <v>0.606798381294964</v>
      </c>
      <c r="N48" s="592">
        <f t="shared" si="17"/>
        <v>0.93274766187050362</v>
      </c>
      <c r="O48" s="121"/>
      <c r="P48" s="81">
        <f t="shared" si="18"/>
        <v>0</v>
      </c>
      <c r="Q48" s="81">
        <f t="shared" si="19"/>
        <v>0</v>
      </c>
      <c r="R48" s="81">
        <f t="shared" si="20"/>
        <v>14000</v>
      </c>
      <c r="S48" s="81">
        <f t="shared" si="21"/>
        <v>14000</v>
      </c>
      <c r="T48" s="85">
        <f t="shared" si="22"/>
        <v>2.5179856115107912E-3</v>
      </c>
      <c r="U48" s="121"/>
      <c r="V48" s="192">
        <f t="shared" si="2"/>
        <v>14000</v>
      </c>
      <c r="W48" s="128"/>
      <c r="X48" s="128"/>
    </row>
    <row r="49" spans="1:25" x14ac:dyDescent="0.25">
      <c r="A49" s="20" t="s">
        <v>45</v>
      </c>
      <c r="B49" s="558" t="s">
        <v>46</v>
      </c>
      <c r="C49" s="68">
        <v>800000</v>
      </c>
      <c r="D49" s="68">
        <v>870000</v>
      </c>
      <c r="E49" s="68">
        <v>870000</v>
      </c>
      <c r="F49" s="68">
        <v>636402</v>
      </c>
      <c r="G49" s="96"/>
      <c r="H49" s="96">
        <v>253701</v>
      </c>
      <c r="I49" s="96">
        <v>337108</v>
      </c>
      <c r="J49" s="96">
        <v>635923</v>
      </c>
      <c r="K49" s="96"/>
      <c r="L49" s="591">
        <f t="shared" si="15"/>
        <v>0.31712625</v>
      </c>
      <c r="M49" s="591">
        <f t="shared" si="16"/>
        <v>0.38748045977011492</v>
      </c>
      <c r="N49" s="591">
        <f t="shared" si="17"/>
        <v>0.73094597701149422</v>
      </c>
      <c r="O49" s="120"/>
      <c r="P49" s="81">
        <f t="shared" si="18"/>
        <v>70000</v>
      </c>
      <c r="Q49" s="81">
        <f t="shared" si="19"/>
        <v>0</v>
      </c>
      <c r="R49" s="81">
        <f t="shared" si="20"/>
        <v>-233598</v>
      </c>
      <c r="S49" s="81">
        <f t="shared" si="21"/>
        <v>-163598</v>
      </c>
      <c r="T49" s="85">
        <f t="shared" si="22"/>
        <v>-0.2044975</v>
      </c>
      <c r="U49" s="120"/>
      <c r="V49" s="192">
        <f t="shared" si="2"/>
        <v>-233598</v>
      </c>
      <c r="W49" s="122"/>
      <c r="X49" s="122"/>
    </row>
    <row r="50" spans="1:25" x14ac:dyDescent="0.25">
      <c r="A50" s="20" t="s">
        <v>99</v>
      </c>
      <c r="B50" s="20" t="s">
        <v>93</v>
      </c>
      <c r="C50" s="68"/>
      <c r="D50" s="68"/>
      <c r="E50" s="68"/>
      <c r="F50" s="68"/>
      <c r="G50" s="96"/>
      <c r="H50" s="96"/>
      <c r="I50" s="96"/>
      <c r="J50" s="96"/>
      <c r="K50" s="96"/>
      <c r="L50" s="587">
        <f t="shared" si="15"/>
        <v>0</v>
      </c>
      <c r="M50" s="587">
        <f t="shared" si="16"/>
        <v>0</v>
      </c>
      <c r="N50" s="587">
        <f t="shared" si="17"/>
        <v>0</v>
      </c>
      <c r="O50" s="119"/>
      <c r="P50" s="81">
        <f t="shared" si="18"/>
        <v>0</v>
      </c>
      <c r="Q50" s="81">
        <f t="shared" si="19"/>
        <v>0</v>
      </c>
      <c r="R50" s="81">
        <f t="shared" si="20"/>
        <v>0</v>
      </c>
      <c r="S50" s="81">
        <f t="shared" si="21"/>
        <v>0</v>
      </c>
      <c r="T50" s="85">
        <f t="shared" si="22"/>
        <v>0</v>
      </c>
      <c r="U50" s="119"/>
      <c r="V50" s="192">
        <f t="shared" si="2"/>
        <v>0</v>
      </c>
      <c r="W50" s="122"/>
      <c r="X50" s="122"/>
    </row>
    <row r="51" spans="1:25" x14ac:dyDescent="0.25">
      <c r="A51" s="20"/>
      <c r="B51" s="20" t="s">
        <v>94</v>
      </c>
      <c r="C51" s="68"/>
      <c r="D51" s="68"/>
      <c r="E51" s="68"/>
      <c r="F51" s="68"/>
      <c r="G51" s="96"/>
      <c r="H51" s="96"/>
      <c r="I51" s="96"/>
      <c r="J51" s="96"/>
      <c r="K51" s="96"/>
      <c r="L51" s="587">
        <f t="shared" si="15"/>
        <v>0</v>
      </c>
      <c r="M51" s="587">
        <f t="shared" si="16"/>
        <v>0</v>
      </c>
      <c r="N51" s="587">
        <f t="shared" si="17"/>
        <v>0</v>
      </c>
      <c r="O51" s="119"/>
      <c r="P51" s="81">
        <f t="shared" si="18"/>
        <v>0</v>
      </c>
      <c r="Q51" s="81">
        <f t="shared" si="19"/>
        <v>0</v>
      </c>
      <c r="R51" s="81">
        <f t="shared" si="20"/>
        <v>0</v>
      </c>
      <c r="S51" s="81">
        <f t="shared" si="21"/>
        <v>0</v>
      </c>
      <c r="T51" s="85">
        <f t="shared" si="22"/>
        <v>0</v>
      </c>
      <c r="U51" s="119"/>
      <c r="V51" s="192">
        <f t="shared" si="2"/>
        <v>0</v>
      </c>
      <c r="W51" s="122"/>
      <c r="X51" s="122"/>
    </row>
    <row r="52" spans="1:25" x14ac:dyDescent="0.25">
      <c r="A52" s="20"/>
      <c r="B52" s="20" t="s">
        <v>95</v>
      </c>
      <c r="C52" s="68"/>
      <c r="D52" s="68"/>
      <c r="E52" s="68"/>
      <c r="F52" s="68"/>
      <c r="G52" s="96"/>
      <c r="H52" s="96"/>
      <c r="I52" s="96"/>
      <c r="J52" s="96"/>
      <c r="K52" s="96"/>
      <c r="L52" s="587">
        <f t="shared" si="15"/>
        <v>0</v>
      </c>
      <c r="M52" s="587">
        <f t="shared" si="16"/>
        <v>0</v>
      </c>
      <c r="N52" s="587">
        <f t="shared" si="17"/>
        <v>0</v>
      </c>
      <c r="O52" s="119"/>
      <c r="P52" s="81">
        <f t="shared" si="18"/>
        <v>0</v>
      </c>
      <c r="Q52" s="81">
        <f t="shared" si="19"/>
        <v>0</v>
      </c>
      <c r="R52" s="81">
        <f t="shared" si="20"/>
        <v>0</v>
      </c>
      <c r="S52" s="81">
        <f t="shared" si="21"/>
        <v>0</v>
      </c>
      <c r="T52" s="85">
        <f t="shared" si="22"/>
        <v>0</v>
      </c>
      <c r="U52" s="119"/>
      <c r="V52" s="192">
        <f t="shared" si="2"/>
        <v>0</v>
      </c>
      <c r="W52" s="122"/>
      <c r="X52" s="122"/>
    </row>
    <row r="53" spans="1:25" x14ac:dyDescent="0.25">
      <c r="A53" s="20" t="s">
        <v>47</v>
      </c>
      <c r="B53" s="20" t="s">
        <v>48</v>
      </c>
      <c r="C53" s="68">
        <v>4500000</v>
      </c>
      <c r="D53" s="68">
        <v>4430000</v>
      </c>
      <c r="E53" s="142">
        <v>4430000</v>
      </c>
      <c r="F53" s="68">
        <v>4677598</v>
      </c>
      <c r="G53" s="96"/>
      <c r="H53" s="96">
        <v>1364307</v>
      </c>
      <c r="I53" s="96">
        <v>2857971</v>
      </c>
      <c r="J53" s="96">
        <v>4327181</v>
      </c>
      <c r="K53" s="96"/>
      <c r="L53" s="591">
        <f t="shared" si="15"/>
        <v>0.30317933333333336</v>
      </c>
      <c r="M53" s="591">
        <f t="shared" si="16"/>
        <v>0.64514018058690747</v>
      </c>
      <c r="N53" s="591">
        <f t="shared" si="17"/>
        <v>0.97679029345372459</v>
      </c>
      <c r="O53" s="120"/>
      <c r="P53" s="81">
        <f t="shared" si="18"/>
        <v>-70000</v>
      </c>
      <c r="Q53" s="81">
        <f t="shared" si="19"/>
        <v>0</v>
      </c>
      <c r="R53" s="81">
        <f t="shared" si="20"/>
        <v>247598</v>
      </c>
      <c r="S53" s="81">
        <f t="shared" si="21"/>
        <v>177598</v>
      </c>
      <c r="T53" s="85">
        <f t="shared" si="22"/>
        <v>3.9466222222222222E-2</v>
      </c>
      <c r="U53" s="120"/>
      <c r="V53" s="192">
        <f t="shared" si="2"/>
        <v>247598</v>
      </c>
      <c r="W53" s="122"/>
      <c r="X53" s="122"/>
    </row>
    <row r="54" spans="1:25" x14ac:dyDescent="0.25">
      <c r="A54" s="20"/>
      <c r="B54" s="20" t="s">
        <v>86</v>
      </c>
      <c r="C54" s="68"/>
      <c r="D54" s="68"/>
      <c r="E54" s="68"/>
      <c r="F54" s="68"/>
      <c r="G54" s="96"/>
      <c r="H54" s="96"/>
      <c r="I54" s="96"/>
      <c r="J54" s="96"/>
      <c r="K54" s="96"/>
      <c r="L54" s="587">
        <f t="shared" si="15"/>
        <v>0</v>
      </c>
      <c r="M54" s="587">
        <f t="shared" si="16"/>
        <v>0</v>
      </c>
      <c r="N54" s="587">
        <f t="shared" si="17"/>
        <v>0</v>
      </c>
      <c r="O54" s="119"/>
      <c r="P54" s="81">
        <f t="shared" si="18"/>
        <v>0</v>
      </c>
      <c r="Q54" s="81">
        <f t="shared" si="19"/>
        <v>0</v>
      </c>
      <c r="R54" s="81">
        <f t="shared" si="20"/>
        <v>0</v>
      </c>
      <c r="S54" s="81">
        <f t="shared" si="21"/>
        <v>0</v>
      </c>
      <c r="T54" s="85">
        <f t="shared" si="22"/>
        <v>0</v>
      </c>
      <c r="U54" s="119"/>
      <c r="V54" s="192">
        <f t="shared" si="2"/>
        <v>0</v>
      </c>
      <c r="W54" s="122"/>
      <c r="X54" s="122"/>
    </row>
    <row r="55" spans="1:25" x14ac:dyDescent="0.25">
      <c r="A55" s="20"/>
      <c r="B55" s="20" t="s">
        <v>49</v>
      </c>
      <c r="C55" s="68"/>
      <c r="D55" s="68"/>
      <c r="E55" s="68"/>
      <c r="F55" s="68"/>
      <c r="G55" s="96"/>
      <c r="H55" s="96"/>
      <c r="I55" s="96"/>
      <c r="J55" s="96"/>
      <c r="K55" s="96"/>
      <c r="L55" s="587">
        <f t="shared" si="15"/>
        <v>0</v>
      </c>
      <c r="M55" s="587">
        <f t="shared" si="16"/>
        <v>0</v>
      </c>
      <c r="N55" s="587">
        <f t="shared" si="17"/>
        <v>0</v>
      </c>
      <c r="O55" s="119"/>
      <c r="P55" s="81">
        <f t="shared" si="18"/>
        <v>0</v>
      </c>
      <c r="Q55" s="81">
        <f t="shared" si="19"/>
        <v>0</v>
      </c>
      <c r="R55" s="81">
        <f t="shared" si="20"/>
        <v>0</v>
      </c>
      <c r="S55" s="81">
        <f t="shared" si="21"/>
        <v>0</v>
      </c>
      <c r="T55" s="85">
        <f t="shared" si="22"/>
        <v>0</v>
      </c>
      <c r="U55" s="119"/>
      <c r="V55" s="192">
        <f t="shared" si="2"/>
        <v>0</v>
      </c>
      <c r="W55" s="122"/>
      <c r="X55" s="122"/>
    </row>
    <row r="56" spans="1:25" x14ac:dyDescent="0.25">
      <c r="A56" s="20" t="s">
        <v>50</v>
      </c>
      <c r="B56" s="20" t="s">
        <v>51</v>
      </c>
      <c r="C56" s="68">
        <v>0</v>
      </c>
      <c r="D56" s="68">
        <v>0</v>
      </c>
      <c r="E56" s="68">
        <v>0</v>
      </c>
      <c r="F56" s="68">
        <v>0</v>
      </c>
      <c r="G56" s="96"/>
      <c r="H56" s="96">
        <v>0</v>
      </c>
      <c r="I56" s="96">
        <v>0</v>
      </c>
      <c r="J56" s="96">
        <v>0</v>
      </c>
      <c r="K56" s="96"/>
      <c r="L56" s="587">
        <f t="shared" si="15"/>
        <v>0</v>
      </c>
      <c r="M56" s="587">
        <f t="shared" si="16"/>
        <v>0</v>
      </c>
      <c r="N56" s="587">
        <f t="shared" si="17"/>
        <v>0</v>
      </c>
      <c r="O56" s="119"/>
      <c r="P56" s="81">
        <f t="shared" si="18"/>
        <v>0</v>
      </c>
      <c r="Q56" s="81">
        <f t="shared" si="19"/>
        <v>0</v>
      </c>
      <c r="R56" s="81">
        <f t="shared" si="20"/>
        <v>0</v>
      </c>
      <c r="S56" s="81">
        <f t="shared" si="21"/>
        <v>0</v>
      </c>
      <c r="T56" s="85">
        <f t="shared" si="22"/>
        <v>0</v>
      </c>
      <c r="U56" s="119"/>
      <c r="V56" s="192">
        <f t="shared" si="2"/>
        <v>0</v>
      </c>
      <c r="W56" s="122"/>
      <c r="X56" s="122"/>
    </row>
    <row r="57" spans="1:25" x14ac:dyDescent="0.25">
      <c r="A57" s="20"/>
      <c r="B57" s="20" t="s">
        <v>52</v>
      </c>
      <c r="C57" s="68"/>
      <c r="D57" s="68"/>
      <c r="E57" s="68"/>
      <c r="F57" s="68"/>
      <c r="G57" s="96"/>
      <c r="H57" s="96"/>
      <c r="I57" s="96"/>
      <c r="J57" s="96"/>
      <c r="K57" s="96"/>
      <c r="L57" s="587">
        <f t="shared" si="15"/>
        <v>0</v>
      </c>
      <c r="M57" s="587">
        <f t="shared" si="16"/>
        <v>0</v>
      </c>
      <c r="N57" s="587">
        <f t="shared" si="17"/>
        <v>0</v>
      </c>
      <c r="O57" s="119"/>
      <c r="P57" s="81">
        <f t="shared" si="18"/>
        <v>0</v>
      </c>
      <c r="Q57" s="81">
        <f t="shared" si="19"/>
        <v>0</v>
      </c>
      <c r="R57" s="81">
        <f t="shared" si="20"/>
        <v>0</v>
      </c>
      <c r="S57" s="81">
        <f t="shared" si="21"/>
        <v>0</v>
      </c>
      <c r="T57" s="85">
        <f t="shared" si="22"/>
        <v>0</v>
      </c>
      <c r="U57" s="119"/>
      <c r="V57" s="192">
        <f t="shared" si="2"/>
        <v>0</v>
      </c>
      <c r="W57" s="122"/>
      <c r="X57" s="122"/>
    </row>
    <row r="58" spans="1:25" x14ac:dyDescent="0.25">
      <c r="A58" s="20" t="s">
        <v>53</v>
      </c>
      <c r="B58" s="20" t="s">
        <v>87</v>
      </c>
      <c r="C58" s="68">
        <v>40000</v>
      </c>
      <c r="D58" s="68">
        <v>40000</v>
      </c>
      <c r="E58" s="68">
        <v>40000</v>
      </c>
      <c r="F58" s="68">
        <v>40000</v>
      </c>
      <c r="G58" s="96"/>
      <c r="H58" s="96">
        <v>0</v>
      </c>
      <c r="I58" s="96">
        <v>8300</v>
      </c>
      <c r="J58" s="96">
        <v>8300</v>
      </c>
      <c r="K58" s="96"/>
      <c r="L58" s="591">
        <f t="shared" si="15"/>
        <v>0</v>
      </c>
      <c r="M58" s="591">
        <f t="shared" si="16"/>
        <v>0.20749999999999999</v>
      </c>
      <c r="N58" s="591">
        <f t="shared" si="17"/>
        <v>0.20749999999999999</v>
      </c>
      <c r="O58" s="120"/>
      <c r="P58" s="81">
        <f t="shared" si="18"/>
        <v>0</v>
      </c>
      <c r="Q58" s="81">
        <f t="shared" si="19"/>
        <v>0</v>
      </c>
      <c r="R58" s="81">
        <f t="shared" si="20"/>
        <v>0</v>
      </c>
      <c r="S58" s="81">
        <f t="shared" si="21"/>
        <v>0</v>
      </c>
      <c r="T58" s="85">
        <f t="shared" si="22"/>
        <v>0</v>
      </c>
      <c r="U58" s="120"/>
      <c r="V58" s="192">
        <f t="shared" si="2"/>
        <v>0</v>
      </c>
      <c r="W58" s="122"/>
      <c r="X58" s="122"/>
    </row>
    <row r="59" spans="1:25" x14ac:dyDescent="0.25">
      <c r="A59" s="20"/>
      <c r="B59" s="20" t="s">
        <v>54</v>
      </c>
      <c r="C59" s="68"/>
      <c r="D59" s="68"/>
      <c r="E59" s="68"/>
      <c r="F59" s="68"/>
      <c r="G59" s="96"/>
      <c r="H59" s="96"/>
      <c r="I59" s="96"/>
      <c r="J59" s="96"/>
      <c r="K59" s="96"/>
      <c r="L59" s="587">
        <f t="shared" si="15"/>
        <v>0</v>
      </c>
      <c r="M59" s="587">
        <f t="shared" si="16"/>
        <v>0</v>
      </c>
      <c r="N59" s="587">
        <f t="shared" si="17"/>
        <v>0</v>
      </c>
      <c r="O59" s="119"/>
      <c r="P59" s="81">
        <f t="shared" si="18"/>
        <v>0</v>
      </c>
      <c r="Q59" s="81">
        <f t="shared" si="19"/>
        <v>0</v>
      </c>
      <c r="R59" s="81">
        <f t="shared" si="20"/>
        <v>0</v>
      </c>
      <c r="S59" s="81">
        <f t="shared" si="21"/>
        <v>0</v>
      </c>
      <c r="T59" s="85">
        <f t="shared" si="22"/>
        <v>0</v>
      </c>
      <c r="U59" s="119"/>
      <c r="V59" s="192">
        <f t="shared" si="2"/>
        <v>0</v>
      </c>
      <c r="W59" s="122"/>
      <c r="X59" s="122"/>
    </row>
    <row r="60" spans="1:25" x14ac:dyDescent="0.25">
      <c r="A60" s="20" t="s">
        <v>55</v>
      </c>
      <c r="B60" s="20" t="s">
        <v>56</v>
      </c>
      <c r="C60" s="68"/>
      <c r="D60" s="68"/>
      <c r="E60" s="68"/>
      <c r="F60" s="68"/>
      <c r="G60" s="96"/>
      <c r="H60" s="96"/>
      <c r="I60" s="96"/>
      <c r="J60" s="96"/>
      <c r="K60" s="96"/>
      <c r="L60" s="587">
        <f t="shared" si="15"/>
        <v>0</v>
      </c>
      <c r="M60" s="587">
        <f t="shared" si="16"/>
        <v>0</v>
      </c>
      <c r="N60" s="587">
        <f t="shared" si="17"/>
        <v>0</v>
      </c>
      <c r="O60" s="119"/>
      <c r="P60" s="81">
        <f t="shared" si="18"/>
        <v>0</v>
      </c>
      <c r="Q60" s="81">
        <f t="shared" si="19"/>
        <v>0</v>
      </c>
      <c r="R60" s="81">
        <f t="shared" si="20"/>
        <v>0</v>
      </c>
      <c r="S60" s="81">
        <f t="shared" si="21"/>
        <v>0</v>
      </c>
      <c r="T60" s="85">
        <f t="shared" si="22"/>
        <v>0</v>
      </c>
      <c r="U60" s="119"/>
      <c r="V60" s="192">
        <f t="shared" si="2"/>
        <v>0</v>
      </c>
      <c r="W60" s="122"/>
      <c r="X60" s="122"/>
    </row>
    <row r="61" spans="1:25" ht="26.4" x14ac:dyDescent="0.25">
      <c r="A61" s="20"/>
      <c r="B61" s="20" t="s">
        <v>57</v>
      </c>
      <c r="C61" s="68"/>
      <c r="D61" s="68"/>
      <c r="E61" s="68"/>
      <c r="F61" s="68"/>
      <c r="G61" s="96"/>
      <c r="H61" s="96"/>
      <c r="I61" s="96"/>
      <c r="J61" s="96"/>
      <c r="K61" s="96"/>
      <c r="L61" s="587">
        <f t="shared" si="15"/>
        <v>0</v>
      </c>
      <c r="M61" s="587">
        <f t="shared" si="16"/>
        <v>0</v>
      </c>
      <c r="N61" s="587">
        <f t="shared" si="17"/>
        <v>0</v>
      </c>
      <c r="O61" s="119"/>
      <c r="P61" s="81">
        <f t="shared" si="18"/>
        <v>0</v>
      </c>
      <c r="Q61" s="81">
        <f t="shared" si="19"/>
        <v>0</v>
      </c>
      <c r="R61" s="81">
        <f t="shared" si="20"/>
        <v>0</v>
      </c>
      <c r="S61" s="81">
        <f t="shared" si="21"/>
        <v>0</v>
      </c>
      <c r="T61" s="85">
        <f t="shared" si="22"/>
        <v>0</v>
      </c>
      <c r="U61" s="119"/>
      <c r="V61" s="192">
        <f t="shared" si="2"/>
        <v>0</v>
      </c>
      <c r="W61" s="122"/>
      <c r="X61" s="122"/>
    </row>
    <row r="62" spans="1:25" x14ac:dyDescent="0.25">
      <c r="A62" s="20" t="s">
        <v>58</v>
      </c>
      <c r="B62" s="20" t="s">
        <v>59</v>
      </c>
      <c r="C62" s="68">
        <v>20000</v>
      </c>
      <c r="D62" s="68">
        <v>40000</v>
      </c>
      <c r="E62" s="68">
        <v>55500</v>
      </c>
      <c r="F62" s="68">
        <v>55500</v>
      </c>
      <c r="G62" s="96"/>
      <c r="H62" s="96">
        <v>31200</v>
      </c>
      <c r="I62" s="96">
        <v>55500</v>
      </c>
      <c r="J62" s="96">
        <v>55500</v>
      </c>
      <c r="K62" s="96"/>
      <c r="L62" s="591">
        <f t="shared" si="15"/>
        <v>1.56</v>
      </c>
      <c r="M62" s="591">
        <f t="shared" si="16"/>
        <v>1.3875</v>
      </c>
      <c r="N62" s="591">
        <f t="shared" si="17"/>
        <v>1</v>
      </c>
      <c r="O62" s="120"/>
      <c r="P62" s="81">
        <f t="shared" si="18"/>
        <v>20000</v>
      </c>
      <c r="Q62" s="81">
        <f t="shared" si="19"/>
        <v>15500</v>
      </c>
      <c r="R62" s="81">
        <f t="shared" si="20"/>
        <v>0</v>
      </c>
      <c r="S62" s="81">
        <f t="shared" si="21"/>
        <v>35500</v>
      </c>
      <c r="T62" s="85">
        <f t="shared" si="22"/>
        <v>1.7749999999999999</v>
      </c>
      <c r="U62" s="120"/>
      <c r="V62" s="192">
        <f t="shared" si="2"/>
        <v>0</v>
      </c>
      <c r="W62" s="122"/>
      <c r="X62" s="122"/>
    </row>
    <row r="63" spans="1:25" ht="40.35" customHeight="1" x14ac:dyDescent="0.25">
      <c r="A63" s="20"/>
      <c r="B63" s="20" t="s">
        <v>98</v>
      </c>
      <c r="C63" s="68"/>
      <c r="D63" s="68"/>
      <c r="E63" s="68"/>
      <c r="F63" s="68"/>
      <c r="G63" s="96"/>
      <c r="H63" s="96"/>
      <c r="I63" s="96"/>
      <c r="J63" s="96"/>
      <c r="K63" s="96"/>
      <c r="L63" s="587">
        <f t="shared" si="15"/>
        <v>0</v>
      </c>
      <c r="M63" s="587">
        <f t="shared" si="16"/>
        <v>0</v>
      </c>
      <c r="N63" s="587">
        <f t="shared" si="17"/>
        <v>0</v>
      </c>
      <c r="O63" s="119"/>
      <c r="P63" s="81">
        <f t="shared" si="18"/>
        <v>0</v>
      </c>
      <c r="Q63" s="81">
        <f t="shared" si="19"/>
        <v>0</v>
      </c>
      <c r="R63" s="81">
        <f t="shared" si="20"/>
        <v>0</v>
      </c>
      <c r="S63" s="81">
        <f t="shared" si="21"/>
        <v>0</v>
      </c>
      <c r="T63" s="85">
        <f t="shared" si="22"/>
        <v>0</v>
      </c>
      <c r="U63" s="119"/>
      <c r="V63" s="192">
        <f t="shared" si="2"/>
        <v>0</v>
      </c>
      <c r="W63" s="122"/>
      <c r="X63" s="122"/>
      <c r="Y63" s="2"/>
    </row>
    <row r="64" spans="1:25" x14ac:dyDescent="0.25">
      <c r="A64" s="20" t="s">
        <v>60</v>
      </c>
      <c r="B64" s="20" t="s">
        <v>61</v>
      </c>
      <c r="C64" s="68">
        <v>200000</v>
      </c>
      <c r="D64" s="68">
        <v>180000</v>
      </c>
      <c r="E64" s="142">
        <v>164500</v>
      </c>
      <c r="F64" s="68">
        <v>164500</v>
      </c>
      <c r="G64" s="96"/>
      <c r="H64" s="96">
        <v>67501</v>
      </c>
      <c r="I64" s="96">
        <v>114920</v>
      </c>
      <c r="J64" s="96">
        <v>159173</v>
      </c>
      <c r="K64" s="96"/>
      <c r="L64" s="591">
        <f t="shared" ref="L64:L89" si="23">IF(H64&gt;0,H64/C64,0)</f>
        <v>0.337505</v>
      </c>
      <c r="M64" s="591">
        <f t="shared" ref="M64:M89" si="24">IF(I64&gt;0,I64/D64,0)</f>
        <v>0.63844444444444448</v>
      </c>
      <c r="N64" s="591">
        <f t="shared" ref="N64:N89" si="25">IF(J64&gt;0,J64/E64,0)</f>
        <v>0.96761702127659577</v>
      </c>
      <c r="O64" s="120"/>
      <c r="P64" s="81">
        <f t="shared" ref="P64:P89" si="26">+(D64-C64)*P$10</f>
        <v>-20000</v>
      </c>
      <c r="Q64" s="81">
        <f t="shared" ref="Q64:Q89" si="27">+(E64-D64)*Q$10</f>
        <v>-15500</v>
      </c>
      <c r="R64" s="81">
        <f t="shared" ref="R64:R89" si="28">+(F64-E64)*R$10</f>
        <v>0</v>
      </c>
      <c r="S64" s="81">
        <f t="shared" si="21"/>
        <v>-35500</v>
      </c>
      <c r="T64" s="85">
        <f t="shared" ref="T64:T89" si="29">IF(C64=0,0,+S64/C64)</f>
        <v>-0.17749999999999999</v>
      </c>
      <c r="U64" s="120"/>
      <c r="V64" s="192">
        <f t="shared" si="2"/>
        <v>0</v>
      </c>
      <c r="W64" s="122"/>
      <c r="X64" s="122"/>
      <c r="Y64" s="2"/>
    </row>
    <row r="65" spans="1:24" ht="39.6" x14ac:dyDescent="0.25">
      <c r="A65" s="20"/>
      <c r="B65" s="20" t="s">
        <v>62</v>
      </c>
      <c r="C65" s="68"/>
      <c r="D65" s="68"/>
      <c r="E65" s="68"/>
      <c r="F65" s="68"/>
      <c r="G65" s="96"/>
      <c r="H65" s="96"/>
      <c r="I65" s="96"/>
      <c r="J65" s="96"/>
      <c r="K65" s="96"/>
      <c r="L65" s="587">
        <f t="shared" si="23"/>
        <v>0</v>
      </c>
      <c r="M65" s="587">
        <f t="shared" si="24"/>
        <v>0</v>
      </c>
      <c r="N65" s="587">
        <f t="shared" si="25"/>
        <v>0</v>
      </c>
      <c r="O65" s="119"/>
      <c r="P65" s="81">
        <f t="shared" si="26"/>
        <v>0</v>
      </c>
      <c r="Q65" s="81">
        <f t="shared" si="27"/>
        <v>0</v>
      </c>
      <c r="R65" s="81">
        <f t="shared" si="28"/>
        <v>0</v>
      </c>
      <c r="S65" s="81">
        <f t="shared" si="21"/>
        <v>0</v>
      </c>
      <c r="T65" s="85">
        <f t="shared" si="29"/>
        <v>0</v>
      </c>
      <c r="U65" s="119"/>
      <c r="V65" s="192">
        <f t="shared" si="2"/>
        <v>0</v>
      </c>
      <c r="W65" s="122"/>
      <c r="X65" s="122"/>
    </row>
    <row r="66" spans="1:24" s="42" customFormat="1" x14ac:dyDescent="0.25">
      <c r="A66" s="39" t="s">
        <v>63</v>
      </c>
      <c r="B66" s="39" t="s">
        <v>64</v>
      </c>
      <c r="C66" s="95">
        <f>SUM(C67:C70)</f>
        <v>800000</v>
      </c>
      <c r="D66" s="95">
        <f>SUM(D67:D70)</f>
        <v>800000</v>
      </c>
      <c r="E66" s="95">
        <f>SUM(E67:E70)</f>
        <v>800000</v>
      </c>
      <c r="F66" s="95">
        <f>SUM(F67:F70)</f>
        <v>700000</v>
      </c>
      <c r="G66" s="95"/>
      <c r="H66" s="95">
        <f>SUM(H67:H70)</f>
        <v>271560</v>
      </c>
      <c r="I66" s="95">
        <f>SUM(I67:I70)</f>
        <v>394185</v>
      </c>
      <c r="J66" s="95">
        <f>SUM(J67:J70)</f>
        <v>696675</v>
      </c>
      <c r="K66" s="95"/>
      <c r="L66" s="592">
        <f t="shared" si="23"/>
        <v>0.33944999999999997</v>
      </c>
      <c r="M66" s="592">
        <f t="shared" si="24"/>
        <v>0.49273125000000001</v>
      </c>
      <c r="N66" s="592">
        <f t="shared" si="25"/>
        <v>0.87084375000000003</v>
      </c>
      <c r="O66" s="121"/>
      <c r="P66" s="81">
        <f t="shared" si="26"/>
        <v>0</v>
      </c>
      <c r="Q66" s="81">
        <f t="shared" si="27"/>
        <v>0</v>
      </c>
      <c r="R66" s="81">
        <f t="shared" si="28"/>
        <v>-100000</v>
      </c>
      <c r="S66" s="81">
        <f t="shared" si="21"/>
        <v>-100000</v>
      </c>
      <c r="T66" s="85">
        <f t="shared" si="29"/>
        <v>-0.125</v>
      </c>
      <c r="U66" s="121"/>
      <c r="V66" s="192">
        <f t="shared" si="2"/>
        <v>-100000</v>
      </c>
      <c r="W66" s="128"/>
      <c r="X66" s="128"/>
    </row>
    <row r="67" spans="1:24" x14ac:dyDescent="0.25">
      <c r="A67" s="20" t="s">
        <v>65</v>
      </c>
      <c r="B67" s="20" t="s">
        <v>66</v>
      </c>
      <c r="C67" s="68">
        <v>800000</v>
      </c>
      <c r="D67" s="68">
        <v>800000</v>
      </c>
      <c r="E67" s="68">
        <v>800000</v>
      </c>
      <c r="F67" s="68">
        <v>700000</v>
      </c>
      <c r="G67" s="96"/>
      <c r="H67" s="96">
        <v>271560</v>
      </c>
      <c r="I67" s="96">
        <v>394185</v>
      </c>
      <c r="J67" s="96">
        <v>696675</v>
      </c>
      <c r="K67" s="96"/>
      <c r="L67" s="591">
        <f t="shared" si="23"/>
        <v>0.33944999999999997</v>
      </c>
      <c r="M67" s="591">
        <f t="shared" si="24"/>
        <v>0.49273125000000001</v>
      </c>
      <c r="N67" s="591">
        <f t="shared" si="25"/>
        <v>0.87084375000000003</v>
      </c>
      <c r="O67" s="120"/>
      <c r="P67" s="81">
        <f t="shared" si="26"/>
        <v>0</v>
      </c>
      <c r="Q67" s="81">
        <f t="shared" si="27"/>
        <v>0</v>
      </c>
      <c r="R67" s="81">
        <f t="shared" si="28"/>
        <v>-100000</v>
      </c>
      <c r="S67" s="81">
        <f t="shared" si="21"/>
        <v>-100000</v>
      </c>
      <c r="T67" s="85">
        <f t="shared" si="29"/>
        <v>-0.125</v>
      </c>
      <c r="U67" s="120"/>
      <c r="V67" s="192">
        <f t="shared" si="2"/>
        <v>-100000</v>
      </c>
      <c r="W67" s="122"/>
      <c r="X67" s="122"/>
    </row>
    <row r="68" spans="1:24" ht="39.6" x14ac:dyDescent="0.25">
      <c r="A68" s="20"/>
      <c r="B68" s="20" t="s">
        <v>67</v>
      </c>
      <c r="C68" s="68"/>
      <c r="D68" s="68"/>
      <c r="E68" s="68"/>
      <c r="F68" s="68"/>
      <c r="G68" s="96"/>
      <c r="H68" s="96"/>
      <c r="I68" s="96"/>
      <c r="J68" s="96"/>
      <c r="K68" s="96"/>
      <c r="L68" s="587">
        <f t="shared" si="23"/>
        <v>0</v>
      </c>
      <c r="M68" s="587">
        <f t="shared" si="24"/>
        <v>0</v>
      </c>
      <c r="N68" s="587">
        <f t="shared" si="25"/>
        <v>0</v>
      </c>
      <c r="O68" s="119"/>
      <c r="P68" s="81">
        <f t="shared" si="26"/>
        <v>0</v>
      </c>
      <c r="Q68" s="81">
        <f t="shared" si="27"/>
        <v>0</v>
      </c>
      <c r="R68" s="81">
        <f t="shared" si="28"/>
        <v>0</v>
      </c>
      <c r="S68" s="81">
        <f t="shared" si="21"/>
        <v>0</v>
      </c>
      <c r="T68" s="85">
        <f t="shared" si="29"/>
        <v>0</v>
      </c>
      <c r="U68" s="119"/>
      <c r="V68" s="192">
        <f t="shared" si="2"/>
        <v>0</v>
      </c>
      <c r="W68" s="122"/>
      <c r="X68" s="122"/>
    </row>
    <row r="69" spans="1:24" x14ac:dyDescent="0.25">
      <c r="A69" s="20" t="s">
        <v>68</v>
      </c>
      <c r="B69" s="20" t="s">
        <v>96</v>
      </c>
      <c r="C69" s="68"/>
      <c r="D69" s="68"/>
      <c r="E69" s="68"/>
      <c r="F69" s="68"/>
      <c r="G69" s="96"/>
      <c r="H69" s="96"/>
      <c r="I69" s="96"/>
      <c r="J69" s="96"/>
      <c r="K69" s="96"/>
      <c r="L69" s="587">
        <f t="shared" si="23"/>
        <v>0</v>
      </c>
      <c r="M69" s="587">
        <f t="shared" si="24"/>
        <v>0</v>
      </c>
      <c r="N69" s="587">
        <f t="shared" si="25"/>
        <v>0</v>
      </c>
      <c r="O69" s="119"/>
      <c r="P69" s="81">
        <f t="shared" si="26"/>
        <v>0</v>
      </c>
      <c r="Q69" s="81">
        <f t="shared" si="27"/>
        <v>0</v>
      </c>
      <c r="R69" s="81">
        <f t="shared" si="28"/>
        <v>0</v>
      </c>
      <c r="S69" s="81">
        <f t="shared" si="21"/>
        <v>0</v>
      </c>
      <c r="T69" s="85">
        <f t="shared" si="29"/>
        <v>0</v>
      </c>
      <c r="U69" s="119"/>
      <c r="V69" s="192">
        <f t="shared" si="2"/>
        <v>0</v>
      </c>
      <c r="W69" s="122"/>
      <c r="X69" s="122"/>
    </row>
    <row r="70" spans="1:24" ht="39.6" x14ac:dyDescent="0.25">
      <c r="A70" s="20"/>
      <c r="B70" s="20" t="s">
        <v>69</v>
      </c>
      <c r="C70" s="68"/>
      <c r="D70" s="68"/>
      <c r="E70" s="68"/>
      <c r="F70" s="68"/>
      <c r="G70" s="96"/>
      <c r="H70" s="96"/>
      <c r="I70" s="96"/>
      <c r="J70" s="96"/>
      <c r="K70" s="96"/>
      <c r="L70" s="587">
        <f t="shared" si="23"/>
        <v>0</v>
      </c>
      <c r="M70" s="587">
        <f t="shared" si="24"/>
        <v>0</v>
      </c>
      <c r="N70" s="587">
        <f t="shared" si="25"/>
        <v>0</v>
      </c>
      <c r="O70" s="119"/>
      <c r="P70" s="81">
        <f t="shared" si="26"/>
        <v>0</v>
      </c>
      <c r="Q70" s="81">
        <f t="shared" si="27"/>
        <v>0</v>
      </c>
      <c r="R70" s="81">
        <f t="shared" si="28"/>
        <v>0</v>
      </c>
      <c r="S70" s="81">
        <f t="shared" si="21"/>
        <v>0</v>
      </c>
      <c r="T70" s="85">
        <f t="shared" si="29"/>
        <v>0</v>
      </c>
      <c r="U70" s="119"/>
      <c r="V70" s="192">
        <f t="shared" si="2"/>
        <v>0</v>
      </c>
      <c r="W70" s="122"/>
      <c r="X70" s="122"/>
    </row>
    <row r="71" spans="1:24" s="42" customFormat="1" x14ac:dyDescent="0.25">
      <c r="A71" s="39" t="s">
        <v>70</v>
      </c>
      <c r="B71" s="39" t="s">
        <v>71</v>
      </c>
      <c r="C71" s="95">
        <f>SUM(C72:C81)</f>
        <v>3080000</v>
      </c>
      <c r="D71" s="95">
        <f>SUM(D72:D81)</f>
        <v>3080000</v>
      </c>
      <c r="E71" s="95">
        <f>SUM(E72:E81)</f>
        <v>3080000</v>
      </c>
      <c r="F71" s="95">
        <f>SUM(F72:F81)</f>
        <v>2704988</v>
      </c>
      <c r="G71" s="95"/>
      <c r="H71" s="95">
        <f>SUM(H72:H81)</f>
        <v>888609</v>
      </c>
      <c r="I71" s="95">
        <f>SUM(I72:I81)</f>
        <v>1585252</v>
      </c>
      <c r="J71" s="95">
        <f>SUM(J72:J81)</f>
        <v>2366369</v>
      </c>
      <c r="K71" s="95"/>
      <c r="L71" s="592">
        <f t="shared" si="23"/>
        <v>0.28850941558441556</v>
      </c>
      <c r="M71" s="592">
        <f t="shared" si="24"/>
        <v>0.51469220779220781</v>
      </c>
      <c r="N71" s="592">
        <f t="shared" si="25"/>
        <v>0.76830162337662333</v>
      </c>
      <c r="O71" s="121"/>
      <c r="P71" s="81">
        <f t="shared" si="26"/>
        <v>0</v>
      </c>
      <c r="Q71" s="81">
        <f t="shared" si="27"/>
        <v>0</v>
      </c>
      <c r="R71" s="81">
        <f t="shared" si="28"/>
        <v>-375012</v>
      </c>
      <c r="S71" s="81">
        <f t="shared" si="21"/>
        <v>-375012</v>
      </c>
      <c r="T71" s="85">
        <f t="shared" si="29"/>
        <v>-0.12175714285714286</v>
      </c>
      <c r="U71" s="121"/>
      <c r="V71" s="192">
        <f t="shared" si="2"/>
        <v>-375012</v>
      </c>
      <c r="W71" s="128"/>
      <c r="X71" s="128"/>
    </row>
    <row r="72" spans="1:24" x14ac:dyDescent="0.25">
      <c r="A72" s="20" t="s">
        <v>72</v>
      </c>
      <c r="B72" s="20" t="s">
        <v>73</v>
      </c>
      <c r="C72" s="68">
        <v>1870000</v>
      </c>
      <c r="D72" s="68">
        <v>1870000</v>
      </c>
      <c r="E72" s="142">
        <v>1870000</v>
      </c>
      <c r="F72" s="68">
        <v>1694988</v>
      </c>
      <c r="G72" s="96"/>
      <c r="H72" s="96">
        <v>499921</v>
      </c>
      <c r="I72" s="96">
        <v>959364</v>
      </c>
      <c r="J72" s="96">
        <v>1476389</v>
      </c>
      <c r="K72" s="96"/>
      <c r="L72" s="591">
        <f t="shared" si="23"/>
        <v>0.26733743315508024</v>
      </c>
      <c r="M72" s="591">
        <f t="shared" si="24"/>
        <v>0.51302887700534761</v>
      </c>
      <c r="N72" s="591">
        <f t="shared" si="25"/>
        <v>0.78951283422459895</v>
      </c>
      <c r="O72" s="120"/>
      <c r="P72" s="81">
        <f t="shared" si="26"/>
        <v>0</v>
      </c>
      <c r="Q72" s="81">
        <f t="shared" si="27"/>
        <v>0</v>
      </c>
      <c r="R72" s="81">
        <f t="shared" si="28"/>
        <v>-175012</v>
      </c>
      <c r="S72" s="81">
        <f t="shared" si="21"/>
        <v>-175012</v>
      </c>
      <c r="T72" s="85">
        <f t="shared" si="29"/>
        <v>-9.3589304812834229E-2</v>
      </c>
      <c r="U72" s="120"/>
      <c r="V72" s="192">
        <f t="shared" si="2"/>
        <v>-175012</v>
      </c>
      <c r="W72" s="122"/>
      <c r="X72" s="122"/>
    </row>
    <row r="73" spans="1:24" x14ac:dyDescent="0.25">
      <c r="A73" s="20"/>
      <c r="B73" s="20" t="s">
        <v>74</v>
      </c>
      <c r="C73" s="68"/>
      <c r="D73" s="68"/>
      <c r="E73" s="68"/>
      <c r="F73" s="68"/>
      <c r="G73" s="96"/>
      <c r="H73" s="96"/>
      <c r="I73" s="96"/>
      <c r="J73" s="96"/>
      <c r="K73" s="96"/>
      <c r="L73" s="587">
        <f t="shared" si="23"/>
        <v>0</v>
      </c>
      <c r="M73" s="587">
        <f t="shared" si="24"/>
        <v>0</v>
      </c>
      <c r="N73" s="587">
        <f t="shared" si="25"/>
        <v>0</v>
      </c>
      <c r="O73" s="119"/>
      <c r="P73" s="81">
        <f t="shared" si="26"/>
        <v>0</v>
      </c>
      <c r="Q73" s="81">
        <f t="shared" si="27"/>
        <v>0</v>
      </c>
      <c r="R73" s="81">
        <f t="shared" si="28"/>
        <v>0</v>
      </c>
      <c r="S73" s="81">
        <f t="shared" si="21"/>
        <v>0</v>
      </c>
      <c r="T73" s="85">
        <f t="shared" si="29"/>
        <v>0</v>
      </c>
      <c r="U73" s="119"/>
      <c r="V73" s="192">
        <f t="shared" si="2"/>
        <v>0</v>
      </c>
      <c r="W73" s="122"/>
      <c r="X73" s="122"/>
    </row>
    <row r="74" spans="1:24" x14ac:dyDescent="0.25">
      <c r="A74" s="20" t="s">
        <v>75</v>
      </c>
      <c r="B74" s="20" t="s">
        <v>76</v>
      </c>
      <c r="C74" s="68">
        <v>1200000</v>
      </c>
      <c r="D74" s="68">
        <v>1200000</v>
      </c>
      <c r="E74" s="68">
        <v>1200000</v>
      </c>
      <c r="F74" s="68">
        <v>1000000</v>
      </c>
      <c r="G74" s="96"/>
      <c r="H74" s="96">
        <v>386000</v>
      </c>
      <c r="I74" s="96">
        <v>623000</v>
      </c>
      <c r="J74" s="96">
        <v>886000</v>
      </c>
      <c r="K74" s="96"/>
      <c r="L74" s="591">
        <f t="shared" si="23"/>
        <v>0.32166666666666666</v>
      </c>
      <c r="M74" s="591">
        <f t="shared" si="24"/>
        <v>0.51916666666666667</v>
      </c>
      <c r="N74" s="591">
        <f t="shared" si="25"/>
        <v>0.73833333333333329</v>
      </c>
      <c r="O74" s="120"/>
      <c r="P74" s="81">
        <f t="shared" si="26"/>
        <v>0</v>
      </c>
      <c r="Q74" s="81">
        <f t="shared" si="27"/>
        <v>0</v>
      </c>
      <c r="R74" s="81">
        <f t="shared" si="28"/>
        <v>-200000</v>
      </c>
      <c r="S74" s="81">
        <f t="shared" si="21"/>
        <v>-200000</v>
      </c>
      <c r="T74" s="85">
        <f t="shared" si="29"/>
        <v>-0.16666666666666666</v>
      </c>
      <c r="U74" s="120"/>
      <c r="V74" s="192">
        <f t="shared" si="2"/>
        <v>-200000</v>
      </c>
      <c r="W74" s="122"/>
      <c r="X74" s="122"/>
    </row>
    <row r="75" spans="1:24" ht="26.4" x14ac:dyDescent="0.25">
      <c r="A75" s="20"/>
      <c r="B75" s="20" t="s">
        <v>97</v>
      </c>
      <c r="C75" s="68"/>
      <c r="D75" s="68"/>
      <c r="E75" s="68"/>
      <c r="F75" s="68"/>
      <c r="G75" s="96"/>
      <c r="H75" s="96"/>
      <c r="I75" s="96"/>
      <c r="J75" s="96"/>
      <c r="K75" s="96"/>
      <c r="L75" s="587">
        <f t="shared" si="23"/>
        <v>0</v>
      </c>
      <c r="M75" s="587">
        <f t="shared" si="24"/>
        <v>0</v>
      </c>
      <c r="N75" s="587">
        <f t="shared" si="25"/>
        <v>0</v>
      </c>
      <c r="O75" s="119"/>
      <c r="P75" s="81">
        <f t="shared" si="26"/>
        <v>0</v>
      </c>
      <c r="Q75" s="81">
        <f t="shared" si="27"/>
        <v>0</v>
      </c>
      <c r="R75" s="81">
        <f t="shared" si="28"/>
        <v>0</v>
      </c>
      <c r="S75" s="81">
        <f t="shared" si="21"/>
        <v>0</v>
      </c>
      <c r="T75" s="85">
        <f t="shared" si="29"/>
        <v>0</v>
      </c>
      <c r="U75" s="119"/>
      <c r="V75" s="192">
        <f t="shared" si="2"/>
        <v>0</v>
      </c>
      <c r="W75" s="122"/>
      <c r="X75" s="122"/>
    </row>
    <row r="76" spans="1:24" x14ac:dyDescent="0.25">
      <c r="A76" s="20" t="s">
        <v>77</v>
      </c>
      <c r="B76" s="20" t="s">
        <v>78</v>
      </c>
      <c r="C76" s="68"/>
      <c r="D76" s="68"/>
      <c r="E76" s="68"/>
      <c r="F76" s="68"/>
      <c r="G76" s="96"/>
      <c r="H76" s="96"/>
      <c r="I76" s="96"/>
      <c r="J76" s="96"/>
      <c r="K76" s="96"/>
      <c r="L76" s="587">
        <f t="shared" si="23"/>
        <v>0</v>
      </c>
      <c r="M76" s="587">
        <f t="shared" si="24"/>
        <v>0</v>
      </c>
      <c r="N76" s="587">
        <f t="shared" si="25"/>
        <v>0</v>
      </c>
      <c r="O76" s="119"/>
      <c r="P76" s="81">
        <f t="shared" si="26"/>
        <v>0</v>
      </c>
      <c r="Q76" s="81">
        <f t="shared" si="27"/>
        <v>0</v>
      </c>
      <c r="R76" s="81">
        <f t="shared" si="28"/>
        <v>0</v>
      </c>
      <c r="S76" s="81">
        <f t="shared" si="21"/>
        <v>0</v>
      </c>
      <c r="T76" s="85">
        <f t="shared" si="29"/>
        <v>0</v>
      </c>
      <c r="U76" s="119"/>
      <c r="V76" s="192">
        <f t="shared" si="2"/>
        <v>0</v>
      </c>
      <c r="W76" s="122"/>
      <c r="X76" s="122"/>
    </row>
    <row r="77" spans="1:24" ht="26.4" x14ac:dyDescent="0.25">
      <c r="A77" s="20"/>
      <c r="B77" s="20" t="s">
        <v>79</v>
      </c>
      <c r="C77" s="68"/>
      <c r="D77" s="68"/>
      <c r="E77" s="68"/>
      <c r="F77" s="68"/>
      <c r="G77" s="96"/>
      <c r="H77" s="96"/>
      <c r="I77" s="96"/>
      <c r="J77" s="96"/>
      <c r="K77" s="96"/>
      <c r="L77" s="587">
        <f t="shared" si="23"/>
        <v>0</v>
      </c>
      <c r="M77" s="587">
        <f t="shared" si="24"/>
        <v>0</v>
      </c>
      <c r="N77" s="587">
        <f t="shared" si="25"/>
        <v>0</v>
      </c>
      <c r="O77" s="119"/>
      <c r="P77" s="81">
        <f t="shared" si="26"/>
        <v>0</v>
      </c>
      <c r="Q77" s="81">
        <f t="shared" si="27"/>
        <v>0</v>
      </c>
      <c r="R77" s="81">
        <f t="shared" si="28"/>
        <v>0</v>
      </c>
      <c r="S77" s="81">
        <f t="shared" si="21"/>
        <v>0</v>
      </c>
      <c r="T77" s="85">
        <f t="shared" si="29"/>
        <v>0</v>
      </c>
      <c r="U77" s="119"/>
      <c r="V77" s="192">
        <f>+S77-E77+C77</f>
        <v>0</v>
      </c>
      <c r="W77" s="122"/>
      <c r="X77" s="122"/>
    </row>
    <row r="78" spans="1:24" x14ac:dyDescent="0.25">
      <c r="A78" s="20" t="s">
        <v>80</v>
      </c>
      <c r="B78" s="20" t="s">
        <v>81</v>
      </c>
      <c r="C78" s="68"/>
      <c r="D78" s="68"/>
      <c r="E78" s="68"/>
      <c r="F78" s="68"/>
      <c r="G78" s="96"/>
      <c r="H78" s="96"/>
      <c r="I78" s="96"/>
      <c r="J78" s="96"/>
      <c r="K78" s="96"/>
      <c r="L78" s="587">
        <f t="shared" si="23"/>
        <v>0</v>
      </c>
      <c r="M78" s="587">
        <f t="shared" si="24"/>
        <v>0</v>
      </c>
      <c r="N78" s="587">
        <f t="shared" si="25"/>
        <v>0</v>
      </c>
      <c r="O78" s="119"/>
      <c r="P78" s="81">
        <f t="shared" si="26"/>
        <v>0</v>
      </c>
      <c r="Q78" s="81">
        <f t="shared" si="27"/>
        <v>0</v>
      </c>
      <c r="R78" s="81">
        <f t="shared" si="28"/>
        <v>0</v>
      </c>
      <c r="S78" s="81">
        <f t="shared" si="21"/>
        <v>0</v>
      </c>
      <c r="T78" s="85">
        <f t="shared" si="29"/>
        <v>0</v>
      </c>
      <c r="U78" s="119"/>
      <c r="V78" s="192">
        <f t="shared" ref="V78:V95" si="30">+S78-E78+C78</f>
        <v>0</v>
      </c>
      <c r="W78" s="122"/>
      <c r="X78" s="122"/>
    </row>
    <row r="79" spans="1:24" x14ac:dyDescent="0.25">
      <c r="A79" s="20"/>
      <c r="B79" s="20" t="s">
        <v>82</v>
      </c>
      <c r="C79" s="68"/>
      <c r="D79" s="68"/>
      <c r="E79" s="68"/>
      <c r="F79" s="68"/>
      <c r="G79" s="96"/>
      <c r="H79" s="96"/>
      <c r="I79" s="96"/>
      <c r="J79" s="96"/>
      <c r="K79" s="96"/>
      <c r="L79" s="587">
        <f t="shared" si="23"/>
        <v>0</v>
      </c>
      <c r="M79" s="587">
        <f t="shared" si="24"/>
        <v>0</v>
      </c>
      <c r="N79" s="587">
        <f t="shared" si="25"/>
        <v>0</v>
      </c>
      <c r="O79" s="119"/>
      <c r="P79" s="81">
        <f t="shared" si="26"/>
        <v>0</v>
      </c>
      <c r="Q79" s="81">
        <f t="shared" si="27"/>
        <v>0</v>
      </c>
      <c r="R79" s="81">
        <f t="shared" si="28"/>
        <v>0</v>
      </c>
      <c r="S79" s="81">
        <f t="shared" si="21"/>
        <v>0</v>
      </c>
      <c r="T79" s="85">
        <f t="shared" si="29"/>
        <v>0</v>
      </c>
      <c r="U79" s="119"/>
      <c r="V79" s="192">
        <f t="shared" si="30"/>
        <v>0</v>
      </c>
      <c r="W79" s="122"/>
      <c r="X79" s="122"/>
    </row>
    <row r="80" spans="1:24" x14ac:dyDescent="0.25">
      <c r="A80" s="20" t="s">
        <v>83</v>
      </c>
      <c r="B80" s="20" t="s">
        <v>84</v>
      </c>
      <c r="C80" s="68">
        <v>10000</v>
      </c>
      <c r="D80" s="68">
        <v>10000</v>
      </c>
      <c r="E80" s="142">
        <v>10000</v>
      </c>
      <c r="F80" s="68">
        <v>10000</v>
      </c>
      <c r="G80" s="96"/>
      <c r="H80" s="96">
        <v>2688</v>
      </c>
      <c r="I80" s="96">
        <v>2888</v>
      </c>
      <c r="J80" s="96">
        <v>3980</v>
      </c>
      <c r="K80" s="96"/>
      <c r="L80" s="591">
        <f t="shared" si="23"/>
        <v>0.26879999999999998</v>
      </c>
      <c r="M80" s="591">
        <f t="shared" si="24"/>
        <v>0.2888</v>
      </c>
      <c r="N80" s="591">
        <f t="shared" si="25"/>
        <v>0.39800000000000002</v>
      </c>
      <c r="O80" s="120"/>
      <c r="P80" s="81">
        <f t="shared" si="26"/>
        <v>0</v>
      </c>
      <c r="Q80" s="81">
        <f t="shared" si="27"/>
        <v>0</v>
      </c>
      <c r="R80" s="81">
        <f t="shared" si="28"/>
        <v>0</v>
      </c>
      <c r="S80" s="81">
        <f t="shared" si="21"/>
        <v>0</v>
      </c>
      <c r="T80" s="85">
        <f t="shared" si="29"/>
        <v>0</v>
      </c>
      <c r="U80" s="120"/>
      <c r="V80" s="192">
        <f t="shared" si="30"/>
        <v>0</v>
      </c>
      <c r="W80" s="122"/>
      <c r="X80" s="122"/>
    </row>
    <row r="81" spans="1:26" ht="38.700000000000003" customHeight="1" x14ac:dyDescent="0.25">
      <c r="A81" s="20"/>
      <c r="B81" s="20" t="s">
        <v>88</v>
      </c>
      <c r="C81" s="68"/>
      <c r="D81" s="68"/>
      <c r="E81" s="68"/>
      <c r="F81" s="68"/>
      <c r="G81" s="96"/>
      <c r="H81" s="96"/>
      <c r="I81" s="96"/>
      <c r="J81" s="96"/>
      <c r="K81" s="96"/>
      <c r="L81" s="587">
        <f t="shared" si="23"/>
        <v>0</v>
      </c>
      <c r="M81" s="587">
        <f t="shared" si="24"/>
        <v>0</v>
      </c>
      <c r="N81" s="587">
        <f t="shared" si="25"/>
        <v>0</v>
      </c>
      <c r="O81" s="119"/>
      <c r="P81" s="81">
        <f t="shared" si="26"/>
        <v>0</v>
      </c>
      <c r="Q81" s="81">
        <f t="shared" si="27"/>
        <v>0</v>
      </c>
      <c r="R81" s="81">
        <f t="shared" si="28"/>
        <v>0</v>
      </c>
      <c r="S81" s="81">
        <f t="shared" si="21"/>
        <v>0</v>
      </c>
      <c r="T81" s="85">
        <f t="shared" si="29"/>
        <v>0</v>
      </c>
      <c r="U81" s="119"/>
      <c r="V81" s="192">
        <f t="shared" si="30"/>
        <v>0</v>
      </c>
      <c r="W81" s="122"/>
      <c r="X81" s="122"/>
      <c r="Y81" s="2"/>
    </row>
    <row r="82" spans="1:26" x14ac:dyDescent="0.25">
      <c r="A82" s="20"/>
      <c r="B82" s="14"/>
      <c r="C82" s="68"/>
      <c r="D82" s="93"/>
      <c r="E82" s="93"/>
      <c r="F82" s="93"/>
      <c r="G82" s="94"/>
      <c r="H82" s="94"/>
      <c r="I82" s="94"/>
      <c r="J82" s="94"/>
      <c r="K82" s="94"/>
      <c r="L82" s="587"/>
      <c r="M82" s="587"/>
      <c r="N82" s="587"/>
      <c r="O82" s="119"/>
      <c r="P82" s="81"/>
      <c r="Q82" s="81"/>
      <c r="R82" s="81"/>
      <c r="S82" s="81">
        <f t="shared" si="21"/>
        <v>0</v>
      </c>
      <c r="T82" s="85"/>
      <c r="U82" s="119"/>
      <c r="V82" s="192">
        <f t="shared" si="30"/>
        <v>0</v>
      </c>
      <c r="W82" s="122"/>
      <c r="X82" s="122"/>
    </row>
    <row r="83" spans="1:26" x14ac:dyDescent="0.25">
      <c r="A83" s="3" t="s">
        <v>154</v>
      </c>
      <c r="B83" s="3" t="s">
        <v>155</v>
      </c>
      <c r="C83" s="89">
        <f>SUM(C84:C85)</f>
        <v>120000</v>
      </c>
      <c r="D83" s="89">
        <f>SUM(D84:D85)</f>
        <v>120000</v>
      </c>
      <c r="E83" s="89">
        <f>SUM(E84:E85)</f>
        <v>120000</v>
      </c>
      <c r="F83" s="89">
        <f>SUM(F84:F85)</f>
        <v>120000</v>
      </c>
      <c r="G83" s="90"/>
      <c r="H83" s="89">
        <f>SUM(H84:H85)</f>
        <v>0</v>
      </c>
      <c r="I83" s="89">
        <f>SUM(I84:I85)</f>
        <v>0</v>
      </c>
      <c r="J83" s="89">
        <f>SUM(J84:J85)</f>
        <v>22200</v>
      </c>
      <c r="K83" s="90"/>
      <c r="L83" s="588">
        <f t="shared" ref="L83:N84" si="31">IF(H83&gt;0,H83/C83,0)</f>
        <v>0</v>
      </c>
      <c r="M83" s="588">
        <f t="shared" si="31"/>
        <v>0</v>
      </c>
      <c r="N83" s="588">
        <f t="shared" si="31"/>
        <v>0.185</v>
      </c>
      <c r="O83" s="118"/>
      <c r="P83" s="90">
        <f t="shared" ref="P83:R84" si="32">+(D83-C83)*P$10</f>
        <v>0</v>
      </c>
      <c r="Q83" s="90">
        <f t="shared" si="32"/>
        <v>0</v>
      </c>
      <c r="R83" s="90">
        <f t="shared" si="32"/>
        <v>0</v>
      </c>
      <c r="S83" s="90">
        <f t="shared" si="21"/>
        <v>0</v>
      </c>
      <c r="T83" s="199">
        <f>IF(C83=0,0,+S83/C83)</f>
        <v>0</v>
      </c>
      <c r="U83" s="118"/>
      <c r="V83" s="192">
        <f t="shared" ref="V83:V88" si="33">+S83-E83+C83</f>
        <v>0</v>
      </c>
      <c r="W83" s="122"/>
      <c r="X83" s="122"/>
      <c r="Y83" s="2"/>
      <c r="Z83" s="2"/>
    </row>
    <row r="84" spans="1:26" x14ac:dyDescent="0.25">
      <c r="A84" s="20"/>
      <c r="B84" s="20"/>
      <c r="C84" s="268">
        <v>120000</v>
      </c>
      <c r="D84" s="268">
        <v>120000</v>
      </c>
      <c r="E84" s="268">
        <v>120000</v>
      </c>
      <c r="F84" s="268">
        <v>120000</v>
      </c>
      <c r="G84" s="297"/>
      <c r="H84" s="297"/>
      <c r="I84" s="297"/>
      <c r="J84" s="297">
        <v>22200</v>
      </c>
      <c r="K84" s="94"/>
      <c r="L84" s="591">
        <f t="shared" si="31"/>
        <v>0</v>
      </c>
      <c r="M84" s="591">
        <f t="shared" si="31"/>
        <v>0</v>
      </c>
      <c r="N84" s="591">
        <f t="shared" si="31"/>
        <v>0.185</v>
      </c>
      <c r="O84" s="120"/>
      <c r="P84" s="81">
        <f t="shared" si="32"/>
        <v>0</v>
      </c>
      <c r="Q84" s="81">
        <f t="shared" si="32"/>
        <v>0</v>
      </c>
      <c r="R84" s="81">
        <f t="shared" si="32"/>
        <v>0</v>
      </c>
      <c r="S84" s="81">
        <f t="shared" si="21"/>
        <v>0</v>
      </c>
      <c r="T84" s="85">
        <f>IF(C84=0,0,+S84/C84)</f>
        <v>0</v>
      </c>
      <c r="U84" s="120"/>
      <c r="V84" s="192">
        <f t="shared" si="33"/>
        <v>0</v>
      </c>
      <c r="W84" s="122"/>
      <c r="X84" s="122"/>
      <c r="Y84" s="57"/>
    </row>
    <row r="85" spans="1:26" x14ac:dyDescent="0.25">
      <c r="A85" s="20"/>
      <c r="B85" s="14"/>
      <c r="C85" s="68"/>
      <c r="D85" s="93"/>
      <c r="E85" s="93"/>
      <c r="F85" s="93"/>
      <c r="G85" s="94"/>
      <c r="H85" s="94"/>
      <c r="I85" s="94"/>
      <c r="J85" s="94"/>
      <c r="K85" s="94"/>
      <c r="L85" s="587"/>
      <c r="M85" s="587"/>
      <c r="N85" s="587"/>
      <c r="O85" s="119"/>
      <c r="P85" s="81"/>
      <c r="Q85" s="81"/>
      <c r="R85" s="81"/>
      <c r="S85" s="81"/>
      <c r="T85" s="85"/>
      <c r="U85" s="119"/>
      <c r="V85" s="192">
        <f t="shared" si="33"/>
        <v>0</v>
      </c>
      <c r="W85" s="122"/>
      <c r="X85" s="122"/>
    </row>
    <row r="86" spans="1:26" x14ac:dyDescent="0.25">
      <c r="A86" s="3" t="s">
        <v>169</v>
      </c>
      <c r="B86" s="3" t="s">
        <v>170</v>
      </c>
      <c r="C86" s="89">
        <f>SUM(C87:C88)</f>
        <v>0</v>
      </c>
      <c r="D86" s="89">
        <f>SUM(D87:D88)</f>
        <v>0</v>
      </c>
      <c r="E86" s="89">
        <f>SUM(E87:E88)</f>
        <v>0</v>
      </c>
      <c r="F86" s="89">
        <f>SUM(F87:F88)</f>
        <v>0</v>
      </c>
      <c r="G86" s="90"/>
      <c r="H86" s="89">
        <f>SUM(H87:H88)</f>
        <v>0</v>
      </c>
      <c r="I86" s="89">
        <f>SUM(I87:I88)</f>
        <v>0</v>
      </c>
      <c r="J86" s="89">
        <f>SUM(J87:J88)</f>
        <v>0</v>
      </c>
      <c r="K86" s="90"/>
      <c r="L86" s="588">
        <f t="shared" ref="L86:N87" si="34">IF(H86&gt;0,H86/C86,0)</f>
        <v>0</v>
      </c>
      <c r="M86" s="588">
        <f t="shared" si="34"/>
        <v>0</v>
      </c>
      <c r="N86" s="588">
        <f t="shared" si="34"/>
        <v>0</v>
      </c>
      <c r="O86" s="118"/>
      <c r="P86" s="90">
        <f t="shared" ref="P86:R87" si="35">+(D86-C86)*P$10</f>
        <v>0</v>
      </c>
      <c r="Q86" s="90">
        <f t="shared" si="35"/>
        <v>0</v>
      </c>
      <c r="R86" s="90">
        <f t="shared" si="35"/>
        <v>0</v>
      </c>
      <c r="S86" s="90">
        <f>+P$10*P86+Q$10*Q86+R$10*R86</f>
        <v>0</v>
      </c>
      <c r="T86" s="199">
        <f>IF(C86=0,0,+S86/C86)</f>
        <v>0</v>
      </c>
      <c r="U86" s="118"/>
      <c r="V86" s="192">
        <f t="shared" si="33"/>
        <v>0</v>
      </c>
      <c r="W86" s="122"/>
      <c r="X86" s="122"/>
      <c r="Y86" s="2"/>
      <c r="Z86" s="2"/>
    </row>
    <row r="87" spans="1:26" x14ac:dyDescent="0.25">
      <c r="A87" s="20"/>
      <c r="B87" s="20"/>
      <c r="C87" s="268"/>
      <c r="D87" s="268"/>
      <c r="E87" s="268"/>
      <c r="F87" s="268"/>
      <c r="G87" s="297"/>
      <c r="H87" s="297"/>
      <c r="I87" s="297"/>
      <c r="J87" s="297"/>
      <c r="K87" s="94"/>
      <c r="L87" s="591">
        <f t="shared" si="34"/>
        <v>0</v>
      </c>
      <c r="M87" s="591">
        <f t="shared" si="34"/>
        <v>0</v>
      </c>
      <c r="N87" s="591">
        <f t="shared" si="34"/>
        <v>0</v>
      </c>
      <c r="O87" s="120"/>
      <c r="P87" s="81">
        <f t="shared" si="35"/>
        <v>0</v>
      </c>
      <c r="Q87" s="81">
        <f t="shared" si="35"/>
        <v>0</v>
      </c>
      <c r="R87" s="81">
        <f t="shared" si="35"/>
        <v>0</v>
      </c>
      <c r="S87" s="81">
        <f>+P$10*P87+Q$10*Q87+R$10*R87</f>
        <v>0</v>
      </c>
      <c r="T87" s="85">
        <f>IF(C87=0,0,+S87/C87)</f>
        <v>0</v>
      </c>
      <c r="U87" s="120"/>
      <c r="V87" s="192">
        <f t="shared" si="33"/>
        <v>0</v>
      </c>
      <c r="W87" s="122"/>
      <c r="X87" s="122"/>
      <c r="Y87" s="57"/>
    </row>
    <row r="88" spans="1:26" x14ac:dyDescent="0.25">
      <c r="A88" s="20"/>
      <c r="B88" s="14"/>
      <c r="C88" s="68"/>
      <c r="D88" s="93"/>
      <c r="E88" s="93"/>
      <c r="F88" s="93"/>
      <c r="G88" s="94"/>
      <c r="H88" s="94"/>
      <c r="I88" s="94"/>
      <c r="J88" s="94"/>
      <c r="K88" s="94"/>
      <c r="L88" s="587"/>
      <c r="M88" s="587"/>
      <c r="N88" s="587"/>
      <c r="O88" s="119"/>
      <c r="P88" s="81"/>
      <c r="Q88" s="81"/>
      <c r="R88" s="81"/>
      <c r="S88" s="81"/>
      <c r="T88" s="85"/>
      <c r="U88" s="119"/>
      <c r="V88" s="192">
        <f t="shared" si="33"/>
        <v>0</v>
      </c>
      <c r="W88" s="122"/>
      <c r="X88" s="122"/>
    </row>
    <row r="89" spans="1:26" x14ac:dyDescent="0.25">
      <c r="A89" s="3"/>
      <c r="B89" s="3" t="s">
        <v>373</v>
      </c>
      <c r="C89" s="89">
        <f>C13+C32+C29+C83+C86</f>
        <v>41408310.030000001</v>
      </c>
      <c r="D89" s="89">
        <f t="shared" ref="D89:J89" si="36">D13+D32+D29+D83+D86</f>
        <v>41408310</v>
      </c>
      <c r="E89" s="89">
        <f t="shared" si="36"/>
        <v>41408310</v>
      </c>
      <c r="F89" s="89">
        <f t="shared" si="36"/>
        <v>39713004</v>
      </c>
      <c r="G89" s="89"/>
      <c r="H89" s="89">
        <f t="shared" si="36"/>
        <v>17506348</v>
      </c>
      <c r="I89" s="89">
        <f t="shared" si="36"/>
        <v>27535325</v>
      </c>
      <c r="J89" s="89">
        <f t="shared" si="36"/>
        <v>38718454</v>
      </c>
      <c r="K89" s="90"/>
      <c r="L89" s="588">
        <f t="shared" si="23"/>
        <v>0.42277378592163711</v>
      </c>
      <c r="M89" s="588">
        <f t="shared" si="24"/>
        <v>0.66497099253748826</v>
      </c>
      <c r="N89" s="588">
        <f t="shared" si="25"/>
        <v>0.93504067178786099</v>
      </c>
      <c r="O89" s="118"/>
      <c r="P89" s="90">
        <f t="shared" si="26"/>
        <v>-3.0000001192092896E-2</v>
      </c>
      <c r="Q89" s="90">
        <f t="shared" si="27"/>
        <v>0</v>
      </c>
      <c r="R89" s="90">
        <f t="shared" si="28"/>
        <v>-1695306</v>
      </c>
      <c r="S89" s="90">
        <f>+P$10*P89+Q$10*Q89+R$10*R89</f>
        <v>-1695306.0300000012</v>
      </c>
      <c r="T89" s="199">
        <f t="shared" si="29"/>
        <v>-4.0941203076671449E-2</v>
      </c>
      <c r="U89" s="118"/>
      <c r="V89" s="192">
        <f t="shared" si="30"/>
        <v>-1695306</v>
      </c>
      <c r="W89" s="122"/>
      <c r="X89" s="122"/>
    </row>
    <row r="90" spans="1:26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595"/>
      <c r="M90" s="595"/>
      <c r="N90" s="595"/>
      <c r="O90" s="98"/>
      <c r="P90" s="98"/>
      <c r="Q90" s="98"/>
      <c r="R90" s="98"/>
      <c r="S90" s="98"/>
      <c r="T90" s="98"/>
      <c r="U90" s="22"/>
      <c r="V90" s="192">
        <f t="shared" si="30"/>
        <v>0</v>
      </c>
      <c r="W90" s="122"/>
      <c r="X90" s="122"/>
    </row>
    <row r="91" spans="1:26" ht="10.35" customHeight="1" x14ac:dyDescent="0.25">
      <c r="A91" s="463"/>
      <c r="B91" s="463"/>
      <c r="C91" s="464"/>
      <c r="D91" s="465"/>
      <c r="E91" s="465"/>
      <c r="F91" s="465"/>
      <c r="G91" s="465"/>
      <c r="H91" s="465"/>
      <c r="I91" s="465"/>
      <c r="J91" s="465"/>
      <c r="K91" s="465"/>
      <c r="L91" s="596"/>
      <c r="M91" s="596"/>
      <c r="N91" s="596"/>
      <c r="O91" s="465"/>
      <c r="P91" s="465"/>
      <c r="Q91" s="465"/>
      <c r="R91" s="465"/>
      <c r="S91" s="465"/>
      <c r="T91" s="465"/>
      <c r="U91" s="466"/>
      <c r="V91" s="467"/>
      <c r="W91" s="122"/>
      <c r="X91" s="122"/>
    </row>
    <row r="92" spans="1:26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595"/>
      <c r="M92" s="595"/>
      <c r="N92" s="595"/>
      <c r="O92" s="98"/>
      <c r="P92" s="98"/>
      <c r="Q92" s="98"/>
      <c r="R92" s="98"/>
      <c r="S92" s="98"/>
      <c r="T92" s="98"/>
      <c r="U92" s="22"/>
      <c r="V92" s="192"/>
      <c r="W92" s="122"/>
      <c r="X92" s="122"/>
    </row>
    <row r="93" spans="1:26" s="42" customFormat="1" x14ac:dyDescent="0.25">
      <c r="A93" s="4" t="s">
        <v>237</v>
      </c>
      <c r="B93" s="3" t="s">
        <v>238</v>
      </c>
      <c r="C93" s="66">
        <f>SUM(C94:C94)</f>
        <v>0</v>
      </c>
      <c r="D93" s="66">
        <f>SUM(D94:D94)</f>
        <v>0</v>
      </c>
      <c r="E93" s="66">
        <f>SUM(E94:E94)</f>
        <v>0</v>
      </c>
      <c r="F93" s="66">
        <f>SUM(F94:F94)</f>
        <v>0</v>
      </c>
      <c r="G93" s="66"/>
      <c r="H93" s="66">
        <f>SUM(H94:H94)</f>
        <v>0</v>
      </c>
      <c r="I93" s="66">
        <f>SUM(I94:I94)</f>
        <v>0</v>
      </c>
      <c r="J93" s="66">
        <f>SUM(J94:J94)</f>
        <v>0</v>
      </c>
      <c r="K93" s="66"/>
      <c r="L93" s="588">
        <f t="shared" ref="L93:N94" si="37">IF(H93&gt;0,H93/C93,0)</f>
        <v>0</v>
      </c>
      <c r="M93" s="588">
        <f t="shared" si="37"/>
        <v>0</v>
      </c>
      <c r="N93" s="588">
        <f t="shared" si="37"/>
        <v>0</v>
      </c>
      <c r="O93" s="31"/>
      <c r="P93" s="66">
        <f t="shared" ref="P93:R94" si="38">+(D93-C93)*P$10</f>
        <v>0</v>
      </c>
      <c r="Q93" s="66">
        <f t="shared" si="38"/>
        <v>0</v>
      </c>
      <c r="R93" s="66">
        <f t="shared" si="38"/>
        <v>0</v>
      </c>
      <c r="S93" s="66">
        <f t="shared" ref="S93:S102" si="39">+P$10*P93+Q$10*Q93+R$10*R93</f>
        <v>0</v>
      </c>
      <c r="T93" s="198">
        <f>IF(C93=0,0,+S93/C93)</f>
        <v>0</v>
      </c>
      <c r="U93" s="118"/>
      <c r="V93" s="192">
        <f t="shared" si="30"/>
        <v>0</v>
      </c>
      <c r="W93" s="128"/>
      <c r="X93" s="128"/>
    </row>
    <row r="94" spans="1:26" x14ac:dyDescent="0.25">
      <c r="A94" s="14"/>
      <c r="B94" s="20"/>
      <c r="C94" s="141"/>
      <c r="D94" s="141"/>
      <c r="E94" s="462"/>
      <c r="F94" s="71"/>
      <c r="G94" s="117"/>
      <c r="H94" s="96"/>
      <c r="I94" s="96"/>
      <c r="J94" s="96"/>
      <c r="K94" s="117"/>
      <c r="L94" s="591">
        <f t="shared" si="37"/>
        <v>0</v>
      </c>
      <c r="M94" s="591">
        <f t="shared" si="37"/>
        <v>0</v>
      </c>
      <c r="N94" s="591">
        <f t="shared" si="37"/>
        <v>0</v>
      </c>
      <c r="O94" s="120"/>
      <c r="P94" s="81">
        <f t="shared" si="38"/>
        <v>0</v>
      </c>
      <c r="Q94" s="81">
        <f t="shared" si="38"/>
        <v>0</v>
      </c>
      <c r="R94" s="81">
        <f t="shared" si="38"/>
        <v>0</v>
      </c>
      <c r="S94" s="81">
        <f t="shared" si="39"/>
        <v>0</v>
      </c>
      <c r="T94" s="85">
        <f>IF(C94=0,0,+S94/C94)</f>
        <v>0</v>
      </c>
      <c r="U94" s="120"/>
      <c r="V94" s="192">
        <f>+S94-E94+C94</f>
        <v>0</v>
      </c>
      <c r="W94" s="122"/>
      <c r="X94" s="122"/>
    </row>
    <row r="95" spans="1:26" s="42" customFormat="1" x14ac:dyDescent="0.25">
      <c r="A95" s="4" t="s">
        <v>280</v>
      </c>
      <c r="B95" s="3" t="s">
        <v>281</v>
      </c>
      <c r="C95" s="66">
        <f>SUM(C96:C98)</f>
        <v>7110000</v>
      </c>
      <c r="D95" s="66">
        <f>SUM(D96:D98)</f>
        <v>7110000</v>
      </c>
      <c r="E95" s="66">
        <f>SUM(E96:E98)</f>
        <v>7110000</v>
      </c>
      <c r="F95" s="66">
        <f>SUM(F96:F98)</f>
        <v>7110000</v>
      </c>
      <c r="G95" s="66"/>
      <c r="H95" s="66">
        <f>SUM(H96:H98)</f>
        <v>2602942</v>
      </c>
      <c r="I95" s="66">
        <f>+I96+I97+I98</f>
        <v>4348032</v>
      </c>
      <c r="J95" s="66">
        <f>+J96+J97+J98</f>
        <v>6351342</v>
      </c>
      <c r="K95" s="66"/>
      <c r="L95" s="588">
        <f t="shared" ref="L95:N102" si="40">IF(H95&gt;0,H95/C95,0)</f>
        <v>0.36609592123769341</v>
      </c>
      <c r="M95" s="588">
        <f t="shared" si="40"/>
        <v>0.61153755274261601</v>
      </c>
      <c r="N95" s="588">
        <f t="shared" si="40"/>
        <v>0.89329704641350216</v>
      </c>
      <c r="O95" s="31"/>
      <c r="P95" s="66">
        <f t="shared" ref="P95:R102" si="41">+(D95-C95)*P$10</f>
        <v>0</v>
      </c>
      <c r="Q95" s="66">
        <f t="shared" si="41"/>
        <v>0</v>
      </c>
      <c r="R95" s="66">
        <f t="shared" si="41"/>
        <v>0</v>
      </c>
      <c r="S95" s="66">
        <f t="shared" si="39"/>
        <v>0</v>
      </c>
      <c r="T95" s="198">
        <f t="shared" ref="T95:T102" si="42">IF(C95=0,0,+S95/C95)</f>
        <v>0</v>
      </c>
      <c r="U95" s="118"/>
      <c r="V95" s="192">
        <f t="shared" si="30"/>
        <v>0</v>
      </c>
      <c r="W95" s="128"/>
      <c r="X95" s="128"/>
    </row>
    <row r="96" spans="1:26" x14ac:dyDescent="0.25">
      <c r="A96" s="14" t="s">
        <v>291</v>
      </c>
      <c r="B96" s="20" t="s">
        <v>292</v>
      </c>
      <c r="C96" s="71">
        <v>6000000</v>
      </c>
      <c r="D96" s="71">
        <v>6000000</v>
      </c>
      <c r="E96" s="462">
        <v>6000000</v>
      </c>
      <c r="F96" s="71">
        <v>6000000</v>
      </c>
      <c r="G96" s="117"/>
      <c r="H96" s="96">
        <v>2231367</v>
      </c>
      <c r="I96" s="96">
        <v>3744937</v>
      </c>
      <c r="J96" s="96">
        <v>5456494</v>
      </c>
      <c r="K96" s="117"/>
      <c r="L96" s="591">
        <f t="shared" si="40"/>
        <v>0.37189450000000002</v>
      </c>
      <c r="M96" s="591">
        <f t="shared" si="40"/>
        <v>0.62415616666666662</v>
      </c>
      <c r="N96" s="591">
        <f t="shared" si="40"/>
        <v>0.90941566666666662</v>
      </c>
      <c r="O96" s="120"/>
      <c r="P96" s="81">
        <f t="shared" si="41"/>
        <v>0</v>
      </c>
      <c r="Q96" s="81">
        <f t="shared" si="41"/>
        <v>0</v>
      </c>
      <c r="R96" s="81">
        <f t="shared" si="41"/>
        <v>0</v>
      </c>
      <c r="S96" s="81">
        <f t="shared" si="39"/>
        <v>0</v>
      </c>
      <c r="T96" s="85">
        <f t="shared" si="42"/>
        <v>0</v>
      </c>
      <c r="U96" s="120"/>
      <c r="V96" s="192">
        <f t="shared" ref="V96:V102" si="43">+S96-E96+C96</f>
        <v>0</v>
      </c>
      <c r="W96" s="122"/>
      <c r="X96" s="122"/>
    </row>
    <row r="97" spans="1:24" x14ac:dyDescent="0.25">
      <c r="A97" s="14" t="s">
        <v>294</v>
      </c>
      <c r="B97" s="20" t="s">
        <v>295</v>
      </c>
      <c r="C97" s="71">
        <v>1100000</v>
      </c>
      <c r="D97" s="71">
        <v>1100000</v>
      </c>
      <c r="E97" s="141">
        <v>1100000</v>
      </c>
      <c r="F97" s="71">
        <v>1100000</v>
      </c>
      <c r="G97" s="117"/>
      <c r="H97" s="96">
        <v>369996</v>
      </c>
      <c r="I97" s="96">
        <v>600134</v>
      </c>
      <c r="J97" s="96">
        <v>891402</v>
      </c>
      <c r="K97" s="117"/>
      <c r="L97" s="591">
        <f t="shared" si="40"/>
        <v>0.33635999999999999</v>
      </c>
      <c r="M97" s="591">
        <f t="shared" si="40"/>
        <v>0.54557636363636364</v>
      </c>
      <c r="N97" s="591">
        <f t="shared" si="40"/>
        <v>0.8103654545454545</v>
      </c>
      <c r="O97" s="120"/>
      <c r="P97" s="81">
        <f t="shared" si="41"/>
        <v>0</v>
      </c>
      <c r="Q97" s="81">
        <f t="shared" si="41"/>
        <v>0</v>
      </c>
      <c r="R97" s="81">
        <f t="shared" si="41"/>
        <v>0</v>
      </c>
      <c r="S97" s="81">
        <f t="shared" si="39"/>
        <v>0</v>
      </c>
      <c r="T97" s="85">
        <f t="shared" si="42"/>
        <v>0</v>
      </c>
      <c r="U97" s="120"/>
      <c r="V97" s="192">
        <f t="shared" si="43"/>
        <v>0</v>
      </c>
      <c r="W97" s="122"/>
      <c r="X97" s="122"/>
    </row>
    <row r="98" spans="1:24" x14ac:dyDescent="0.25">
      <c r="A98" s="526" t="s">
        <v>458</v>
      </c>
      <c r="B98" s="479" t="s">
        <v>457</v>
      </c>
      <c r="C98" s="71">
        <v>10000</v>
      </c>
      <c r="D98" s="71">
        <v>10000</v>
      </c>
      <c r="E98" s="141">
        <v>10000</v>
      </c>
      <c r="F98" s="71">
        <v>10000</v>
      </c>
      <c r="G98" s="117"/>
      <c r="H98" s="96">
        <f>28+1551</f>
        <v>1579</v>
      </c>
      <c r="I98" s="96">
        <f>48+2913</f>
        <v>2961</v>
      </c>
      <c r="J98" s="96">
        <f>63+3383</f>
        <v>3446</v>
      </c>
      <c r="K98" s="117"/>
      <c r="L98" s="591">
        <f t="shared" si="40"/>
        <v>0.15790000000000001</v>
      </c>
      <c r="M98" s="591">
        <f t="shared" si="40"/>
        <v>0.29609999999999997</v>
      </c>
      <c r="N98" s="591">
        <f t="shared" si="40"/>
        <v>0.34460000000000002</v>
      </c>
      <c r="O98" s="120"/>
      <c r="P98" s="81">
        <f t="shared" si="41"/>
        <v>0</v>
      </c>
      <c r="Q98" s="81">
        <f t="shared" si="41"/>
        <v>0</v>
      </c>
      <c r="R98" s="81">
        <f t="shared" si="41"/>
        <v>0</v>
      </c>
      <c r="S98" s="81">
        <f t="shared" si="39"/>
        <v>0</v>
      </c>
      <c r="T98" s="85">
        <f t="shared" si="42"/>
        <v>0</v>
      </c>
      <c r="U98" s="120"/>
      <c r="V98" s="192">
        <f t="shared" si="43"/>
        <v>0</v>
      </c>
      <c r="W98" s="122"/>
      <c r="X98" s="122"/>
    </row>
    <row r="99" spans="1:24" s="42" customFormat="1" x14ac:dyDescent="0.25">
      <c r="A99" s="4" t="s">
        <v>329</v>
      </c>
      <c r="B99" s="3" t="s">
        <v>330</v>
      </c>
      <c r="C99" s="66">
        <f>SUM(C100:C101)</f>
        <v>34298310.030000001</v>
      </c>
      <c r="D99" s="66">
        <f>SUM(D100:D101)</f>
        <v>34298310</v>
      </c>
      <c r="E99" s="70">
        <f>SUM(E100:E101)</f>
        <v>34298310</v>
      </c>
      <c r="F99" s="66">
        <f>SUM(F100:F101)</f>
        <v>32603004</v>
      </c>
      <c r="G99" s="66"/>
      <c r="H99" s="66">
        <f>SUM(H100:H101)</f>
        <v>16667105</v>
      </c>
      <c r="I99" s="66">
        <f>SUM(I100:I101)</f>
        <v>24834096</v>
      </c>
      <c r="J99" s="66">
        <f>SUM(J100:J101)</f>
        <v>32603004</v>
      </c>
      <c r="K99" s="66"/>
      <c r="L99" s="588">
        <f t="shared" si="40"/>
        <v>0.48594537122737647</v>
      </c>
      <c r="M99" s="588">
        <f t="shared" si="40"/>
        <v>0.72406179779703428</v>
      </c>
      <c r="N99" s="588">
        <f t="shared" si="40"/>
        <v>0.95057173370932857</v>
      </c>
      <c r="O99" s="31"/>
      <c r="P99" s="66">
        <f t="shared" si="41"/>
        <v>-3.0000001192092896E-2</v>
      </c>
      <c r="Q99" s="66">
        <f t="shared" si="41"/>
        <v>0</v>
      </c>
      <c r="R99" s="66">
        <f t="shared" si="41"/>
        <v>-1695306</v>
      </c>
      <c r="S99" s="66">
        <f t="shared" si="39"/>
        <v>-1695306.0300000012</v>
      </c>
      <c r="T99" s="198">
        <f t="shared" si="42"/>
        <v>-4.9428267122116315E-2</v>
      </c>
      <c r="U99" s="118"/>
      <c r="V99" s="192">
        <f t="shared" si="43"/>
        <v>-1695306</v>
      </c>
      <c r="W99" s="128"/>
      <c r="X99" s="128"/>
    </row>
    <row r="100" spans="1:24" x14ac:dyDescent="0.25">
      <c r="A100" s="14" t="s">
        <v>355</v>
      </c>
      <c r="B100" s="20" t="s">
        <v>383</v>
      </c>
      <c r="C100" s="71">
        <f>+C105</f>
        <v>33628310.030000001</v>
      </c>
      <c r="D100" s="71">
        <v>32959488</v>
      </c>
      <c r="E100" s="71">
        <v>32959488</v>
      </c>
      <c r="F100" s="71">
        <v>31264182</v>
      </c>
      <c r="G100" s="117"/>
      <c r="H100" s="96">
        <v>15328283</v>
      </c>
      <c r="I100" s="96">
        <v>23495274</v>
      </c>
      <c r="J100" s="96">
        <v>31264182</v>
      </c>
      <c r="K100" s="117"/>
      <c r="L100" s="591">
        <f t="shared" si="40"/>
        <v>0.45581484726189198</v>
      </c>
      <c r="M100" s="591">
        <f t="shared" si="40"/>
        <v>0.71285312441746673</v>
      </c>
      <c r="N100" s="591">
        <f t="shared" si="40"/>
        <v>0.94856394613896911</v>
      </c>
      <c r="O100" s="120"/>
      <c r="P100" s="81">
        <f t="shared" si="41"/>
        <v>-668822.03000000119</v>
      </c>
      <c r="Q100" s="81">
        <f t="shared" si="41"/>
        <v>0</v>
      </c>
      <c r="R100" s="81">
        <f t="shared" si="41"/>
        <v>-1695306</v>
      </c>
      <c r="S100" s="81">
        <f t="shared" si="39"/>
        <v>-2364128.0300000012</v>
      </c>
      <c r="T100" s="85">
        <f t="shared" si="42"/>
        <v>-7.030171982745935E-2</v>
      </c>
      <c r="U100" s="120"/>
      <c r="V100" s="192">
        <f t="shared" si="43"/>
        <v>-1695306</v>
      </c>
      <c r="W100" s="122"/>
      <c r="X100" s="122"/>
    </row>
    <row r="101" spans="1:24" ht="15.75" customHeight="1" x14ac:dyDescent="0.25">
      <c r="A101" s="14" t="s">
        <v>343</v>
      </c>
      <c r="B101" s="20" t="s">
        <v>344</v>
      </c>
      <c r="C101" s="143">
        <v>670000</v>
      </c>
      <c r="D101" s="143">
        <v>1338822</v>
      </c>
      <c r="E101" s="143">
        <v>1338822</v>
      </c>
      <c r="F101" s="68">
        <v>1338822</v>
      </c>
      <c r="G101" s="96"/>
      <c r="H101" s="96">
        <v>1338822</v>
      </c>
      <c r="I101" s="96">
        <v>1338822</v>
      </c>
      <c r="J101" s="96">
        <v>1338822</v>
      </c>
      <c r="K101" s="96"/>
      <c r="L101" s="587">
        <f t="shared" si="40"/>
        <v>1.9982417910447761</v>
      </c>
      <c r="M101" s="587">
        <f t="shared" si="40"/>
        <v>1</v>
      </c>
      <c r="N101" s="587">
        <f t="shared" si="40"/>
        <v>1</v>
      </c>
      <c r="O101" s="119"/>
      <c r="P101" s="81">
        <f t="shared" si="41"/>
        <v>668822</v>
      </c>
      <c r="Q101" s="81">
        <f t="shared" si="41"/>
        <v>0</v>
      </c>
      <c r="R101" s="81">
        <f t="shared" si="41"/>
        <v>0</v>
      </c>
      <c r="S101" s="81">
        <f t="shared" si="39"/>
        <v>668822</v>
      </c>
      <c r="T101" s="85">
        <f t="shared" si="42"/>
        <v>0.99824179104477617</v>
      </c>
      <c r="U101" s="119"/>
      <c r="V101" s="192">
        <f t="shared" si="43"/>
        <v>0</v>
      </c>
      <c r="W101" s="122"/>
      <c r="X101" s="122"/>
    </row>
    <row r="102" spans="1:24" x14ac:dyDescent="0.25">
      <c r="A102" s="5"/>
      <c r="B102" s="5" t="s">
        <v>372</v>
      </c>
      <c r="C102" s="67">
        <f>+C95+C99+C93</f>
        <v>41408310.030000001</v>
      </c>
      <c r="D102" s="67">
        <f>+D95+D99+D93</f>
        <v>41408310</v>
      </c>
      <c r="E102" s="67">
        <f>+E95+E99+E93</f>
        <v>41408310</v>
      </c>
      <c r="F102" s="67">
        <f>+F95+F99+F93</f>
        <v>39713004</v>
      </c>
      <c r="G102" s="67"/>
      <c r="H102" s="67">
        <f>+H95+H99+H93</f>
        <v>19270047</v>
      </c>
      <c r="I102" s="67">
        <f>+I95+I99+I93</f>
        <v>29182128</v>
      </c>
      <c r="J102" s="67">
        <f>+J95+J99+J93</f>
        <v>38954346</v>
      </c>
      <c r="K102" s="67"/>
      <c r="L102" s="588">
        <f t="shared" si="40"/>
        <v>0.46536666157201295</v>
      </c>
      <c r="M102" s="588">
        <f t="shared" si="40"/>
        <v>0.70474085998679981</v>
      </c>
      <c r="N102" s="588">
        <f t="shared" si="40"/>
        <v>0.94073740270974593</v>
      </c>
      <c r="O102" s="31"/>
      <c r="P102" s="67">
        <f t="shared" si="41"/>
        <v>-3.0000001192092896E-2</v>
      </c>
      <c r="Q102" s="67">
        <f t="shared" si="41"/>
        <v>0</v>
      </c>
      <c r="R102" s="67">
        <f t="shared" si="41"/>
        <v>-1695306</v>
      </c>
      <c r="S102" s="67">
        <f t="shared" si="39"/>
        <v>-1695306.0300000012</v>
      </c>
      <c r="T102" s="85">
        <f t="shared" si="42"/>
        <v>-4.0941203076671449E-2</v>
      </c>
      <c r="U102" s="118"/>
      <c r="V102" s="193">
        <f t="shared" si="43"/>
        <v>-1695306</v>
      </c>
      <c r="W102" s="122"/>
      <c r="X102" s="122"/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598"/>
      <c r="M103" s="598"/>
      <c r="N103" s="598"/>
      <c r="P103" s="98"/>
      <c r="Q103" s="98"/>
      <c r="R103" s="98"/>
      <c r="S103" s="98"/>
      <c r="T103" s="98"/>
      <c r="W103" s="122"/>
      <c r="X103" s="122"/>
    </row>
    <row r="104" spans="1:24" x14ac:dyDescent="0.25">
      <c r="B104" s="25"/>
      <c r="C104" s="97"/>
      <c r="D104" s="98"/>
      <c r="E104" s="98"/>
      <c r="F104" s="98"/>
      <c r="G104" s="98"/>
      <c r="H104" s="98"/>
      <c r="I104" s="98"/>
      <c r="J104" s="98"/>
      <c r="K104" s="98"/>
      <c r="L104" s="612"/>
      <c r="M104" s="612"/>
      <c r="N104" s="612"/>
      <c r="O104" s="19"/>
      <c r="P104" s="98"/>
      <c r="Q104" s="98"/>
      <c r="R104" s="98"/>
      <c r="S104" s="98"/>
      <c r="T104" s="98"/>
      <c r="U104" s="19"/>
      <c r="V104" s="19"/>
      <c r="W104" s="122"/>
      <c r="X104" s="122"/>
    </row>
    <row r="105" spans="1:24" x14ac:dyDescent="0.25">
      <c r="B105" s="25"/>
      <c r="C105" s="97">
        <f>+C89-C95-C101</f>
        <v>33628310.030000001</v>
      </c>
      <c r="D105" s="98"/>
      <c r="E105" s="98"/>
      <c r="F105" s="98"/>
      <c r="G105" s="98"/>
      <c r="H105" s="98"/>
      <c r="I105" s="98"/>
      <c r="J105" s="98"/>
      <c r="K105" s="98"/>
      <c r="L105" s="598"/>
      <c r="M105" s="598"/>
      <c r="N105" s="598"/>
      <c r="P105" s="98"/>
      <c r="Q105" s="98"/>
      <c r="R105" s="98"/>
      <c r="S105" s="98"/>
      <c r="T105" s="98"/>
      <c r="W105" s="122"/>
      <c r="X105" s="122"/>
    </row>
    <row r="106" spans="1:24" x14ac:dyDescent="0.25">
      <c r="B106" s="25"/>
      <c r="C106" s="97"/>
      <c r="D106" s="98"/>
      <c r="E106" s="98"/>
      <c r="F106" s="98"/>
      <c r="G106" s="98"/>
      <c r="H106" s="98"/>
      <c r="I106" s="98"/>
      <c r="J106" s="98"/>
      <c r="K106" s="98"/>
      <c r="L106" s="598"/>
      <c r="M106" s="598"/>
      <c r="N106" s="598"/>
    </row>
    <row r="107" spans="1:24" ht="26.4" x14ac:dyDescent="0.25">
      <c r="A107" s="557"/>
      <c r="B107" s="568" t="s">
        <v>472</v>
      </c>
      <c r="C107" s="569">
        <f>5440000+2601920+50000+5280000+1744000</f>
        <v>15115920</v>
      </c>
      <c r="D107" s="98"/>
      <c r="E107" s="98"/>
      <c r="F107" s="98"/>
      <c r="G107" s="98"/>
      <c r="H107" s="98"/>
      <c r="K107" s="98"/>
      <c r="L107" s="598"/>
      <c r="M107" s="598"/>
      <c r="N107" s="598"/>
    </row>
    <row r="108" spans="1:24" ht="39.6" x14ac:dyDescent="0.25">
      <c r="A108" s="26"/>
      <c r="B108" s="557" t="s">
        <v>471</v>
      </c>
      <c r="C108" s="97">
        <v>38368240</v>
      </c>
      <c r="D108" s="98">
        <f>+C105-C107</f>
        <v>18512390.030000001</v>
      </c>
      <c r="E108" s="98"/>
      <c r="F108" s="98"/>
      <c r="G108" s="98"/>
      <c r="H108" s="98"/>
      <c r="K108" s="98"/>
      <c r="L108" s="598"/>
      <c r="M108" s="598"/>
      <c r="N108" s="598"/>
    </row>
    <row r="109" spans="1:24" x14ac:dyDescent="0.25">
      <c r="B109" s="25"/>
      <c r="C109" s="97"/>
      <c r="D109" s="98"/>
      <c r="E109" s="98"/>
      <c r="F109" s="98"/>
      <c r="G109" s="98"/>
      <c r="H109" s="98"/>
      <c r="K109" s="98"/>
      <c r="L109" s="598"/>
      <c r="M109" s="598"/>
      <c r="N109" s="598"/>
    </row>
    <row r="110" spans="1:24" x14ac:dyDescent="0.25">
      <c r="B110" s="25"/>
      <c r="C110" s="97"/>
      <c r="D110" s="98"/>
      <c r="E110" s="98"/>
      <c r="F110" s="98"/>
      <c r="G110" s="98"/>
      <c r="H110" s="98"/>
      <c r="K110" s="98"/>
      <c r="L110" s="598"/>
      <c r="M110" s="598"/>
      <c r="N110" s="598"/>
    </row>
    <row r="111" spans="1:24" x14ac:dyDescent="0.25">
      <c r="B111" s="25"/>
      <c r="C111" s="97"/>
      <c r="D111" s="98"/>
      <c r="E111" s="98"/>
      <c r="F111" s="98"/>
      <c r="G111" s="98"/>
      <c r="H111" s="98"/>
      <c r="K111" s="98"/>
      <c r="L111" s="598"/>
      <c r="M111" s="598"/>
      <c r="N111" s="598"/>
    </row>
    <row r="112" spans="1:24" x14ac:dyDescent="0.25">
      <c r="B112" s="25"/>
      <c r="C112" s="97"/>
      <c r="D112" s="98"/>
      <c r="E112" s="98"/>
      <c r="F112" s="98"/>
      <c r="G112" s="98"/>
      <c r="H112" s="98"/>
      <c r="K112" s="98"/>
      <c r="L112" s="598"/>
      <c r="M112" s="598"/>
      <c r="N112" s="598"/>
    </row>
    <row r="113" spans="1:14" x14ac:dyDescent="0.25">
      <c r="C113" s="97"/>
      <c r="D113" s="98"/>
      <c r="E113" s="98"/>
      <c r="F113" s="98"/>
      <c r="G113" s="98"/>
      <c r="H113" s="98"/>
      <c r="K113" s="98"/>
      <c r="L113" s="598"/>
      <c r="M113" s="598"/>
      <c r="N113" s="598"/>
    </row>
    <row r="114" spans="1:14" x14ac:dyDescent="0.25">
      <c r="A114" s="26"/>
      <c r="B114" s="26"/>
      <c r="C114" s="97"/>
      <c r="D114" s="98"/>
      <c r="E114" s="98"/>
      <c r="F114" s="98"/>
      <c r="G114" s="98"/>
      <c r="H114" s="98"/>
      <c r="K114" s="98"/>
      <c r="L114" s="598"/>
      <c r="M114" s="598"/>
      <c r="N114" s="598"/>
    </row>
    <row r="115" spans="1:14" x14ac:dyDescent="0.25">
      <c r="B115" s="25"/>
      <c r="C115" s="97"/>
      <c r="D115" s="98"/>
      <c r="E115" s="98"/>
      <c r="F115" s="98"/>
      <c r="G115" s="98"/>
      <c r="H115" s="98"/>
      <c r="K115" s="98"/>
      <c r="L115" s="598"/>
      <c r="M115" s="598"/>
      <c r="N115" s="598"/>
    </row>
    <row r="116" spans="1:14" x14ac:dyDescent="0.25">
      <c r="B116" s="25"/>
      <c r="C116" s="97"/>
      <c r="D116" s="98"/>
      <c r="E116" s="98"/>
      <c r="F116" s="98"/>
      <c r="G116" s="98"/>
      <c r="H116" s="98"/>
      <c r="K116" s="98"/>
      <c r="L116" s="598"/>
      <c r="M116" s="598"/>
      <c r="N116" s="598"/>
    </row>
    <row r="117" spans="1:14" x14ac:dyDescent="0.25">
      <c r="B117" s="25"/>
      <c r="C117" s="97"/>
      <c r="D117" s="98"/>
      <c r="E117" s="98"/>
      <c r="F117" s="98"/>
      <c r="G117" s="98"/>
      <c r="H117" s="98"/>
      <c r="K117" s="98"/>
      <c r="L117" s="598"/>
      <c r="M117" s="598"/>
      <c r="N117" s="598"/>
    </row>
    <row r="118" spans="1:14" x14ac:dyDescent="0.25">
      <c r="B118" s="25"/>
      <c r="C118" s="97"/>
      <c r="D118" s="98"/>
      <c r="E118" s="98"/>
      <c r="F118" s="98"/>
      <c r="G118" s="98"/>
      <c r="H118" s="98"/>
      <c r="K118" s="98"/>
      <c r="L118" s="598"/>
      <c r="M118" s="598"/>
      <c r="N118" s="598"/>
    </row>
    <row r="119" spans="1:14" x14ac:dyDescent="0.25">
      <c r="B119" s="25"/>
      <c r="C119" s="97"/>
      <c r="D119" s="98"/>
      <c r="E119" s="98"/>
      <c r="F119" s="98"/>
      <c r="G119" s="98"/>
      <c r="H119" s="98"/>
      <c r="K119" s="98"/>
      <c r="L119" s="598"/>
      <c r="M119" s="598"/>
      <c r="N119" s="598"/>
    </row>
    <row r="120" spans="1:14" x14ac:dyDescent="0.25">
      <c r="B120" s="25"/>
      <c r="C120" s="97"/>
      <c r="D120" s="98"/>
      <c r="E120" s="98"/>
      <c r="F120" s="98"/>
      <c r="G120" s="98"/>
      <c r="H120" s="98"/>
      <c r="K120" s="98"/>
      <c r="L120" s="598"/>
      <c r="M120" s="598"/>
      <c r="N120" s="598"/>
    </row>
    <row r="121" spans="1:14" x14ac:dyDescent="0.25">
      <c r="B121" s="25"/>
      <c r="C121" s="97"/>
      <c r="D121" s="98"/>
      <c r="E121" s="98"/>
      <c r="F121" s="98"/>
      <c r="G121" s="98"/>
      <c r="H121" s="98"/>
      <c r="K121" s="98"/>
      <c r="L121" s="598"/>
      <c r="M121" s="598"/>
      <c r="N121" s="598"/>
    </row>
    <row r="122" spans="1:14" x14ac:dyDescent="0.25">
      <c r="B122" s="25"/>
      <c r="C122" s="97"/>
      <c r="D122" s="98"/>
      <c r="E122" s="98"/>
      <c r="F122" s="98"/>
      <c r="G122" s="98"/>
      <c r="H122" s="98"/>
      <c r="K122" s="98"/>
      <c r="L122" s="598"/>
      <c r="M122" s="598"/>
      <c r="N122" s="598"/>
    </row>
    <row r="123" spans="1:14" x14ac:dyDescent="0.25">
      <c r="C123" s="97"/>
      <c r="D123" s="98"/>
      <c r="E123" s="98"/>
      <c r="F123" s="98"/>
      <c r="G123" s="98"/>
      <c r="H123" s="98"/>
      <c r="K123" s="98"/>
      <c r="L123" s="598"/>
      <c r="M123" s="598"/>
      <c r="N123" s="598"/>
    </row>
    <row r="124" spans="1:14" x14ac:dyDescent="0.25">
      <c r="A124" s="26"/>
      <c r="B124" s="26"/>
      <c r="C124" s="97"/>
      <c r="D124" s="98"/>
      <c r="E124" s="98"/>
      <c r="F124" s="98"/>
      <c r="G124" s="98"/>
      <c r="H124" s="98"/>
      <c r="K124" s="98"/>
      <c r="L124" s="598"/>
      <c r="M124" s="598"/>
      <c r="N124" s="598"/>
    </row>
    <row r="125" spans="1:14" x14ac:dyDescent="0.25">
      <c r="B125" s="25"/>
      <c r="C125" s="97"/>
      <c r="D125" s="98"/>
      <c r="E125" s="98"/>
      <c r="F125" s="98"/>
      <c r="G125" s="98"/>
      <c r="H125" s="98"/>
      <c r="K125" s="98"/>
      <c r="L125" s="598"/>
      <c r="M125" s="598"/>
      <c r="N125" s="598"/>
    </row>
    <row r="126" spans="1:14" x14ac:dyDescent="0.25">
      <c r="B126" s="25"/>
      <c r="C126" s="97"/>
      <c r="D126" s="98"/>
      <c r="E126" s="98"/>
      <c r="F126" s="98"/>
      <c r="G126" s="98"/>
      <c r="H126" s="98"/>
      <c r="K126" s="98"/>
      <c r="L126" s="598"/>
      <c r="M126" s="598"/>
      <c r="N126" s="598"/>
    </row>
    <row r="127" spans="1:14" x14ac:dyDescent="0.25">
      <c r="B127" s="25"/>
      <c r="C127" s="97"/>
      <c r="D127" s="98"/>
      <c r="E127" s="98"/>
      <c r="F127" s="98"/>
      <c r="G127" s="98"/>
      <c r="H127" s="98"/>
      <c r="K127" s="98"/>
      <c r="L127" s="598"/>
      <c r="M127" s="598"/>
      <c r="N127" s="598"/>
    </row>
    <row r="128" spans="1:14" x14ac:dyDescent="0.25">
      <c r="B128" s="25"/>
      <c r="C128" s="97"/>
      <c r="D128" s="98"/>
      <c r="E128" s="98"/>
      <c r="F128" s="98"/>
      <c r="G128" s="98"/>
      <c r="H128" s="98"/>
      <c r="K128" s="98"/>
      <c r="L128" s="598"/>
      <c r="M128" s="598"/>
      <c r="N128" s="598"/>
    </row>
    <row r="129" spans="2:14" x14ac:dyDescent="0.25">
      <c r="B129" s="25"/>
      <c r="C129" s="97"/>
      <c r="D129" s="98"/>
      <c r="E129" s="98"/>
      <c r="F129" s="98"/>
      <c r="G129" s="98"/>
      <c r="H129" s="98"/>
      <c r="K129" s="98"/>
      <c r="L129" s="598"/>
      <c r="M129" s="598"/>
      <c r="N129" s="598"/>
    </row>
    <row r="130" spans="2:14" x14ac:dyDescent="0.25">
      <c r="B130" s="25"/>
      <c r="C130" s="97"/>
      <c r="D130" s="98"/>
      <c r="E130" s="98"/>
      <c r="F130" s="98"/>
      <c r="G130" s="98"/>
      <c r="H130" s="98"/>
      <c r="K130" s="98"/>
      <c r="L130" s="598"/>
      <c r="M130" s="598"/>
      <c r="N130" s="598"/>
    </row>
    <row r="131" spans="2:14" x14ac:dyDescent="0.25">
      <c r="B131" s="25"/>
      <c r="C131" s="97"/>
      <c r="D131" s="98"/>
      <c r="E131" s="98"/>
      <c r="F131" s="98"/>
      <c r="G131" s="98"/>
      <c r="H131" s="98"/>
      <c r="K131" s="98"/>
      <c r="L131" s="598"/>
      <c r="M131" s="598"/>
      <c r="N131" s="598"/>
    </row>
    <row r="132" spans="2:14" x14ac:dyDescent="0.25">
      <c r="B132" s="25"/>
      <c r="L132" s="598"/>
      <c r="M132" s="598"/>
      <c r="N132" s="598"/>
    </row>
    <row r="133" spans="2:14" x14ac:dyDescent="0.25">
      <c r="B133" s="25"/>
      <c r="L133" s="598"/>
      <c r="M133" s="598"/>
      <c r="N133" s="598"/>
    </row>
    <row r="134" spans="2:14" x14ac:dyDescent="0.25">
      <c r="B134" s="25"/>
      <c r="L134" s="598"/>
      <c r="M134" s="598"/>
      <c r="N134" s="598"/>
    </row>
    <row r="135" spans="2:14" x14ac:dyDescent="0.25">
      <c r="B135" s="25"/>
      <c r="L135" s="598"/>
      <c r="M135" s="598"/>
      <c r="N135" s="598"/>
    </row>
    <row r="136" spans="2:14" x14ac:dyDescent="0.25">
      <c r="B136" s="25"/>
      <c r="L136" s="598"/>
      <c r="M136" s="598"/>
      <c r="N136" s="598"/>
    </row>
    <row r="137" spans="2:14" x14ac:dyDescent="0.25">
      <c r="B137" s="25"/>
      <c r="L137" s="598"/>
      <c r="M137" s="598"/>
      <c r="N137" s="598"/>
    </row>
    <row r="138" spans="2:14" x14ac:dyDescent="0.25">
      <c r="B138" s="25"/>
      <c r="L138" s="598"/>
      <c r="M138" s="598"/>
      <c r="N138" s="598"/>
    </row>
    <row r="139" spans="2:14" x14ac:dyDescent="0.25">
      <c r="B139" s="25"/>
      <c r="L139" s="598"/>
      <c r="M139" s="598"/>
      <c r="N139" s="598"/>
    </row>
    <row r="140" spans="2:14" x14ac:dyDescent="0.25">
      <c r="B140" s="25"/>
      <c r="L140" s="598"/>
      <c r="M140" s="598"/>
      <c r="N140" s="598"/>
    </row>
    <row r="141" spans="2:14" x14ac:dyDescent="0.25">
      <c r="B141" s="25"/>
      <c r="L141" s="598"/>
      <c r="M141" s="598"/>
      <c r="N141" s="598"/>
    </row>
    <row r="142" spans="2:14" x14ac:dyDescent="0.25">
      <c r="B142" s="25"/>
      <c r="L142" s="598"/>
      <c r="M142" s="598"/>
      <c r="N142" s="598"/>
    </row>
    <row r="143" spans="2:14" x14ac:dyDescent="0.25">
      <c r="B143" s="25"/>
      <c r="L143" s="598"/>
      <c r="M143" s="598"/>
      <c r="N143" s="598"/>
    </row>
    <row r="144" spans="2:14" x14ac:dyDescent="0.25">
      <c r="B144" s="25"/>
    </row>
    <row r="145" spans="2:2" x14ac:dyDescent="0.25">
      <c r="B145" s="25"/>
    </row>
  </sheetData>
  <mergeCells count="6">
    <mergeCell ref="C9:F9"/>
    <mergeCell ref="P9:T9"/>
    <mergeCell ref="H9:N9"/>
    <mergeCell ref="H10:J10"/>
    <mergeCell ref="L10:N10"/>
    <mergeCell ref="C10:F10"/>
  </mergeCells>
  <phoneticPr fontId="2" type="noConversion"/>
  <printOptions horizontalCentered="1"/>
  <pageMargins left="0" right="0" top="0.39370078740157483" bottom="0" header="0.51181102362204722" footer="0.51181102362204722"/>
  <pageSetup paperSize="9" scale="52" fitToHeight="0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zoomScale="85" zoomScaleNormal="100" zoomScaleSheetLayoutView="85" workbookViewId="0">
      <selection activeCell="C10" sqref="C10:F10"/>
    </sheetView>
  </sheetViews>
  <sheetFormatPr defaultRowHeight="13.2" x14ac:dyDescent="0.25"/>
  <cols>
    <col min="1" max="1" width="6.44140625" style="13" bestFit="1" customWidth="1"/>
    <col min="2" max="2" width="57.44140625" style="13" customWidth="1"/>
    <col min="3" max="5" width="15.5546875" style="13" customWidth="1"/>
    <col min="6" max="6" width="14.21875" style="13" bestFit="1" customWidth="1"/>
    <col min="7" max="7" width="0.6640625" style="13" customWidth="1"/>
    <col min="8" max="8" width="15.5546875" style="13" customWidth="1"/>
    <col min="9" max="9" width="15.33203125" style="13" customWidth="1"/>
    <col min="10" max="10" width="17" style="13" customWidth="1"/>
    <col min="11" max="11" width="0.6640625" style="13" customWidth="1"/>
    <col min="12" max="12" width="15.5546875" style="13" customWidth="1"/>
    <col min="13" max="13" width="14.109375" style="13" customWidth="1"/>
    <col min="14" max="14" width="14.5546875" style="13" customWidth="1"/>
    <col min="15" max="15" width="0.6640625" style="13" customWidth="1"/>
    <col min="16" max="17" width="15.5546875" style="13" customWidth="1"/>
    <col min="18" max="18" width="15.21875" style="13" bestFit="1" customWidth="1"/>
    <col min="19" max="19" width="15.5546875" style="13" customWidth="1"/>
    <col min="20" max="20" width="7.33203125" style="13" customWidth="1"/>
    <col min="21" max="21" width="2.6640625" style="13" customWidth="1"/>
    <col min="22" max="22" width="3.44140625" style="13" customWidth="1"/>
    <col min="23" max="23" width="14.5546875" bestFit="1" customWidth="1"/>
    <col min="24" max="24" width="15.44140625" bestFit="1" customWidth="1"/>
  </cols>
  <sheetData>
    <row r="1" spans="1:26" ht="24.6" x14ac:dyDescent="0.4">
      <c r="A1" s="226" t="s">
        <v>459</v>
      </c>
      <c r="B1" s="225"/>
      <c r="C1" s="225"/>
      <c r="D1" s="225"/>
      <c r="E1" s="225"/>
      <c r="F1" s="225"/>
      <c r="G1" s="224"/>
      <c r="H1" s="223"/>
      <c r="I1" s="223"/>
      <c r="J1" s="221" t="str">
        <f>+'1. Sülysáp összesen'!J1</f>
        <v>2019. ÉVI ZÁRSZÁMADÁS</v>
      </c>
      <c r="K1" s="227"/>
      <c r="L1" s="227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249"/>
      <c r="W4" s="122"/>
      <c r="X4" s="122"/>
    </row>
    <row r="5" spans="1:26" ht="20.100000000000001" customHeight="1" x14ac:dyDescent="0.3">
      <c r="A5" s="245"/>
      <c r="B5" s="245" t="s">
        <v>373</v>
      </c>
      <c r="C5" s="246">
        <f>+C90</f>
        <v>193219000</v>
      </c>
      <c r="D5" s="246">
        <f>+D90</f>
        <v>193219000</v>
      </c>
      <c r="E5" s="246">
        <f>+E90</f>
        <v>193219000</v>
      </c>
      <c r="F5" s="246">
        <f>+F90</f>
        <v>189820167</v>
      </c>
      <c r="G5" s="246"/>
      <c r="H5" s="246">
        <f>+H90</f>
        <v>91525357</v>
      </c>
      <c r="I5" s="246">
        <f>+I90</f>
        <v>138520194</v>
      </c>
      <c r="J5" s="246">
        <f>+J90</f>
        <v>189366474</v>
      </c>
      <c r="K5" s="89"/>
      <c r="L5" s="639">
        <f t="shared" ref="L5:N6" si="0">IF(H5&gt;0,H5/C5,0)</f>
        <v>0.47368714774426945</v>
      </c>
      <c r="M5" s="639">
        <f t="shared" si="0"/>
        <v>0.71690772646582379</v>
      </c>
      <c r="N5" s="31">
        <f t="shared" si="0"/>
        <v>0.98006135007426809</v>
      </c>
      <c r="O5" s="31"/>
      <c r="P5" s="246">
        <f>+P90</f>
        <v>0</v>
      </c>
      <c r="Q5" s="246">
        <f>+Q90</f>
        <v>0</v>
      </c>
      <c r="R5" s="246">
        <f>+R90</f>
        <v>-3398833</v>
      </c>
      <c r="S5" s="246">
        <f>+S90</f>
        <v>-3398833</v>
      </c>
      <c r="T5" s="132">
        <f>IF(C5=0,0,+S5/C5)</f>
        <v>-1.7590573390815604E-2</v>
      </c>
      <c r="U5" s="118"/>
      <c r="V5" s="195">
        <f>+S5-E5+C5</f>
        <v>-3398833</v>
      </c>
      <c r="W5" s="122"/>
      <c r="X5" s="122"/>
    </row>
    <row r="6" spans="1:26" ht="20.100000000000001" customHeight="1" x14ac:dyDescent="0.3">
      <c r="A6" s="247"/>
      <c r="B6" s="247" t="s">
        <v>372</v>
      </c>
      <c r="C6" s="248">
        <f>+C102</f>
        <v>193219000</v>
      </c>
      <c r="D6" s="248">
        <f>+D102</f>
        <v>193219000</v>
      </c>
      <c r="E6" s="248">
        <f>+E102</f>
        <v>193219000</v>
      </c>
      <c r="F6" s="248">
        <f>+F102</f>
        <v>189820167</v>
      </c>
      <c r="G6" s="248"/>
      <c r="H6" s="248">
        <f>+H102</f>
        <v>94142924</v>
      </c>
      <c r="I6" s="248">
        <f>+I102</f>
        <v>140304647</v>
      </c>
      <c r="J6" s="248">
        <f>+J102</f>
        <v>189820167</v>
      </c>
      <c r="K6" s="67"/>
      <c r="L6" s="639">
        <f t="shared" si="0"/>
        <v>0.48723429890435205</v>
      </c>
      <c r="M6" s="639">
        <f t="shared" si="0"/>
        <v>0.72614311739528725</v>
      </c>
      <c r="N6" s="31">
        <f t="shared" si="0"/>
        <v>0.9824094266091844</v>
      </c>
      <c r="O6" s="31"/>
      <c r="P6" s="248">
        <f>+P102</f>
        <v>0</v>
      </c>
      <c r="Q6" s="248">
        <f>+Q102</f>
        <v>0</v>
      </c>
      <c r="R6" s="248">
        <f>+R102</f>
        <v>-3398833</v>
      </c>
      <c r="S6" s="248">
        <f>+S102</f>
        <v>-3398833</v>
      </c>
      <c r="T6" s="31">
        <f>IF(C6=0,0,+S6/C6)</f>
        <v>-1.7590573390815604E-2</v>
      </c>
      <c r="U6" s="118"/>
      <c r="V6" s="195">
        <f>+S6-E6+C6</f>
        <v>-3398833</v>
      </c>
      <c r="W6" s="122"/>
      <c r="X6" s="122"/>
    </row>
    <row r="7" spans="1:26" ht="20.100000000000001" customHeight="1" x14ac:dyDescent="0.3">
      <c r="A7" s="247"/>
      <c r="B7" s="247" t="s">
        <v>404</v>
      </c>
      <c r="C7" s="248">
        <f>+C6-C5</f>
        <v>0</v>
      </c>
      <c r="D7" s="248">
        <f>+D6-D5</f>
        <v>0</v>
      </c>
      <c r="E7" s="248">
        <f>+E6-E5</f>
        <v>0</v>
      </c>
      <c r="F7" s="248">
        <f>+F6-F5</f>
        <v>0</v>
      </c>
      <c r="G7" s="248"/>
      <c r="H7" s="248">
        <f>+H6-H5</f>
        <v>2617567</v>
      </c>
      <c r="I7" s="248">
        <f>+I6-I5</f>
        <v>1784453</v>
      </c>
      <c r="J7" s="248">
        <f>+J6-J5</f>
        <v>453693</v>
      </c>
      <c r="K7" s="67"/>
      <c r="L7" s="639"/>
      <c r="M7" s="639"/>
      <c r="N7" s="31"/>
      <c r="O7" s="31"/>
      <c r="P7" s="248">
        <f>+P6-P5</f>
        <v>0</v>
      </c>
      <c r="Q7" s="248">
        <f>+Q6-Q5</f>
        <v>0</v>
      </c>
      <c r="R7" s="248">
        <f>+R6-R5</f>
        <v>0</v>
      </c>
      <c r="S7" s="248">
        <f>+S6-S5</f>
        <v>0</v>
      </c>
      <c r="T7" s="31">
        <f>IF(C7=0,0,+S7/C7)</f>
        <v>0</v>
      </c>
      <c r="U7" s="118"/>
      <c r="V7" s="195">
        <f>+S7-E7+C7</f>
        <v>0</v>
      </c>
      <c r="W7" s="122"/>
      <c r="X7" s="122"/>
    </row>
    <row r="8" spans="1:26" x14ac:dyDescent="0.25">
      <c r="A8" s="231"/>
      <c r="B8" s="232"/>
      <c r="C8" s="609"/>
      <c r="D8" s="610"/>
      <c r="E8" s="610"/>
      <c r="F8" s="610"/>
      <c r="G8" s="611"/>
      <c r="H8" s="611"/>
      <c r="I8" s="611"/>
      <c r="J8" s="611"/>
      <c r="K8" s="611"/>
      <c r="L8" s="136"/>
      <c r="M8" s="136"/>
      <c r="N8" s="136"/>
      <c r="O8" s="120"/>
      <c r="P8" s="81"/>
      <c r="Q8" s="81"/>
      <c r="R8" s="81"/>
      <c r="S8" s="81"/>
      <c r="T8" s="151"/>
      <c r="U8" s="120"/>
      <c r="V8" s="192"/>
      <c r="W8" s="122"/>
      <c r="X8" s="122"/>
    </row>
    <row r="9" spans="1:26" ht="15.6" x14ac:dyDescent="0.3">
      <c r="A9" s="62"/>
      <c r="B9" s="233"/>
      <c r="C9" s="1442" t="s">
        <v>403</v>
      </c>
      <c r="D9" s="1450"/>
      <c r="E9" s="1450"/>
      <c r="F9" s="1451"/>
      <c r="G9" s="153"/>
      <c r="H9" s="1442" t="s">
        <v>402</v>
      </c>
      <c r="I9" s="1450"/>
      <c r="J9" s="1450"/>
      <c r="K9" s="1450"/>
      <c r="L9" s="1450"/>
      <c r="M9" s="1450"/>
      <c r="N9" s="1451"/>
      <c r="O9" s="153"/>
      <c r="P9" s="1442" t="s">
        <v>399</v>
      </c>
      <c r="Q9" s="1450"/>
      <c r="R9" s="1450"/>
      <c r="S9" s="1450"/>
      <c r="T9" s="1451"/>
      <c r="U9" s="196"/>
      <c r="V9" s="192"/>
      <c r="W9" s="122"/>
      <c r="X9" s="122"/>
    </row>
    <row r="10" spans="1:26" x14ac:dyDescent="0.25">
      <c r="A10" s="64"/>
      <c r="B10" s="65"/>
      <c r="C10" s="1437" t="s">
        <v>412</v>
      </c>
      <c r="D10" s="1438"/>
      <c r="E10" s="1438"/>
      <c r="F10" s="1439"/>
      <c r="G10" s="133"/>
      <c r="H10" s="1437" t="s">
        <v>412</v>
      </c>
      <c r="I10" s="1438"/>
      <c r="J10" s="1439"/>
      <c r="K10" s="133"/>
      <c r="L10" s="1437" t="s">
        <v>411</v>
      </c>
      <c r="M10" s="1438"/>
      <c r="N10" s="1439"/>
      <c r="O10" s="134"/>
      <c r="P10" s="127">
        <f>+'2. Önk. Bevételek'!P8</f>
        <v>1</v>
      </c>
      <c r="Q10" s="127">
        <f>+'2. Önk. Bevételek'!Q8</f>
        <v>1</v>
      </c>
      <c r="R10" s="127">
        <f>+'2. Önk. Bevételek'!R8</f>
        <v>1</v>
      </c>
      <c r="S10" s="126"/>
      <c r="T10" s="126"/>
      <c r="U10" s="152"/>
      <c r="V10" s="250"/>
      <c r="W10" s="130"/>
      <c r="X10" s="130"/>
      <c r="Y10" s="130"/>
      <c r="Z10" s="130"/>
    </row>
    <row r="11" spans="1:26" ht="71.400000000000006" x14ac:dyDescent="0.25">
      <c r="A11" s="27" t="s">
        <v>368</v>
      </c>
      <c r="B11" s="27" t="s">
        <v>366</v>
      </c>
      <c r="C11" s="517" t="s">
        <v>484</v>
      </c>
      <c r="D11" s="355" t="s">
        <v>485</v>
      </c>
      <c r="E11" s="355" t="s">
        <v>486</v>
      </c>
      <c r="F11" s="518" t="s">
        <v>502</v>
      </c>
      <c r="G11" s="355"/>
      <c r="H11" s="491" t="s">
        <v>487</v>
      </c>
      <c r="I11" s="356" t="s">
        <v>488</v>
      </c>
      <c r="J11" s="356" t="s">
        <v>501</v>
      </c>
      <c r="K11" s="355"/>
      <c r="L11" s="357" t="s">
        <v>489</v>
      </c>
      <c r="M11" s="357" t="s">
        <v>490</v>
      </c>
      <c r="N11" s="492" t="s">
        <v>503</v>
      </c>
      <c r="O11" s="355"/>
      <c r="P11" s="491" t="s">
        <v>491</v>
      </c>
      <c r="Q11" s="356" t="s">
        <v>492</v>
      </c>
      <c r="R11" s="356" t="s">
        <v>510</v>
      </c>
      <c r="S11" s="356" t="s">
        <v>400</v>
      </c>
      <c r="T11" s="492" t="s">
        <v>401</v>
      </c>
      <c r="U11" s="186"/>
      <c r="V11" s="131" t="s">
        <v>405</v>
      </c>
      <c r="W11" s="122"/>
      <c r="X11" s="122"/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13"/>
      <c r="M12" s="614"/>
      <c r="N12" s="16"/>
      <c r="O12" s="68"/>
      <c r="P12" s="68"/>
      <c r="Q12" s="68"/>
      <c r="R12" s="68"/>
      <c r="S12" s="68"/>
      <c r="T12" s="68"/>
      <c r="U12" s="68"/>
      <c r="V12" s="251"/>
    </row>
    <row r="13" spans="1:26" x14ac:dyDescent="0.25">
      <c r="A13" s="285" t="s">
        <v>0</v>
      </c>
      <c r="B13" s="285" t="s">
        <v>3</v>
      </c>
      <c r="C13" s="286">
        <f>SUM(C15:C29)</f>
        <v>145684000</v>
      </c>
      <c r="D13" s="286">
        <f t="shared" ref="D13:J13" si="1">SUM(D15:D29)</f>
        <v>145684000</v>
      </c>
      <c r="E13" s="286">
        <f t="shared" si="1"/>
        <v>145684000</v>
      </c>
      <c r="F13" s="286">
        <f t="shared" si="1"/>
        <v>147646000</v>
      </c>
      <c r="G13" s="286"/>
      <c r="H13" s="286">
        <f t="shared" si="1"/>
        <v>69259443</v>
      </c>
      <c r="I13" s="286">
        <f t="shared" si="1"/>
        <v>106851886</v>
      </c>
      <c r="J13" s="286">
        <f t="shared" si="1"/>
        <v>147322762</v>
      </c>
      <c r="K13" s="286">
        <f>SUM(K15:K28)</f>
        <v>0</v>
      </c>
      <c r="L13" s="615">
        <f>IF(H13&gt;0,H13/C13,0)</f>
        <v>0.47540871337964363</v>
      </c>
      <c r="M13" s="615">
        <f>IF(I13&gt;0,I13/D13,0)</f>
        <v>0.73344969934927651</v>
      </c>
      <c r="N13" s="53">
        <f>IF(J13&gt;0,J13/E13,0)</f>
        <v>1.0112487438565663</v>
      </c>
      <c r="O13" s="286">
        <f>SUM(O15:O28)</f>
        <v>0</v>
      </c>
      <c r="P13" s="286">
        <f>+(D13-C13)*P$10</f>
        <v>0</v>
      </c>
      <c r="Q13" s="286">
        <f>+(E13-D13)*Q$10</f>
        <v>0</v>
      </c>
      <c r="R13" s="286">
        <f>+(F13-E13)*R$10</f>
        <v>1962000</v>
      </c>
      <c r="S13" s="286">
        <f>+P13*P$10+Q13*Q$10+R13*R$10</f>
        <v>1962000</v>
      </c>
      <c r="T13" s="257">
        <f>IF(C13=0,0,+S13/C13)</f>
        <v>1.3467505010845392E-2</v>
      </c>
      <c r="U13" s="120"/>
      <c r="V13" s="192">
        <f>+S13-E13+C13</f>
        <v>1962000</v>
      </c>
      <c r="W13">
        <f>+T13-F13+D13</f>
        <v>-1961999.9865325093</v>
      </c>
    </row>
    <row r="14" spans="1:26" x14ac:dyDescent="0.25">
      <c r="A14" s="15" t="s">
        <v>1</v>
      </c>
      <c r="B14" s="15"/>
      <c r="C14" s="69"/>
      <c r="D14" s="91"/>
      <c r="E14" s="91"/>
      <c r="F14" s="91"/>
      <c r="G14" s="92"/>
      <c r="H14" s="92"/>
      <c r="I14" s="92"/>
      <c r="J14" s="92"/>
      <c r="K14" s="92"/>
      <c r="L14" s="587"/>
      <c r="M14" s="587"/>
      <c r="N14" s="135"/>
      <c r="O14" s="119"/>
      <c r="P14" s="92"/>
      <c r="Q14" s="92"/>
      <c r="R14" s="92"/>
      <c r="S14" s="92">
        <f>+P14*P$10+Q14*Q$10+R14*R$10</f>
        <v>0</v>
      </c>
      <c r="T14" s="151"/>
      <c r="U14" s="119"/>
      <c r="V14" s="192">
        <f>+S14-E14+C14</f>
        <v>0</v>
      </c>
      <c r="W14" s="122"/>
      <c r="X14" s="122"/>
    </row>
    <row r="15" spans="1:26" x14ac:dyDescent="0.25">
      <c r="A15" s="14" t="s">
        <v>2</v>
      </c>
      <c r="B15" s="54" t="s">
        <v>393</v>
      </c>
      <c r="C15" s="144">
        <v>138218000</v>
      </c>
      <c r="D15" s="144">
        <v>138218000</v>
      </c>
      <c r="E15" s="144">
        <v>138218000</v>
      </c>
      <c r="F15" s="144">
        <v>136168000</v>
      </c>
      <c r="G15" s="144"/>
      <c r="H15" s="144">
        <v>67375414</v>
      </c>
      <c r="I15" s="144">
        <v>101955918</v>
      </c>
      <c r="J15" s="144">
        <v>135888658</v>
      </c>
      <c r="K15" s="144"/>
      <c r="L15" s="589">
        <f t="shared" ref="L15:L28" si="2">IF(H15&gt;0,H15/C15,0)</f>
        <v>0.48745759597158111</v>
      </c>
      <c r="M15" s="589">
        <f t="shared" ref="M15:M28" si="3">IF(I15&gt;0,I15/D15,0)</f>
        <v>0.73764573355134644</v>
      </c>
      <c r="N15" s="203">
        <f t="shared" ref="N15:N29" si="4">IF(J15&gt;0,J15/E15,0)</f>
        <v>0.98314733247478625</v>
      </c>
      <c r="O15" s="144"/>
      <c r="P15" s="81">
        <f>+(D15-C15)*P$10</f>
        <v>0</v>
      </c>
      <c r="Q15" s="81">
        <f>+(E15-D15)*Q$10</f>
        <v>0</v>
      </c>
      <c r="R15" s="81">
        <f>+(F15-E15)*R$10</f>
        <v>-2050000</v>
      </c>
      <c r="S15" s="81">
        <f>+P15*P$10+Q15*Q$10+R15*R$10</f>
        <v>-2050000</v>
      </c>
      <c r="T15" s="277">
        <f>IF(C15=0,0,+S15/C15)</f>
        <v>-1.4831642767222793E-2</v>
      </c>
      <c r="U15" s="120"/>
      <c r="V15" s="192">
        <f>+S15-E15+C15</f>
        <v>-2050000</v>
      </c>
      <c r="X15" s="2"/>
    </row>
    <row r="16" spans="1:26" ht="26.4" x14ac:dyDescent="0.25">
      <c r="A16" s="14"/>
      <c r="B16" s="54" t="s">
        <v>392</v>
      </c>
      <c r="C16" s="144">
        <v>0</v>
      </c>
      <c r="D16" s="144">
        <v>0</v>
      </c>
      <c r="E16" s="144"/>
      <c r="F16" s="144">
        <v>3161000</v>
      </c>
      <c r="G16" s="144"/>
      <c r="H16" s="144">
        <v>0</v>
      </c>
      <c r="I16" s="144"/>
      <c r="J16" s="144">
        <v>3160547</v>
      </c>
      <c r="K16" s="144"/>
      <c r="L16" s="589">
        <f t="shared" si="2"/>
        <v>0</v>
      </c>
      <c r="M16" s="589">
        <f t="shared" si="3"/>
        <v>0</v>
      </c>
      <c r="N16" s="203" t="e">
        <f t="shared" si="4"/>
        <v>#DIV/0!</v>
      </c>
      <c r="O16" s="144"/>
      <c r="P16" s="81">
        <f t="shared" ref="P16:P30" si="5">+(D16-C16)*P$10</f>
        <v>0</v>
      </c>
      <c r="Q16" s="81">
        <f t="shared" ref="Q16:Q30" si="6">+(E16-D16)*Q$10</f>
        <v>0</v>
      </c>
      <c r="R16" s="81">
        <f t="shared" ref="R16:R30" si="7">+(F16-E16)*R$10</f>
        <v>3161000</v>
      </c>
      <c r="S16" s="81">
        <f t="shared" ref="S16:S31" si="8">+P16*P$10+Q16*Q$10+R16*R$10</f>
        <v>3161000</v>
      </c>
      <c r="T16" s="277">
        <f t="shared" ref="T16:T30" si="9">IF(C16=0,0,+S16/C16)</f>
        <v>0</v>
      </c>
      <c r="U16" s="120"/>
      <c r="V16" s="192">
        <f t="shared" ref="V16:V30" si="10">+S16-E16+C16</f>
        <v>3161000</v>
      </c>
      <c r="X16" s="2"/>
    </row>
    <row r="17" spans="1:24" x14ac:dyDescent="0.25">
      <c r="A17" s="526" t="s">
        <v>507</v>
      </c>
      <c r="B17" s="479" t="s">
        <v>517</v>
      </c>
      <c r="C17" s="68">
        <v>0</v>
      </c>
      <c r="D17" s="68">
        <v>0</v>
      </c>
      <c r="E17" s="68"/>
      <c r="F17" s="68">
        <v>0</v>
      </c>
      <c r="G17" s="68"/>
      <c r="H17" s="68">
        <v>0</v>
      </c>
      <c r="I17" s="68"/>
      <c r="J17" s="68">
        <v>0</v>
      </c>
      <c r="K17" s="68"/>
      <c r="L17" s="589">
        <f t="shared" si="2"/>
        <v>0</v>
      </c>
      <c r="M17" s="589">
        <f t="shared" si="3"/>
        <v>0</v>
      </c>
      <c r="N17" s="203">
        <f t="shared" si="4"/>
        <v>0</v>
      </c>
      <c r="O17" s="68"/>
      <c r="P17" s="81">
        <f t="shared" si="5"/>
        <v>0</v>
      </c>
      <c r="Q17" s="81">
        <f t="shared" si="6"/>
        <v>0</v>
      </c>
      <c r="R17" s="81">
        <f t="shared" si="7"/>
        <v>0</v>
      </c>
      <c r="S17" s="81">
        <f t="shared" si="8"/>
        <v>0</v>
      </c>
      <c r="T17" s="277">
        <f t="shared" si="9"/>
        <v>0</v>
      </c>
      <c r="U17" s="120"/>
      <c r="V17" s="192">
        <f t="shared" si="10"/>
        <v>0</v>
      </c>
    </row>
    <row r="18" spans="1:24" x14ac:dyDescent="0.25">
      <c r="A18" s="14" t="s">
        <v>10</v>
      </c>
      <c r="B18" s="20" t="s">
        <v>4</v>
      </c>
      <c r="C18" s="68">
        <v>0</v>
      </c>
      <c r="D18" s="68">
        <v>0</v>
      </c>
      <c r="E18" s="68"/>
      <c r="F18" s="68">
        <v>0</v>
      </c>
      <c r="G18" s="68"/>
      <c r="H18" s="68">
        <v>0</v>
      </c>
      <c r="I18" s="68"/>
      <c r="J18" s="68">
        <v>0</v>
      </c>
      <c r="K18" s="68"/>
      <c r="L18" s="589">
        <f t="shared" si="2"/>
        <v>0</v>
      </c>
      <c r="M18" s="589">
        <f t="shared" si="3"/>
        <v>0</v>
      </c>
      <c r="N18" s="203">
        <f t="shared" si="4"/>
        <v>0</v>
      </c>
      <c r="O18" s="68"/>
      <c r="P18" s="81">
        <f t="shared" si="5"/>
        <v>0</v>
      </c>
      <c r="Q18" s="81">
        <f t="shared" si="6"/>
        <v>0</v>
      </c>
      <c r="R18" s="81">
        <f t="shared" si="7"/>
        <v>0</v>
      </c>
      <c r="S18" s="81">
        <f t="shared" si="8"/>
        <v>0</v>
      </c>
      <c r="T18" s="277">
        <f t="shared" si="9"/>
        <v>0</v>
      </c>
      <c r="U18" s="120"/>
      <c r="V18" s="192">
        <f t="shared" si="10"/>
        <v>0</v>
      </c>
    </row>
    <row r="19" spans="1:24" x14ac:dyDescent="0.25">
      <c r="A19" s="14" t="s">
        <v>380</v>
      </c>
      <c r="B19" s="20" t="s">
        <v>5</v>
      </c>
      <c r="C19" s="144">
        <v>1517000</v>
      </c>
      <c r="D19" s="68">
        <v>1517000</v>
      </c>
      <c r="E19" s="68">
        <v>1517000</v>
      </c>
      <c r="F19" s="68">
        <v>1517000</v>
      </c>
      <c r="G19" s="68"/>
      <c r="H19" s="68">
        <v>0</v>
      </c>
      <c r="I19" s="68">
        <v>931770</v>
      </c>
      <c r="J19" s="68">
        <v>1516410</v>
      </c>
      <c r="K19" s="68"/>
      <c r="L19" s="589">
        <f t="shared" si="2"/>
        <v>0</v>
      </c>
      <c r="M19" s="589">
        <f t="shared" si="3"/>
        <v>0.61421885299934076</v>
      </c>
      <c r="N19" s="203">
        <f t="shared" si="4"/>
        <v>0.99961107448912323</v>
      </c>
      <c r="O19" s="68"/>
      <c r="P19" s="81">
        <f t="shared" si="5"/>
        <v>0</v>
      </c>
      <c r="Q19" s="81">
        <f t="shared" si="6"/>
        <v>0</v>
      </c>
      <c r="R19" s="81">
        <f t="shared" si="7"/>
        <v>0</v>
      </c>
      <c r="S19" s="81">
        <f t="shared" si="8"/>
        <v>0</v>
      </c>
      <c r="T19" s="277">
        <f t="shared" si="9"/>
        <v>0</v>
      </c>
      <c r="U19" s="120"/>
      <c r="V19" s="192">
        <f t="shared" si="10"/>
        <v>0</v>
      </c>
      <c r="W19" s="2"/>
    </row>
    <row r="20" spans="1:24" x14ac:dyDescent="0.25">
      <c r="A20" s="14" t="s">
        <v>11</v>
      </c>
      <c r="B20" s="20" t="s">
        <v>6</v>
      </c>
      <c r="C20" s="144">
        <f>43*5000*12</f>
        <v>2580000</v>
      </c>
      <c r="D20" s="68">
        <v>2580000</v>
      </c>
      <c r="E20" s="68">
        <f>905901+1674099</f>
        <v>2580000</v>
      </c>
      <c r="F20" s="68">
        <v>453</v>
      </c>
      <c r="G20" s="68"/>
      <c r="H20" s="68">
        <v>0</v>
      </c>
      <c r="I20" s="68">
        <v>1674099</v>
      </c>
      <c r="J20" s="68">
        <v>0</v>
      </c>
      <c r="K20" s="68"/>
      <c r="L20" s="589">
        <f t="shared" si="2"/>
        <v>0</v>
      </c>
      <c r="M20" s="589">
        <f t="shared" si="3"/>
        <v>0.64887558139534884</v>
      </c>
      <c r="N20" s="203">
        <f t="shared" si="4"/>
        <v>0</v>
      </c>
      <c r="O20" s="68"/>
      <c r="P20" s="81">
        <f t="shared" si="5"/>
        <v>0</v>
      </c>
      <c r="Q20" s="81">
        <f t="shared" si="6"/>
        <v>0</v>
      </c>
      <c r="R20" s="81">
        <f t="shared" si="7"/>
        <v>-2579547</v>
      </c>
      <c r="S20" s="81">
        <f t="shared" si="8"/>
        <v>-2579547</v>
      </c>
      <c r="T20" s="277">
        <f t="shared" si="9"/>
        <v>-0.99982441860465121</v>
      </c>
      <c r="U20" s="120"/>
      <c r="V20" s="192">
        <f t="shared" si="10"/>
        <v>-2579547</v>
      </c>
      <c r="W20" s="2"/>
    </row>
    <row r="21" spans="1:24" x14ac:dyDescent="0.25">
      <c r="A21" s="14" t="s">
        <v>12</v>
      </c>
      <c r="B21" s="20" t="s">
        <v>7</v>
      </c>
      <c r="C21" s="68">
        <f>43*25000</f>
        <v>1075000</v>
      </c>
      <c r="D21" s="68">
        <v>455000</v>
      </c>
      <c r="E21" s="68">
        <v>205000</v>
      </c>
      <c r="F21" s="68"/>
      <c r="G21" s="68"/>
      <c r="H21" s="68">
        <v>0</v>
      </c>
      <c r="I21" s="68"/>
      <c r="J21" s="68">
        <v>0</v>
      </c>
      <c r="K21" s="68"/>
      <c r="L21" s="589">
        <f t="shared" si="2"/>
        <v>0</v>
      </c>
      <c r="M21" s="589">
        <f t="shared" si="3"/>
        <v>0</v>
      </c>
      <c r="N21" s="203">
        <f t="shared" si="4"/>
        <v>0</v>
      </c>
      <c r="O21" s="68"/>
      <c r="P21" s="81">
        <f t="shared" si="5"/>
        <v>-620000</v>
      </c>
      <c r="Q21" s="81">
        <f t="shared" si="6"/>
        <v>-250000</v>
      </c>
      <c r="R21" s="81">
        <f t="shared" si="7"/>
        <v>-205000</v>
      </c>
      <c r="S21" s="81">
        <f t="shared" si="8"/>
        <v>-1075000</v>
      </c>
      <c r="T21" s="277">
        <f t="shared" si="9"/>
        <v>-1</v>
      </c>
      <c r="U21" s="120"/>
      <c r="V21" s="192">
        <f t="shared" si="10"/>
        <v>-205000</v>
      </c>
    </row>
    <row r="22" spans="1:24" x14ac:dyDescent="0.25">
      <c r="A22" s="14" t="s">
        <v>13</v>
      </c>
      <c r="B22" s="20" t="s">
        <v>8</v>
      </c>
      <c r="C22" s="68">
        <v>700000</v>
      </c>
      <c r="D22" s="68">
        <v>700000</v>
      </c>
      <c r="E22" s="68">
        <v>700000</v>
      </c>
      <c r="F22" s="68">
        <v>375000</v>
      </c>
      <c r="G22" s="68"/>
      <c r="H22" s="68">
        <v>175020</v>
      </c>
      <c r="I22" s="68">
        <v>276390</v>
      </c>
      <c r="J22" s="68">
        <v>348255</v>
      </c>
      <c r="K22" s="68"/>
      <c r="L22" s="589">
        <f t="shared" si="2"/>
        <v>0.25002857142857143</v>
      </c>
      <c r="M22" s="589">
        <f t="shared" si="3"/>
        <v>0.39484285714285716</v>
      </c>
      <c r="N22" s="203">
        <f t="shared" si="4"/>
        <v>0.49750714285714287</v>
      </c>
      <c r="O22" s="68"/>
      <c r="P22" s="81">
        <f t="shared" si="5"/>
        <v>0</v>
      </c>
      <c r="Q22" s="81">
        <f t="shared" si="6"/>
        <v>0</v>
      </c>
      <c r="R22" s="81">
        <f t="shared" si="7"/>
        <v>-325000</v>
      </c>
      <c r="S22" s="81">
        <f t="shared" si="8"/>
        <v>-325000</v>
      </c>
      <c r="T22" s="277">
        <f t="shared" si="9"/>
        <v>-0.4642857142857143</v>
      </c>
      <c r="U22" s="120"/>
      <c r="V22" s="192">
        <f t="shared" si="10"/>
        <v>-325000</v>
      </c>
      <c r="X22" s="37"/>
    </row>
    <row r="23" spans="1:24" x14ac:dyDescent="0.25">
      <c r="A23" s="14" t="s">
        <v>14</v>
      </c>
      <c r="B23" s="20" t="s">
        <v>9</v>
      </c>
      <c r="C23" s="68"/>
      <c r="D23" s="68"/>
      <c r="E23" s="68"/>
      <c r="F23" s="68"/>
      <c r="G23" s="68"/>
      <c r="H23" s="68"/>
      <c r="I23" s="68"/>
      <c r="J23" s="68"/>
      <c r="K23" s="68"/>
      <c r="L23" s="589">
        <f t="shared" si="2"/>
        <v>0</v>
      </c>
      <c r="M23" s="589">
        <f t="shared" si="3"/>
        <v>0</v>
      </c>
      <c r="N23" s="203">
        <f t="shared" si="4"/>
        <v>0</v>
      </c>
      <c r="O23" s="68"/>
      <c r="P23" s="81">
        <f t="shared" si="5"/>
        <v>0</v>
      </c>
      <c r="Q23" s="81">
        <f t="shared" si="6"/>
        <v>0</v>
      </c>
      <c r="R23" s="81">
        <f t="shared" si="7"/>
        <v>0</v>
      </c>
      <c r="S23" s="81">
        <f t="shared" si="8"/>
        <v>0</v>
      </c>
      <c r="T23" s="277">
        <f t="shared" si="9"/>
        <v>0</v>
      </c>
      <c r="U23" s="120"/>
      <c r="V23" s="192">
        <f t="shared" si="10"/>
        <v>0</v>
      </c>
    </row>
    <row r="24" spans="1:24" x14ac:dyDescent="0.25">
      <c r="A24" s="526" t="s">
        <v>522</v>
      </c>
      <c r="B24" s="479" t="s">
        <v>523</v>
      </c>
      <c r="C24" s="68">
        <v>1094000</v>
      </c>
      <c r="D24" s="68">
        <v>1594000</v>
      </c>
      <c r="E24" s="68">
        <v>1594000</v>
      </c>
      <c r="F24" s="68">
        <f>1910547+3644000</f>
        <v>5554547</v>
      </c>
      <c r="G24" s="68"/>
      <c r="H24" s="68">
        <v>1123289</v>
      </c>
      <c r="I24" s="68">
        <v>1331989</v>
      </c>
      <c r="J24" s="68">
        <f>1910547+3639122</f>
        <v>5549669</v>
      </c>
      <c r="K24" s="68"/>
      <c r="L24" s="589">
        <f t="shared" si="2"/>
        <v>1.02677239488117</v>
      </c>
      <c r="M24" s="589">
        <f t="shared" si="3"/>
        <v>0.83562672521957337</v>
      </c>
      <c r="N24" s="203">
        <f t="shared" si="4"/>
        <v>3.4815991217063988</v>
      </c>
      <c r="O24" s="68"/>
      <c r="P24" s="81">
        <f t="shared" si="5"/>
        <v>500000</v>
      </c>
      <c r="Q24" s="81">
        <f t="shared" si="6"/>
        <v>0</v>
      </c>
      <c r="R24" s="81">
        <f t="shared" si="7"/>
        <v>3960547</v>
      </c>
      <c r="S24" s="81">
        <f t="shared" si="8"/>
        <v>4460547</v>
      </c>
      <c r="T24" s="277">
        <f t="shared" si="9"/>
        <v>4.0772824497257769</v>
      </c>
      <c r="U24" s="120"/>
      <c r="V24" s="192">
        <f t="shared" si="10"/>
        <v>3960547</v>
      </c>
    </row>
    <row r="25" spans="1:24" x14ac:dyDescent="0.25">
      <c r="A25" s="14" t="s">
        <v>15</v>
      </c>
      <c r="B25" s="20"/>
      <c r="C25" s="68"/>
      <c r="D25" s="68"/>
      <c r="E25" s="68"/>
      <c r="F25" s="68"/>
      <c r="G25" s="68"/>
      <c r="H25" s="68"/>
      <c r="I25" s="68"/>
      <c r="J25" s="68"/>
      <c r="K25" s="68"/>
      <c r="L25" s="589">
        <f t="shared" si="2"/>
        <v>0</v>
      </c>
      <c r="M25" s="589">
        <f t="shared" si="3"/>
        <v>0</v>
      </c>
      <c r="N25" s="203">
        <f t="shared" si="4"/>
        <v>0</v>
      </c>
      <c r="O25" s="68"/>
      <c r="P25" s="81">
        <f t="shared" si="5"/>
        <v>0</v>
      </c>
      <c r="Q25" s="81">
        <f t="shared" si="6"/>
        <v>0</v>
      </c>
      <c r="R25" s="81">
        <f t="shared" si="7"/>
        <v>0</v>
      </c>
      <c r="S25" s="81">
        <f t="shared" si="8"/>
        <v>0</v>
      </c>
      <c r="T25" s="277">
        <f t="shared" si="9"/>
        <v>0</v>
      </c>
      <c r="U25" s="120"/>
      <c r="V25" s="192">
        <f t="shared" si="10"/>
        <v>0</v>
      </c>
      <c r="W25" s="2"/>
    </row>
    <row r="26" spans="1:24" x14ac:dyDescent="0.25">
      <c r="A26" s="14" t="s">
        <v>16</v>
      </c>
      <c r="B26" s="20" t="s">
        <v>17</v>
      </c>
      <c r="C26" s="68">
        <v>0</v>
      </c>
      <c r="D26" s="68">
        <v>0</v>
      </c>
      <c r="E26" s="68">
        <v>0</v>
      </c>
      <c r="F26" s="68">
        <v>0</v>
      </c>
      <c r="G26" s="68"/>
      <c r="H26" s="68">
        <v>0</v>
      </c>
      <c r="I26" s="68">
        <v>0</v>
      </c>
      <c r="J26" s="68">
        <v>0</v>
      </c>
      <c r="K26" s="68"/>
      <c r="L26" s="589">
        <f t="shared" si="2"/>
        <v>0</v>
      </c>
      <c r="M26" s="589">
        <f t="shared" si="3"/>
        <v>0</v>
      </c>
      <c r="N26" s="203">
        <f t="shared" si="4"/>
        <v>0</v>
      </c>
      <c r="O26" s="68"/>
      <c r="P26" s="81">
        <f t="shared" si="5"/>
        <v>0</v>
      </c>
      <c r="Q26" s="81">
        <f t="shared" si="6"/>
        <v>0</v>
      </c>
      <c r="R26" s="81">
        <f t="shared" si="7"/>
        <v>0</v>
      </c>
      <c r="S26" s="81">
        <f t="shared" si="8"/>
        <v>0</v>
      </c>
      <c r="T26" s="277">
        <f t="shared" si="9"/>
        <v>0</v>
      </c>
      <c r="U26" s="120"/>
      <c r="V26" s="192">
        <f t="shared" si="10"/>
        <v>0</v>
      </c>
    </row>
    <row r="27" spans="1:24" x14ac:dyDescent="0.25">
      <c r="A27" s="14" t="s">
        <v>18</v>
      </c>
      <c r="B27" s="20" t="s">
        <v>19</v>
      </c>
      <c r="C27" s="144">
        <v>500000</v>
      </c>
      <c r="D27" s="68">
        <v>620000</v>
      </c>
      <c r="E27" s="68">
        <v>870000</v>
      </c>
      <c r="F27" s="68">
        <v>870000</v>
      </c>
      <c r="G27" s="68"/>
      <c r="H27" s="68">
        <v>585720</v>
      </c>
      <c r="I27" s="68">
        <v>681720</v>
      </c>
      <c r="J27" s="68">
        <v>859223</v>
      </c>
      <c r="K27" s="68"/>
      <c r="L27" s="589">
        <f t="shared" si="2"/>
        <v>1.17144</v>
      </c>
      <c r="M27" s="589">
        <f t="shared" si="3"/>
        <v>1.0995483870967742</v>
      </c>
      <c r="N27" s="203">
        <f t="shared" si="4"/>
        <v>0.98761264367816093</v>
      </c>
      <c r="O27" s="68"/>
      <c r="P27" s="81">
        <f t="shared" si="5"/>
        <v>120000</v>
      </c>
      <c r="Q27" s="81">
        <f t="shared" si="6"/>
        <v>250000</v>
      </c>
      <c r="R27" s="81">
        <f t="shared" si="7"/>
        <v>0</v>
      </c>
      <c r="S27" s="81">
        <f t="shared" si="8"/>
        <v>370000</v>
      </c>
      <c r="T27" s="277">
        <f t="shared" si="9"/>
        <v>0.74</v>
      </c>
      <c r="U27" s="120"/>
      <c r="V27" s="192">
        <f t="shared" si="10"/>
        <v>0</v>
      </c>
      <c r="W27" s="2"/>
    </row>
    <row r="28" spans="1:24" x14ac:dyDescent="0.25">
      <c r="A28" s="14" t="s">
        <v>20</v>
      </c>
      <c r="B28" s="20" t="s">
        <v>21</v>
      </c>
      <c r="C28" s="68">
        <v>0</v>
      </c>
      <c r="D28" s="68">
        <v>0</v>
      </c>
      <c r="E28" s="68">
        <v>0</v>
      </c>
      <c r="F28" s="68">
        <v>0</v>
      </c>
      <c r="G28" s="68"/>
      <c r="H28" s="68">
        <v>0</v>
      </c>
      <c r="I28" s="68">
        <v>0</v>
      </c>
      <c r="J28" s="68">
        <v>0</v>
      </c>
      <c r="K28" s="68"/>
      <c r="L28" s="589">
        <f t="shared" si="2"/>
        <v>0</v>
      </c>
      <c r="M28" s="589">
        <f t="shared" si="3"/>
        <v>0</v>
      </c>
      <c r="N28" s="203">
        <f t="shared" si="4"/>
        <v>0</v>
      </c>
      <c r="O28" s="68"/>
      <c r="P28" s="81">
        <f t="shared" si="5"/>
        <v>0</v>
      </c>
      <c r="Q28" s="81">
        <f t="shared" si="6"/>
        <v>0</v>
      </c>
      <c r="R28" s="81">
        <f t="shared" si="7"/>
        <v>0</v>
      </c>
      <c r="S28" s="81">
        <f t="shared" si="8"/>
        <v>0</v>
      </c>
      <c r="T28" s="277">
        <f t="shared" si="9"/>
        <v>0</v>
      </c>
      <c r="U28" s="120"/>
      <c r="V28" s="192">
        <f t="shared" si="10"/>
        <v>0</v>
      </c>
    </row>
    <row r="29" spans="1:24" x14ac:dyDescent="0.25">
      <c r="A29" s="14"/>
      <c r="B29" s="14"/>
      <c r="C29" s="68"/>
      <c r="D29" s="68"/>
      <c r="E29" s="68"/>
      <c r="F29" s="68"/>
      <c r="G29" s="68"/>
      <c r="H29" s="68"/>
      <c r="I29" s="68"/>
      <c r="J29" s="68"/>
      <c r="K29" s="68"/>
      <c r="L29" s="616"/>
      <c r="M29" s="617"/>
      <c r="N29" s="202">
        <f t="shared" si="4"/>
        <v>0</v>
      </c>
      <c r="O29" s="68"/>
      <c r="P29" s="81">
        <f t="shared" si="5"/>
        <v>0</v>
      </c>
      <c r="Q29" s="81">
        <f t="shared" si="6"/>
        <v>0</v>
      </c>
      <c r="R29" s="81">
        <f t="shared" si="7"/>
        <v>0</v>
      </c>
      <c r="S29" s="81">
        <f t="shared" si="8"/>
        <v>0</v>
      </c>
      <c r="T29" s="277">
        <f t="shared" si="9"/>
        <v>0</v>
      </c>
      <c r="U29" s="120"/>
      <c r="V29" s="192">
        <f t="shared" si="10"/>
        <v>0</v>
      </c>
    </row>
    <row r="30" spans="1:24" x14ac:dyDescent="0.25">
      <c r="A30" s="7" t="s">
        <v>22</v>
      </c>
      <c r="B30" s="5" t="s">
        <v>23</v>
      </c>
      <c r="C30" s="67">
        <f>+C31</f>
        <v>30000000</v>
      </c>
      <c r="D30" s="67">
        <f>SUM(D31)</f>
        <v>30000000</v>
      </c>
      <c r="E30" s="67">
        <f>SUM(E31)</f>
        <v>30000000</v>
      </c>
      <c r="F30" s="67">
        <f>SUM(F31)</f>
        <v>28038000</v>
      </c>
      <c r="G30" s="67"/>
      <c r="H30" s="67">
        <f>SUM(H31)</f>
        <v>14696128</v>
      </c>
      <c r="I30" s="67">
        <f>SUM(I31)</f>
        <v>21528393</v>
      </c>
      <c r="J30" s="67">
        <f>SUM(J31)</f>
        <v>28037568</v>
      </c>
      <c r="K30" s="67"/>
      <c r="L30" s="618"/>
      <c r="M30" s="619">
        <f>+I30/E30</f>
        <v>0.7176131</v>
      </c>
      <c r="N30" s="204"/>
      <c r="O30" s="67"/>
      <c r="P30" s="67">
        <f t="shared" si="5"/>
        <v>0</v>
      </c>
      <c r="Q30" s="67">
        <f t="shared" si="6"/>
        <v>0</v>
      </c>
      <c r="R30" s="67">
        <f t="shared" si="7"/>
        <v>-1962000</v>
      </c>
      <c r="S30" s="67">
        <f t="shared" si="8"/>
        <v>-1962000</v>
      </c>
      <c r="T30" s="257">
        <f t="shared" si="9"/>
        <v>-6.54E-2</v>
      </c>
      <c r="U30" s="67"/>
      <c r="V30" s="252">
        <f t="shared" si="10"/>
        <v>-1962000</v>
      </c>
    </row>
    <row r="31" spans="1:24" x14ac:dyDescent="0.25">
      <c r="A31" s="14"/>
      <c r="B31" s="20" t="s">
        <v>24</v>
      </c>
      <c r="C31" s="68">
        <v>30000000</v>
      </c>
      <c r="D31" s="68">
        <v>30000000</v>
      </c>
      <c r="E31" s="68">
        <v>30000000</v>
      </c>
      <c r="F31" s="68">
        <v>28038000</v>
      </c>
      <c r="G31" s="68"/>
      <c r="H31" s="68">
        <v>14696128</v>
      </c>
      <c r="I31" s="68">
        <v>21528393</v>
      </c>
      <c r="J31" s="68">
        <v>28037568</v>
      </c>
      <c r="K31" s="68"/>
      <c r="L31" s="589">
        <f>IF(H31&gt;0,H31/C31,0)</f>
        <v>0.48987093333333331</v>
      </c>
      <c r="M31" s="589">
        <f>IF(I31&gt;0,I31/D31,0)</f>
        <v>0.7176131</v>
      </c>
      <c r="N31" s="203">
        <f>IF(J31&gt;0,J31/E31,0)</f>
        <v>0.93458560000000002</v>
      </c>
      <c r="O31" s="68"/>
      <c r="P31" s="81">
        <f>+(D31-C31)*P$10</f>
        <v>0</v>
      </c>
      <c r="Q31" s="81">
        <f>+(E31-D31)*Q$10</f>
        <v>0</v>
      </c>
      <c r="R31" s="81">
        <f>+(F31-E31)*R$10</f>
        <v>-1962000</v>
      </c>
      <c r="S31" s="81">
        <f t="shared" si="8"/>
        <v>-1962000</v>
      </c>
      <c r="T31" s="277">
        <f>IF(C31=0,0,+S31/C31)</f>
        <v>-6.54E-2</v>
      </c>
      <c r="U31" s="120"/>
      <c r="V31" s="192">
        <f>+S31-E31+C31</f>
        <v>-1962000</v>
      </c>
    </row>
    <row r="32" spans="1:24" x14ac:dyDescent="0.25">
      <c r="A32" s="14"/>
      <c r="B32" s="14"/>
      <c r="C32" s="68"/>
      <c r="D32" s="68"/>
      <c r="E32" s="68"/>
      <c r="F32" s="68"/>
      <c r="G32" s="68"/>
      <c r="H32" s="68"/>
      <c r="I32" s="68"/>
      <c r="J32" s="68"/>
      <c r="K32" s="68"/>
      <c r="L32" s="616"/>
      <c r="M32" s="617"/>
      <c r="N32" s="202"/>
      <c r="O32" s="68"/>
      <c r="P32" s="68"/>
      <c r="Q32" s="68"/>
      <c r="R32" s="68"/>
      <c r="S32" s="68"/>
      <c r="T32" s="258"/>
      <c r="U32" s="68"/>
      <c r="V32" s="251"/>
    </row>
    <row r="33" spans="1:24" x14ac:dyDescent="0.25">
      <c r="A33" s="7" t="s">
        <v>25</v>
      </c>
      <c r="B33" s="5" t="s">
        <v>26</v>
      </c>
      <c r="C33" s="67">
        <f>+C34+C42+C49+C67+C72</f>
        <v>15885000</v>
      </c>
      <c r="D33" s="67">
        <f>+D34+D42+D49+D67+D72</f>
        <v>15885000</v>
      </c>
      <c r="E33" s="67">
        <f>+E34+E42+E49+E67+E72</f>
        <v>15885000</v>
      </c>
      <c r="F33" s="67">
        <f>+F34+F42+F49+F67+F72</f>
        <v>12683714</v>
      </c>
      <c r="G33" s="67"/>
      <c r="H33" s="67">
        <f>+H34+H42+H49+H67+H72</f>
        <v>6272583</v>
      </c>
      <c r="I33" s="67">
        <f>+I34+I42+I49+I67+I72</f>
        <v>8740932</v>
      </c>
      <c r="J33" s="67">
        <f>+J34+J42+J49+J67+J72</f>
        <v>12553691</v>
      </c>
      <c r="K33" s="67"/>
      <c r="L33" s="618"/>
      <c r="M33" s="619">
        <f>+I33/E33</f>
        <v>0.55026326723323893</v>
      </c>
      <c r="N33" s="204"/>
      <c r="O33" s="67"/>
      <c r="P33" s="67">
        <f>+(D33-C33)*P$10</f>
        <v>0</v>
      </c>
      <c r="Q33" s="67">
        <f>+(E33-D33)*Q$10</f>
        <v>0</v>
      </c>
      <c r="R33" s="67">
        <f>+(F33-E33)*R$10</f>
        <v>-3201286</v>
      </c>
      <c r="S33" s="67">
        <f t="shared" ref="S33:S82" si="11">+P33*P$10+Q33*Q$10+R33*R$10</f>
        <v>-3201286</v>
      </c>
      <c r="T33" s="257">
        <f>IF(C33=0,0,+S33/C33)</f>
        <v>-0.20152886370790055</v>
      </c>
      <c r="U33" s="67"/>
      <c r="V33" s="252">
        <f>+S33-E33+C33</f>
        <v>-3201286</v>
      </c>
    </row>
    <row r="34" spans="1:24" x14ac:dyDescent="0.25">
      <c r="A34" s="38" t="s">
        <v>27</v>
      </c>
      <c r="B34" s="39" t="s">
        <v>28</v>
      </c>
      <c r="C34" s="95">
        <f>SUM(C35:C41)</f>
        <v>4510000</v>
      </c>
      <c r="D34" s="95">
        <f>SUM(D35:D41)</f>
        <v>4510000</v>
      </c>
      <c r="E34" s="95">
        <f>SUM(E35:E41)</f>
        <v>4510000</v>
      </c>
      <c r="F34" s="95">
        <f>SUM(F35:F41)</f>
        <v>3867596</v>
      </c>
      <c r="G34" s="95"/>
      <c r="H34" s="95">
        <f>SUM(H35:H41)</f>
        <v>1831715</v>
      </c>
      <c r="I34" s="95">
        <f>SUM(I35:I41)</f>
        <v>2349903</v>
      </c>
      <c r="J34" s="95">
        <f>SUM(J35:J41)</f>
        <v>3811017</v>
      </c>
      <c r="K34" s="95"/>
      <c r="L34" s="620">
        <f t="shared" ref="L34:L65" si="12">IF(H34&gt;0,H34/C34,0)</f>
        <v>0.40614523281596454</v>
      </c>
      <c r="M34" s="621">
        <f t="shared" ref="M34:M65" si="13">IF(I34&gt;0,I34/D34,0)</f>
        <v>0.52104279379157425</v>
      </c>
      <c r="N34" s="205">
        <f t="shared" ref="N34:N65" si="14">IF(J34&gt;0,J34/E34,0)</f>
        <v>0.84501485587583147</v>
      </c>
      <c r="O34" s="95"/>
      <c r="P34" s="95">
        <f t="shared" ref="P34:P84" si="15">+(D34-C34)*P$10</f>
        <v>0</v>
      </c>
      <c r="Q34" s="95">
        <f t="shared" ref="Q34:Q84" si="16">+(E34-D34)*Q$10</f>
        <v>0</v>
      </c>
      <c r="R34" s="95">
        <f t="shared" ref="R34:R84" si="17">+(F34-E34)*R$10</f>
        <v>-642404</v>
      </c>
      <c r="S34" s="95">
        <f t="shared" si="11"/>
        <v>-642404</v>
      </c>
      <c r="T34" s="259">
        <f t="shared" ref="T34:T84" si="18">IF(C34=0,0,+S34/C34)</f>
        <v>-0.14243991130820399</v>
      </c>
      <c r="U34" s="95"/>
      <c r="V34" s="253">
        <f t="shared" ref="V34:V84" si="19">+S34-E34+C34</f>
        <v>-642404</v>
      </c>
    </row>
    <row r="35" spans="1:24" x14ac:dyDescent="0.25">
      <c r="A35" s="14" t="s">
        <v>29</v>
      </c>
      <c r="B35" s="20" t="s">
        <v>31</v>
      </c>
      <c r="C35" s="68">
        <f>300000</f>
        <v>300000</v>
      </c>
      <c r="D35" s="68">
        <v>300000</v>
      </c>
      <c r="E35" s="68">
        <v>300000</v>
      </c>
      <c r="F35" s="68">
        <v>257596</v>
      </c>
      <c r="G35" s="68"/>
      <c r="H35" s="68">
        <v>110001</v>
      </c>
      <c r="I35" s="68">
        <v>169596</v>
      </c>
      <c r="J35" s="68">
        <v>224784</v>
      </c>
      <c r="K35" s="68"/>
      <c r="L35" s="616">
        <f t="shared" si="12"/>
        <v>0.36667</v>
      </c>
      <c r="M35" s="622">
        <f t="shared" si="13"/>
        <v>0.56532000000000004</v>
      </c>
      <c r="N35" s="202">
        <f t="shared" si="14"/>
        <v>0.74927999999999995</v>
      </c>
      <c r="O35" s="68"/>
      <c r="P35" s="68">
        <f t="shared" si="15"/>
        <v>0</v>
      </c>
      <c r="Q35" s="68">
        <f t="shared" si="16"/>
        <v>0</v>
      </c>
      <c r="R35" s="68">
        <f t="shared" si="17"/>
        <v>-42404</v>
      </c>
      <c r="S35" s="68">
        <f t="shared" si="11"/>
        <v>-42404</v>
      </c>
      <c r="T35" s="258">
        <f t="shared" si="18"/>
        <v>-0.14134666666666668</v>
      </c>
      <c r="U35" s="68"/>
      <c r="V35" s="251">
        <f t="shared" si="19"/>
        <v>-42404</v>
      </c>
    </row>
    <row r="36" spans="1:24" x14ac:dyDescent="0.25">
      <c r="A36" s="14"/>
      <c r="B36" s="20" t="s">
        <v>85</v>
      </c>
      <c r="C36" s="68">
        <v>0</v>
      </c>
      <c r="D36" s="68"/>
      <c r="E36" s="68"/>
      <c r="F36" s="68"/>
      <c r="G36" s="68"/>
      <c r="H36" s="68"/>
      <c r="I36" s="68"/>
      <c r="J36" s="68"/>
      <c r="K36" s="68"/>
      <c r="L36" s="616">
        <f t="shared" si="12"/>
        <v>0</v>
      </c>
      <c r="M36" s="617">
        <f t="shared" si="13"/>
        <v>0</v>
      </c>
      <c r="N36" s="202">
        <f t="shared" si="14"/>
        <v>0</v>
      </c>
      <c r="O36" s="68"/>
      <c r="P36" s="68">
        <f t="shared" si="15"/>
        <v>0</v>
      </c>
      <c r="Q36" s="68">
        <f t="shared" si="16"/>
        <v>0</v>
      </c>
      <c r="R36" s="68">
        <f t="shared" si="17"/>
        <v>0</v>
      </c>
      <c r="S36" s="68">
        <f t="shared" si="11"/>
        <v>0</v>
      </c>
      <c r="T36" s="258">
        <f t="shared" si="18"/>
        <v>0</v>
      </c>
      <c r="U36" s="68"/>
      <c r="V36" s="251">
        <f t="shared" si="19"/>
        <v>0</v>
      </c>
    </row>
    <row r="37" spans="1:24" x14ac:dyDescent="0.25">
      <c r="A37" s="14" t="s">
        <v>30</v>
      </c>
      <c r="B37" s="20" t="s">
        <v>32</v>
      </c>
      <c r="C37" s="68">
        <v>4210000</v>
      </c>
      <c r="D37" s="68">
        <v>4210000</v>
      </c>
      <c r="E37" s="68">
        <v>4210000</v>
      </c>
      <c r="F37" s="68">
        <v>3610000</v>
      </c>
      <c r="G37" s="68"/>
      <c r="H37" s="68">
        <v>1721714</v>
      </c>
      <c r="I37" s="68">
        <v>2180307</v>
      </c>
      <c r="J37" s="68">
        <v>3586233</v>
      </c>
      <c r="K37" s="68"/>
      <c r="L37" s="616">
        <f t="shared" si="12"/>
        <v>0.40895819477434681</v>
      </c>
      <c r="M37" s="622">
        <f t="shared" si="13"/>
        <v>0.51788764845605706</v>
      </c>
      <c r="N37" s="202">
        <f t="shared" si="14"/>
        <v>0.85183681710213777</v>
      </c>
      <c r="O37" s="68"/>
      <c r="P37" s="68">
        <f t="shared" si="15"/>
        <v>0</v>
      </c>
      <c r="Q37" s="68">
        <f t="shared" si="16"/>
        <v>0</v>
      </c>
      <c r="R37" s="68">
        <f t="shared" si="17"/>
        <v>-600000</v>
      </c>
      <c r="S37" s="68">
        <f t="shared" si="11"/>
        <v>-600000</v>
      </c>
      <c r="T37" s="258">
        <f t="shared" si="18"/>
        <v>-0.14251781472684086</v>
      </c>
      <c r="U37" s="68"/>
      <c r="V37" s="251">
        <f t="shared" si="19"/>
        <v>-600000</v>
      </c>
      <c r="X37" s="37"/>
    </row>
    <row r="38" spans="1:24" x14ac:dyDescent="0.25">
      <c r="A38" s="14"/>
      <c r="B38" s="20" t="s">
        <v>92</v>
      </c>
      <c r="C38" s="68"/>
      <c r="D38" s="68">
        <v>0</v>
      </c>
      <c r="E38" s="68">
        <v>0</v>
      </c>
      <c r="F38" s="68"/>
      <c r="G38" s="68"/>
      <c r="H38" s="68">
        <v>0</v>
      </c>
      <c r="I38" s="68"/>
      <c r="J38" s="68"/>
      <c r="K38" s="68"/>
      <c r="L38" s="616">
        <f t="shared" si="12"/>
        <v>0</v>
      </c>
      <c r="M38" s="617">
        <f t="shared" si="13"/>
        <v>0</v>
      </c>
      <c r="N38" s="202">
        <f t="shared" si="14"/>
        <v>0</v>
      </c>
      <c r="O38" s="68"/>
      <c r="P38" s="68">
        <f t="shared" si="15"/>
        <v>0</v>
      </c>
      <c r="Q38" s="68">
        <f t="shared" si="16"/>
        <v>0</v>
      </c>
      <c r="R38" s="68">
        <f t="shared" si="17"/>
        <v>0</v>
      </c>
      <c r="S38" s="68">
        <f t="shared" si="11"/>
        <v>0</v>
      </c>
      <c r="T38" s="258">
        <f t="shared" si="18"/>
        <v>0</v>
      </c>
      <c r="U38" s="68"/>
      <c r="V38" s="251">
        <f t="shared" si="19"/>
        <v>0</v>
      </c>
    </row>
    <row r="39" spans="1:24" x14ac:dyDescent="0.25">
      <c r="A39" s="14"/>
      <c r="B39" s="20" t="s">
        <v>91</v>
      </c>
      <c r="C39" s="68"/>
      <c r="D39" s="68"/>
      <c r="E39" s="68"/>
      <c r="F39" s="68"/>
      <c r="G39" s="68"/>
      <c r="H39" s="68"/>
      <c r="I39" s="68"/>
      <c r="J39" s="68"/>
      <c r="K39" s="68"/>
      <c r="L39" s="616">
        <f t="shared" si="12"/>
        <v>0</v>
      </c>
      <c r="M39" s="617">
        <f t="shared" si="13"/>
        <v>0</v>
      </c>
      <c r="N39" s="202">
        <f t="shared" si="14"/>
        <v>0</v>
      </c>
      <c r="O39" s="68"/>
      <c r="P39" s="68">
        <f t="shared" si="15"/>
        <v>0</v>
      </c>
      <c r="Q39" s="68">
        <f t="shared" si="16"/>
        <v>0</v>
      </c>
      <c r="R39" s="68">
        <f t="shared" si="17"/>
        <v>0</v>
      </c>
      <c r="S39" s="68">
        <f t="shared" si="11"/>
        <v>0</v>
      </c>
      <c r="T39" s="258">
        <f t="shared" si="18"/>
        <v>0</v>
      </c>
      <c r="U39" s="68"/>
      <c r="V39" s="251">
        <f t="shared" si="19"/>
        <v>0</v>
      </c>
    </row>
    <row r="40" spans="1:24" x14ac:dyDescent="0.25">
      <c r="A40" s="14"/>
      <c r="B40" s="20" t="s">
        <v>90</v>
      </c>
      <c r="C40" s="68"/>
      <c r="D40" s="68"/>
      <c r="E40" s="68"/>
      <c r="F40" s="68"/>
      <c r="G40" s="68"/>
      <c r="H40" s="68"/>
      <c r="I40" s="68"/>
      <c r="J40" s="68"/>
      <c r="K40" s="68"/>
      <c r="L40" s="616">
        <f t="shared" si="12"/>
        <v>0</v>
      </c>
      <c r="M40" s="617">
        <f t="shared" si="13"/>
        <v>0</v>
      </c>
      <c r="N40" s="202">
        <f t="shared" si="14"/>
        <v>0</v>
      </c>
      <c r="O40" s="68"/>
      <c r="P40" s="68">
        <f t="shared" si="15"/>
        <v>0</v>
      </c>
      <c r="Q40" s="68">
        <f t="shared" si="16"/>
        <v>0</v>
      </c>
      <c r="R40" s="68">
        <f t="shared" si="17"/>
        <v>0</v>
      </c>
      <c r="S40" s="68">
        <f t="shared" si="11"/>
        <v>0</v>
      </c>
      <c r="T40" s="258">
        <f t="shared" si="18"/>
        <v>0</v>
      </c>
      <c r="U40" s="68"/>
      <c r="V40" s="251">
        <f t="shared" si="19"/>
        <v>0</v>
      </c>
    </row>
    <row r="41" spans="1:24" x14ac:dyDescent="0.25">
      <c r="A41" s="14"/>
      <c r="B41" s="20" t="s">
        <v>89</v>
      </c>
      <c r="C41" s="68">
        <v>0</v>
      </c>
      <c r="D41" s="68">
        <v>0</v>
      </c>
      <c r="E41" s="68">
        <v>0</v>
      </c>
      <c r="F41" s="68"/>
      <c r="G41" s="68"/>
      <c r="H41" s="68">
        <v>0</v>
      </c>
      <c r="I41" s="68"/>
      <c r="J41" s="68"/>
      <c r="K41" s="68"/>
      <c r="L41" s="616">
        <f t="shared" si="12"/>
        <v>0</v>
      </c>
      <c r="M41" s="617">
        <f t="shared" si="13"/>
        <v>0</v>
      </c>
      <c r="N41" s="202">
        <f t="shared" si="14"/>
        <v>0</v>
      </c>
      <c r="O41" s="68"/>
      <c r="P41" s="68">
        <f t="shared" si="15"/>
        <v>0</v>
      </c>
      <c r="Q41" s="68">
        <f t="shared" si="16"/>
        <v>0</v>
      </c>
      <c r="R41" s="68">
        <f t="shared" si="17"/>
        <v>0</v>
      </c>
      <c r="S41" s="68">
        <f t="shared" si="11"/>
        <v>0</v>
      </c>
      <c r="T41" s="258">
        <f t="shared" si="18"/>
        <v>0</v>
      </c>
      <c r="U41" s="68"/>
      <c r="V41" s="251">
        <f t="shared" si="19"/>
        <v>0</v>
      </c>
    </row>
    <row r="42" spans="1:24" x14ac:dyDescent="0.25">
      <c r="A42" s="38" t="s">
        <v>33</v>
      </c>
      <c r="B42" s="39" t="s">
        <v>34</v>
      </c>
      <c r="C42" s="95">
        <f>+C43+C47</f>
        <v>600000</v>
      </c>
      <c r="D42" s="95">
        <f>+D43+D47</f>
        <v>600000</v>
      </c>
      <c r="E42" s="95">
        <f>+E43+E47</f>
        <v>600000</v>
      </c>
      <c r="F42" s="95">
        <f>+F43+F47</f>
        <v>200000</v>
      </c>
      <c r="G42" s="95"/>
      <c r="H42" s="95">
        <f>+H43+H47</f>
        <v>69087</v>
      </c>
      <c r="I42" s="95">
        <f>+I43+I47</f>
        <v>106728</v>
      </c>
      <c r="J42" s="95">
        <f>+J43+J47</f>
        <v>144523</v>
      </c>
      <c r="K42" s="95"/>
      <c r="L42" s="620">
        <f t="shared" si="12"/>
        <v>0.115145</v>
      </c>
      <c r="M42" s="621">
        <f t="shared" si="13"/>
        <v>0.17788000000000001</v>
      </c>
      <c r="N42" s="205">
        <f t="shared" si="14"/>
        <v>0.24087166666666668</v>
      </c>
      <c r="O42" s="95"/>
      <c r="P42" s="95">
        <f t="shared" si="15"/>
        <v>0</v>
      </c>
      <c r="Q42" s="95">
        <f t="shared" si="16"/>
        <v>0</v>
      </c>
      <c r="R42" s="95">
        <f t="shared" si="17"/>
        <v>-400000</v>
      </c>
      <c r="S42" s="95">
        <f t="shared" si="11"/>
        <v>-400000</v>
      </c>
      <c r="T42" s="259">
        <f t="shared" si="18"/>
        <v>-0.66666666666666663</v>
      </c>
      <c r="U42" s="95"/>
      <c r="V42" s="253">
        <f t="shared" si="19"/>
        <v>-400000</v>
      </c>
    </row>
    <row r="43" spans="1:24" x14ac:dyDescent="0.25">
      <c r="A43" s="14" t="s">
        <v>35</v>
      </c>
      <c r="B43" s="20" t="s">
        <v>36</v>
      </c>
      <c r="C43" s="68">
        <v>400000</v>
      </c>
      <c r="D43" s="68">
        <v>400000</v>
      </c>
      <c r="E43" s="68">
        <v>400000</v>
      </c>
      <c r="F43" s="68">
        <v>0</v>
      </c>
      <c r="G43" s="68"/>
      <c r="H43" s="68">
        <v>0</v>
      </c>
      <c r="I43" s="68">
        <v>0</v>
      </c>
      <c r="J43" s="68">
        <v>0</v>
      </c>
      <c r="K43" s="68"/>
      <c r="L43" s="616">
        <f t="shared" si="12"/>
        <v>0</v>
      </c>
      <c r="M43" s="622">
        <f t="shared" si="13"/>
        <v>0</v>
      </c>
      <c r="N43" s="202">
        <f t="shared" si="14"/>
        <v>0</v>
      </c>
      <c r="O43" s="68"/>
      <c r="P43" s="68">
        <f t="shared" si="15"/>
        <v>0</v>
      </c>
      <c r="Q43" s="68">
        <f t="shared" si="16"/>
        <v>0</v>
      </c>
      <c r="R43" s="68">
        <f t="shared" si="17"/>
        <v>-400000</v>
      </c>
      <c r="S43" s="68">
        <f t="shared" si="11"/>
        <v>-400000</v>
      </c>
      <c r="T43" s="258">
        <f t="shared" si="18"/>
        <v>-1</v>
      </c>
      <c r="U43" s="68"/>
      <c r="V43" s="251">
        <f t="shared" si="19"/>
        <v>-400000</v>
      </c>
    </row>
    <row r="44" spans="1:24" x14ac:dyDescent="0.25">
      <c r="A44" s="14"/>
      <c r="B44" s="20" t="s">
        <v>37</v>
      </c>
      <c r="C44" s="68">
        <v>0</v>
      </c>
      <c r="D44" s="68"/>
      <c r="E44" s="68"/>
      <c r="F44" s="68"/>
      <c r="G44" s="68"/>
      <c r="H44" s="68"/>
      <c r="I44" s="68"/>
      <c r="J44" s="68"/>
      <c r="K44" s="68"/>
      <c r="L44" s="616">
        <f t="shared" si="12"/>
        <v>0</v>
      </c>
      <c r="M44" s="617">
        <f t="shared" si="13"/>
        <v>0</v>
      </c>
      <c r="N44" s="202">
        <f t="shared" si="14"/>
        <v>0</v>
      </c>
      <c r="O44" s="68"/>
      <c r="P44" s="68">
        <f t="shared" si="15"/>
        <v>0</v>
      </c>
      <c r="Q44" s="68">
        <f t="shared" si="16"/>
        <v>0</v>
      </c>
      <c r="R44" s="68">
        <f t="shared" si="17"/>
        <v>0</v>
      </c>
      <c r="S44" s="68">
        <f t="shared" si="11"/>
        <v>0</v>
      </c>
      <c r="T44" s="258">
        <f t="shared" si="18"/>
        <v>0</v>
      </c>
      <c r="U44" s="68"/>
      <c r="V44" s="251">
        <f t="shared" si="19"/>
        <v>0</v>
      </c>
    </row>
    <row r="45" spans="1:24" x14ac:dyDescent="0.25">
      <c r="A45" s="14"/>
      <c r="B45" s="20" t="s">
        <v>38</v>
      </c>
      <c r="C45" s="68">
        <v>0</v>
      </c>
      <c r="D45" s="68"/>
      <c r="E45" s="68"/>
      <c r="F45" s="68"/>
      <c r="G45" s="68"/>
      <c r="H45" s="68"/>
      <c r="I45" s="68"/>
      <c r="J45" s="68"/>
      <c r="K45" s="68"/>
      <c r="L45" s="616">
        <f t="shared" si="12"/>
        <v>0</v>
      </c>
      <c r="M45" s="617">
        <f t="shared" si="13"/>
        <v>0</v>
      </c>
      <c r="N45" s="202">
        <f t="shared" si="14"/>
        <v>0</v>
      </c>
      <c r="O45" s="68"/>
      <c r="P45" s="68">
        <f t="shared" si="15"/>
        <v>0</v>
      </c>
      <c r="Q45" s="68">
        <f t="shared" si="16"/>
        <v>0</v>
      </c>
      <c r="R45" s="68">
        <f t="shared" si="17"/>
        <v>0</v>
      </c>
      <c r="S45" s="68">
        <f t="shared" si="11"/>
        <v>0</v>
      </c>
      <c r="T45" s="258">
        <f t="shared" si="18"/>
        <v>0</v>
      </c>
      <c r="U45" s="68"/>
      <c r="V45" s="251">
        <f t="shared" si="19"/>
        <v>0</v>
      </c>
    </row>
    <row r="46" spans="1:24" x14ac:dyDescent="0.25">
      <c r="A46" s="14"/>
      <c r="B46" s="20" t="s">
        <v>39</v>
      </c>
      <c r="C46" s="68">
        <v>0</v>
      </c>
      <c r="D46" s="68"/>
      <c r="E46" s="68"/>
      <c r="F46" s="68"/>
      <c r="G46" s="68"/>
      <c r="H46" s="68"/>
      <c r="I46" s="68"/>
      <c r="J46" s="68"/>
      <c r="K46" s="68"/>
      <c r="L46" s="616">
        <f t="shared" si="12"/>
        <v>0</v>
      </c>
      <c r="M46" s="617">
        <f t="shared" si="13"/>
        <v>0</v>
      </c>
      <c r="N46" s="202">
        <f t="shared" si="14"/>
        <v>0</v>
      </c>
      <c r="O46" s="68"/>
      <c r="P46" s="68">
        <f t="shared" si="15"/>
        <v>0</v>
      </c>
      <c r="Q46" s="68">
        <f t="shared" si="16"/>
        <v>0</v>
      </c>
      <c r="R46" s="68">
        <f t="shared" si="17"/>
        <v>0</v>
      </c>
      <c r="S46" s="68">
        <f t="shared" si="11"/>
        <v>0</v>
      </c>
      <c r="T46" s="258">
        <f t="shared" si="18"/>
        <v>0</v>
      </c>
      <c r="U46" s="68"/>
      <c r="V46" s="251">
        <f t="shared" si="19"/>
        <v>0</v>
      </c>
    </row>
    <row r="47" spans="1:24" x14ac:dyDescent="0.25">
      <c r="A47" s="14" t="s">
        <v>40</v>
      </c>
      <c r="B47" s="20" t="s">
        <v>41</v>
      </c>
      <c r="C47" s="68">
        <v>200000</v>
      </c>
      <c r="D47" s="68">
        <v>200000</v>
      </c>
      <c r="E47" s="68">
        <v>200000</v>
      </c>
      <c r="F47" s="68">
        <v>200000</v>
      </c>
      <c r="G47" s="68"/>
      <c r="H47" s="68">
        <v>69087</v>
      </c>
      <c r="I47" s="68">
        <v>106728</v>
      </c>
      <c r="J47" s="68">
        <v>144523</v>
      </c>
      <c r="K47" s="68"/>
      <c r="L47" s="616">
        <f t="shared" si="12"/>
        <v>0.34543499999999999</v>
      </c>
      <c r="M47" s="622">
        <f t="shared" si="13"/>
        <v>0.53364</v>
      </c>
      <c r="N47" s="202">
        <f t="shared" si="14"/>
        <v>0.72261500000000001</v>
      </c>
      <c r="O47" s="68"/>
      <c r="P47" s="68">
        <f t="shared" si="15"/>
        <v>0</v>
      </c>
      <c r="Q47" s="68">
        <f t="shared" si="16"/>
        <v>0</v>
      </c>
      <c r="R47" s="68">
        <f t="shared" si="17"/>
        <v>0</v>
      </c>
      <c r="S47" s="68">
        <f t="shared" si="11"/>
        <v>0</v>
      </c>
      <c r="T47" s="258">
        <f t="shared" si="18"/>
        <v>0</v>
      </c>
      <c r="U47" s="68"/>
      <c r="V47" s="251">
        <f t="shared" si="19"/>
        <v>0</v>
      </c>
    </row>
    <row r="48" spans="1:24" x14ac:dyDescent="0.25">
      <c r="A48" s="14"/>
      <c r="B48" s="20" t="s">
        <v>42</v>
      </c>
      <c r="C48" s="68">
        <v>0</v>
      </c>
      <c r="D48" s="68"/>
      <c r="E48" s="68"/>
      <c r="F48" s="68"/>
      <c r="G48" s="68"/>
      <c r="H48" s="68"/>
      <c r="I48" s="68"/>
      <c r="J48" s="68"/>
      <c r="K48" s="68"/>
      <c r="L48" s="616">
        <f t="shared" si="12"/>
        <v>0</v>
      </c>
      <c r="M48" s="617">
        <f t="shared" si="13"/>
        <v>0</v>
      </c>
      <c r="N48" s="202">
        <f t="shared" si="14"/>
        <v>0</v>
      </c>
      <c r="O48" s="68"/>
      <c r="P48" s="68">
        <f t="shared" si="15"/>
        <v>0</v>
      </c>
      <c r="Q48" s="68">
        <f t="shared" si="16"/>
        <v>0</v>
      </c>
      <c r="R48" s="68">
        <f t="shared" si="17"/>
        <v>0</v>
      </c>
      <c r="S48" s="68">
        <f t="shared" si="11"/>
        <v>0</v>
      </c>
      <c r="T48" s="258">
        <f t="shared" si="18"/>
        <v>0</v>
      </c>
      <c r="U48" s="68"/>
      <c r="V48" s="251">
        <f t="shared" si="19"/>
        <v>0</v>
      </c>
    </row>
    <row r="49" spans="1:22" s="42" customFormat="1" x14ac:dyDescent="0.25">
      <c r="A49" s="38" t="s">
        <v>43</v>
      </c>
      <c r="B49" s="39" t="s">
        <v>44</v>
      </c>
      <c r="C49" s="95">
        <f>+C50+C54+C57+C59+C61+C63+C65</f>
        <v>8370000</v>
      </c>
      <c r="D49" s="95">
        <f>+D50+D54+D57+D59+D61+D63+D65</f>
        <v>8370000</v>
      </c>
      <c r="E49" s="95">
        <f>+E50+E54+E57+E59+E61+E63+E65</f>
        <v>8370000</v>
      </c>
      <c r="F49" s="95">
        <f>+F50+F54+F57+F59+F61+F63+F65</f>
        <v>6504783</v>
      </c>
      <c r="G49" s="95"/>
      <c r="H49" s="95">
        <f>+H50+H54+H57+H59+H61+H63+H65</f>
        <v>3484791</v>
      </c>
      <c r="I49" s="95">
        <f>+I50+I54+I57+I59+I61+I63+I65</f>
        <v>4912430</v>
      </c>
      <c r="J49" s="95">
        <f>+J50+J54+J57+J59+J61+J63+J65</f>
        <v>6490410</v>
      </c>
      <c r="K49" s="95"/>
      <c r="L49" s="620">
        <f t="shared" si="12"/>
        <v>0.41634301075268815</v>
      </c>
      <c r="M49" s="621">
        <f t="shared" si="13"/>
        <v>0.58690919952210274</v>
      </c>
      <c r="N49" s="205">
        <f t="shared" si="14"/>
        <v>0.77543727598566303</v>
      </c>
      <c r="O49" s="95"/>
      <c r="P49" s="95">
        <f t="shared" si="15"/>
        <v>0</v>
      </c>
      <c r="Q49" s="95">
        <f t="shared" si="16"/>
        <v>0</v>
      </c>
      <c r="R49" s="95">
        <f t="shared" si="17"/>
        <v>-1865217</v>
      </c>
      <c r="S49" s="95">
        <f t="shared" si="11"/>
        <v>-1865217</v>
      </c>
      <c r="T49" s="259">
        <f t="shared" si="18"/>
        <v>-0.22284551971326164</v>
      </c>
      <c r="U49" s="95"/>
      <c r="V49" s="253">
        <f t="shared" si="19"/>
        <v>-1865217</v>
      </c>
    </row>
    <row r="50" spans="1:22" x14ac:dyDescent="0.25">
      <c r="A50" s="14" t="s">
        <v>45</v>
      </c>
      <c r="B50" s="20" t="s">
        <v>46</v>
      </c>
      <c r="C50" s="211">
        <f>4800000*1.1</f>
        <v>5280000</v>
      </c>
      <c r="D50" s="68">
        <v>5280000</v>
      </c>
      <c r="E50" s="68">
        <v>5280000</v>
      </c>
      <c r="F50" s="68">
        <v>4348637</v>
      </c>
      <c r="G50" s="68"/>
      <c r="H50" s="68">
        <v>2129574</v>
      </c>
      <c r="I50" s="68">
        <v>3349941</v>
      </c>
      <c r="J50" s="68">
        <v>4348637</v>
      </c>
      <c r="K50" s="68"/>
      <c r="L50" s="616">
        <f t="shared" si="12"/>
        <v>0.40332840909090911</v>
      </c>
      <c r="M50" s="622">
        <f t="shared" si="13"/>
        <v>0.63445852272727277</v>
      </c>
      <c r="N50" s="202">
        <f t="shared" si="14"/>
        <v>0.82360549242424241</v>
      </c>
      <c r="O50" s="68"/>
      <c r="P50" s="68">
        <f t="shared" si="15"/>
        <v>0</v>
      </c>
      <c r="Q50" s="68">
        <f t="shared" si="16"/>
        <v>0</v>
      </c>
      <c r="R50" s="68">
        <f t="shared" si="17"/>
        <v>-931363</v>
      </c>
      <c r="S50" s="68">
        <f t="shared" si="11"/>
        <v>-931363</v>
      </c>
      <c r="T50" s="258">
        <f t="shared" si="18"/>
        <v>-0.17639450757575759</v>
      </c>
      <c r="U50" s="68"/>
      <c r="V50" s="251">
        <f t="shared" si="19"/>
        <v>-931363</v>
      </c>
    </row>
    <row r="51" spans="1:22" x14ac:dyDescent="0.25">
      <c r="A51" s="14" t="s">
        <v>99</v>
      </c>
      <c r="B51" s="20" t="s">
        <v>93</v>
      </c>
      <c r="C51" s="68"/>
      <c r="D51" s="68"/>
      <c r="E51" s="68"/>
      <c r="F51" s="68"/>
      <c r="G51" s="68"/>
      <c r="H51" s="68"/>
      <c r="I51" s="68"/>
      <c r="J51" s="68"/>
      <c r="K51" s="68"/>
      <c r="L51" s="616">
        <f t="shared" si="12"/>
        <v>0</v>
      </c>
      <c r="M51" s="617">
        <f t="shared" si="13"/>
        <v>0</v>
      </c>
      <c r="N51" s="202">
        <f t="shared" si="14"/>
        <v>0</v>
      </c>
      <c r="O51" s="68"/>
      <c r="P51" s="68">
        <f t="shared" si="15"/>
        <v>0</v>
      </c>
      <c r="Q51" s="68">
        <f t="shared" si="16"/>
        <v>0</v>
      </c>
      <c r="R51" s="68">
        <f t="shared" si="17"/>
        <v>0</v>
      </c>
      <c r="S51" s="68">
        <f t="shared" si="11"/>
        <v>0</v>
      </c>
      <c r="T51" s="258">
        <f t="shared" si="18"/>
        <v>0</v>
      </c>
      <c r="U51" s="68"/>
      <c r="V51" s="251">
        <f t="shared" si="19"/>
        <v>0</v>
      </c>
    </row>
    <row r="52" spans="1:22" x14ac:dyDescent="0.25">
      <c r="A52" s="14"/>
      <c r="B52" s="20" t="s">
        <v>94</v>
      </c>
      <c r="C52" s="68"/>
      <c r="D52" s="68"/>
      <c r="E52" s="68"/>
      <c r="F52" s="68"/>
      <c r="G52" s="68"/>
      <c r="H52" s="68"/>
      <c r="I52" s="68"/>
      <c r="J52" s="68"/>
      <c r="K52" s="68"/>
      <c r="L52" s="616">
        <f t="shared" si="12"/>
        <v>0</v>
      </c>
      <c r="M52" s="617">
        <f t="shared" si="13"/>
        <v>0</v>
      </c>
      <c r="N52" s="202">
        <f t="shared" si="14"/>
        <v>0</v>
      </c>
      <c r="O52" s="68"/>
      <c r="P52" s="68">
        <f t="shared" si="15"/>
        <v>0</v>
      </c>
      <c r="Q52" s="68">
        <f t="shared" si="16"/>
        <v>0</v>
      </c>
      <c r="R52" s="68">
        <f t="shared" si="17"/>
        <v>0</v>
      </c>
      <c r="S52" s="68">
        <f t="shared" si="11"/>
        <v>0</v>
      </c>
      <c r="T52" s="258">
        <f t="shared" si="18"/>
        <v>0</v>
      </c>
      <c r="U52" s="68"/>
      <c r="V52" s="251">
        <f t="shared" si="19"/>
        <v>0</v>
      </c>
    </row>
    <row r="53" spans="1:22" x14ac:dyDescent="0.25">
      <c r="A53" s="14"/>
      <c r="B53" s="20" t="s">
        <v>95</v>
      </c>
      <c r="C53" s="68"/>
      <c r="D53" s="68"/>
      <c r="E53" s="68"/>
      <c r="F53" s="68"/>
      <c r="G53" s="68"/>
      <c r="H53" s="68"/>
      <c r="I53" s="68"/>
      <c r="J53" s="68"/>
      <c r="K53" s="68"/>
      <c r="L53" s="616">
        <f t="shared" si="12"/>
        <v>0</v>
      </c>
      <c r="M53" s="617">
        <f t="shared" si="13"/>
        <v>0</v>
      </c>
      <c r="N53" s="202">
        <f t="shared" si="14"/>
        <v>0</v>
      </c>
      <c r="O53" s="68"/>
      <c r="P53" s="68">
        <f t="shared" si="15"/>
        <v>0</v>
      </c>
      <c r="Q53" s="68">
        <f t="shared" si="16"/>
        <v>0</v>
      </c>
      <c r="R53" s="68">
        <f t="shared" si="17"/>
        <v>0</v>
      </c>
      <c r="S53" s="68">
        <f t="shared" si="11"/>
        <v>0</v>
      </c>
      <c r="T53" s="258">
        <f t="shared" si="18"/>
        <v>0</v>
      </c>
      <c r="U53" s="68"/>
      <c r="V53" s="251">
        <f t="shared" si="19"/>
        <v>0</v>
      </c>
    </row>
    <row r="54" spans="1:22" x14ac:dyDescent="0.25">
      <c r="A54" s="14" t="s">
        <v>47</v>
      </c>
      <c r="B54" s="20" t="s">
        <v>48</v>
      </c>
      <c r="C54" s="68"/>
      <c r="D54" s="68">
        <v>0</v>
      </c>
      <c r="E54" s="68"/>
      <c r="F54" s="68">
        <v>0</v>
      </c>
      <c r="G54" s="68"/>
      <c r="H54" s="68">
        <v>0</v>
      </c>
      <c r="I54" s="68">
        <v>0</v>
      </c>
      <c r="J54" s="68">
        <v>0</v>
      </c>
      <c r="K54" s="68"/>
      <c r="L54" s="616">
        <f t="shared" si="12"/>
        <v>0</v>
      </c>
      <c r="M54" s="617">
        <f t="shared" si="13"/>
        <v>0</v>
      </c>
      <c r="N54" s="202">
        <f t="shared" si="14"/>
        <v>0</v>
      </c>
      <c r="O54" s="68"/>
      <c r="P54" s="68">
        <f t="shared" si="15"/>
        <v>0</v>
      </c>
      <c r="Q54" s="68">
        <f t="shared" si="16"/>
        <v>0</v>
      </c>
      <c r="R54" s="68">
        <f t="shared" si="17"/>
        <v>0</v>
      </c>
      <c r="S54" s="68">
        <f t="shared" si="11"/>
        <v>0</v>
      </c>
      <c r="T54" s="258">
        <f t="shared" si="18"/>
        <v>0</v>
      </c>
      <c r="U54" s="68"/>
      <c r="V54" s="251">
        <f t="shared" si="19"/>
        <v>0</v>
      </c>
    </row>
    <row r="55" spans="1:22" x14ac:dyDescent="0.25">
      <c r="A55" s="14"/>
      <c r="B55" s="20" t="s">
        <v>86</v>
      </c>
      <c r="C55" s="68"/>
      <c r="D55" s="68"/>
      <c r="E55" s="68"/>
      <c r="F55" s="68"/>
      <c r="G55" s="68"/>
      <c r="H55" s="68"/>
      <c r="I55" s="68"/>
      <c r="J55" s="68"/>
      <c r="K55" s="68"/>
      <c r="L55" s="616">
        <f t="shared" si="12"/>
        <v>0</v>
      </c>
      <c r="M55" s="617">
        <f t="shared" si="13"/>
        <v>0</v>
      </c>
      <c r="N55" s="202">
        <f t="shared" si="14"/>
        <v>0</v>
      </c>
      <c r="O55" s="68"/>
      <c r="P55" s="68">
        <f t="shared" si="15"/>
        <v>0</v>
      </c>
      <c r="Q55" s="68">
        <f t="shared" si="16"/>
        <v>0</v>
      </c>
      <c r="R55" s="68">
        <f t="shared" si="17"/>
        <v>0</v>
      </c>
      <c r="S55" s="68">
        <f t="shared" si="11"/>
        <v>0</v>
      </c>
      <c r="T55" s="258">
        <f t="shared" si="18"/>
        <v>0</v>
      </c>
      <c r="U55" s="68"/>
      <c r="V55" s="251">
        <f t="shared" si="19"/>
        <v>0</v>
      </c>
    </row>
    <row r="56" spans="1:22" x14ac:dyDescent="0.25">
      <c r="A56" s="14"/>
      <c r="B56" s="20" t="s">
        <v>49</v>
      </c>
      <c r="C56" s="68"/>
      <c r="D56" s="68"/>
      <c r="E56" s="68"/>
      <c r="F56" s="68"/>
      <c r="G56" s="68"/>
      <c r="H56" s="68"/>
      <c r="I56" s="68"/>
      <c r="J56" s="68"/>
      <c r="K56" s="68"/>
      <c r="L56" s="616">
        <f t="shared" si="12"/>
        <v>0</v>
      </c>
      <c r="M56" s="617">
        <f t="shared" si="13"/>
        <v>0</v>
      </c>
      <c r="N56" s="202">
        <f t="shared" si="14"/>
        <v>0</v>
      </c>
      <c r="O56" s="68"/>
      <c r="P56" s="68">
        <f t="shared" si="15"/>
        <v>0</v>
      </c>
      <c r="Q56" s="68">
        <f t="shared" si="16"/>
        <v>0</v>
      </c>
      <c r="R56" s="68">
        <f t="shared" si="17"/>
        <v>0</v>
      </c>
      <c r="S56" s="68">
        <f t="shared" si="11"/>
        <v>0</v>
      </c>
      <c r="T56" s="258">
        <f t="shared" si="18"/>
        <v>0</v>
      </c>
      <c r="U56" s="68"/>
      <c r="V56" s="251">
        <f t="shared" si="19"/>
        <v>0</v>
      </c>
    </row>
    <row r="57" spans="1:22" x14ac:dyDescent="0.25">
      <c r="A57" s="14" t="s">
        <v>50</v>
      </c>
      <c r="B57" s="20" t="s">
        <v>51</v>
      </c>
      <c r="C57" s="68"/>
      <c r="D57" s="68">
        <v>0</v>
      </c>
      <c r="E57" s="68"/>
      <c r="F57" s="68">
        <v>0</v>
      </c>
      <c r="G57" s="68"/>
      <c r="H57" s="68"/>
      <c r="I57" s="68"/>
      <c r="J57" s="68"/>
      <c r="K57" s="68"/>
      <c r="L57" s="616">
        <f t="shared" si="12"/>
        <v>0</v>
      </c>
      <c r="M57" s="617">
        <f t="shared" si="13"/>
        <v>0</v>
      </c>
      <c r="N57" s="202">
        <f t="shared" si="14"/>
        <v>0</v>
      </c>
      <c r="O57" s="68"/>
      <c r="P57" s="68">
        <f t="shared" si="15"/>
        <v>0</v>
      </c>
      <c r="Q57" s="68">
        <f t="shared" si="16"/>
        <v>0</v>
      </c>
      <c r="R57" s="68">
        <f t="shared" si="17"/>
        <v>0</v>
      </c>
      <c r="S57" s="68">
        <f t="shared" si="11"/>
        <v>0</v>
      </c>
      <c r="T57" s="258">
        <f t="shared" si="18"/>
        <v>0</v>
      </c>
      <c r="U57" s="68"/>
      <c r="V57" s="251">
        <f t="shared" si="19"/>
        <v>0</v>
      </c>
    </row>
    <row r="58" spans="1:22" x14ac:dyDescent="0.25">
      <c r="A58" s="14"/>
      <c r="B58" s="20" t="s">
        <v>52</v>
      </c>
      <c r="C58" s="68"/>
      <c r="D58" s="68"/>
      <c r="E58" s="68"/>
      <c r="F58" s="68"/>
      <c r="G58" s="68"/>
      <c r="H58" s="68"/>
      <c r="I58" s="68"/>
      <c r="J58" s="68"/>
      <c r="K58" s="68"/>
      <c r="L58" s="616">
        <f t="shared" si="12"/>
        <v>0</v>
      </c>
      <c r="M58" s="617">
        <f t="shared" si="13"/>
        <v>0</v>
      </c>
      <c r="N58" s="202">
        <f t="shared" si="14"/>
        <v>0</v>
      </c>
      <c r="O58" s="68"/>
      <c r="P58" s="68">
        <f t="shared" si="15"/>
        <v>0</v>
      </c>
      <c r="Q58" s="68">
        <f t="shared" si="16"/>
        <v>0</v>
      </c>
      <c r="R58" s="68">
        <f t="shared" si="17"/>
        <v>0</v>
      </c>
      <c r="S58" s="68">
        <f t="shared" si="11"/>
        <v>0</v>
      </c>
      <c r="T58" s="258">
        <f t="shared" si="18"/>
        <v>0</v>
      </c>
      <c r="U58" s="68"/>
      <c r="V58" s="251">
        <f t="shared" si="19"/>
        <v>0</v>
      </c>
    </row>
    <row r="59" spans="1:22" x14ac:dyDescent="0.25">
      <c r="A59" s="14" t="s">
        <v>53</v>
      </c>
      <c r="B59" s="20" t="s">
        <v>87</v>
      </c>
      <c r="C59" s="68">
        <f>500000</f>
        <v>500000</v>
      </c>
      <c r="D59" s="68">
        <v>500000</v>
      </c>
      <c r="E59" s="68">
        <v>500000</v>
      </c>
      <c r="F59" s="68">
        <v>211846</v>
      </c>
      <c r="G59" s="68"/>
      <c r="H59" s="68">
        <v>88704</v>
      </c>
      <c r="I59" s="68">
        <v>94216</v>
      </c>
      <c r="J59" s="68">
        <v>211846</v>
      </c>
      <c r="K59" s="68"/>
      <c r="L59" s="616">
        <f t="shared" si="12"/>
        <v>0.17740800000000001</v>
      </c>
      <c r="M59" s="622">
        <f t="shared" si="13"/>
        <v>0.18843199999999999</v>
      </c>
      <c r="N59" s="202">
        <f t="shared" si="14"/>
        <v>0.42369200000000001</v>
      </c>
      <c r="O59" s="68"/>
      <c r="P59" s="68">
        <f t="shared" si="15"/>
        <v>0</v>
      </c>
      <c r="Q59" s="68">
        <f t="shared" si="16"/>
        <v>0</v>
      </c>
      <c r="R59" s="68">
        <f t="shared" si="17"/>
        <v>-288154</v>
      </c>
      <c r="S59" s="68">
        <f t="shared" si="11"/>
        <v>-288154</v>
      </c>
      <c r="T59" s="258">
        <f t="shared" si="18"/>
        <v>-0.57630800000000004</v>
      </c>
      <c r="U59" s="68"/>
      <c r="V59" s="251">
        <f t="shared" si="19"/>
        <v>-288154</v>
      </c>
    </row>
    <row r="60" spans="1:22" x14ac:dyDescent="0.25">
      <c r="A60" s="14"/>
      <c r="B60" s="20" t="s">
        <v>54</v>
      </c>
      <c r="C60" s="68"/>
      <c r="D60" s="68"/>
      <c r="E60" s="68"/>
      <c r="F60" s="68"/>
      <c r="G60" s="68"/>
      <c r="H60" s="68"/>
      <c r="I60" s="68"/>
      <c r="J60" s="68"/>
      <c r="K60" s="68"/>
      <c r="L60" s="616">
        <f t="shared" si="12"/>
        <v>0</v>
      </c>
      <c r="M60" s="617">
        <f t="shared" si="13"/>
        <v>0</v>
      </c>
      <c r="N60" s="202">
        <f t="shared" si="14"/>
        <v>0</v>
      </c>
      <c r="O60" s="68"/>
      <c r="P60" s="68">
        <f t="shared" si="15"/>
        <v>0</v>
      </c>
      <c r="Q60" s="68">
        <f t="shared" si="16"/>
        <v>0</v>
      </c>
      <c r="R60" s="68">
        <f t="shared" si="17"/>
        <v>0</v>
      </c>
      <c r="S60" s="68">
        <f t="shared" si="11"/>
        <v>0</v>
      </c>
      <c r="T60" s="258">
        <f t="shared" si="18"/>
        <v>0</v>
      </c>
      <c r="U60" s="68"/>
      <c r="V60" s="251">
        <f t="shared" si="19"/>
        <v>0</v>
      </c>
    </row>
    <row r="61" spans="1:22" x14ac:dyDescent="0.25">
      <c r="A61" s="14" t="s">
        <v>55</v>
      </c>
      <c r="B61" s="20" t="s">
        <v>56</v>
      </c>
      <c r="C61" s="68"/>
      <c r="D61" s="68"/>
      <c r="E61" s="68"/>
      <c r="F61" s="68"/>
      <c r="G61" s="68"/>
      <c r="H61" s="68"/>
      <c r="I61" s="68"/>
      <c r="J61" s="68"/>
      <c r="K61" s="68"/>
      <c r="L61" s="616">
        <f t="shared" si="12"/>
        <v>0</v>
      </c>
      <c r="M61" s="617">
        <f t="shared" si="13"/>
        <v>0</v>
      </c>
      <c r="N61" s="202">
        <f t="shared" si="14"/>
        <v>0</v>
      </c>
      <c r="O61" s="68"/>
      <c r="P61" s="68">
        <f t="shared" si="15"/>
        <v>0</v>
      </c>
      <c r="Q61" s="68">
        <f t="shared" si="16"/>
        <v>0</v>
      </c>
      <c r="R61" s="68">
        <f t="shared" si="17"/>
        <v>0</v>
      </c>
      <c r="S61" s="68">
        <f t="shared" si="11"/>
        <v>0</v>
      </c>
      <c r="T61" s="258">
        <f t="shared" si="18"/>
        <v>0</v>
      </c>
      <c r="U61" s="68"/>
      <c r="V61" s="251">
        <f t="shared" si="19"/>
        <v>0</v>
      </c>
    </row>
    <row r="62" spans="1:22" ht="26.4" x14ac:dyDescent="0.25">
      <c r="A62" s="20"/>
      <c r="B62" s="20" t="s">
        <v>57</v>
      </c>
      <c r="C62" s="68"/>
      <c r="D62" s="68"/>
      <c r="E62" s="68"/>
      <c r="F62" s="68"/>
      <c r="G62" s="68"/>
      <c r="H62" s="68"/>
      <c r="I62" s="68"/>
      <c r="J62" s="68"/>
      <c r="K62" s="68"/>
      <c r="L62" s="616">
        <f t="shared" si="12"/>
        <v>0</v>
      </c>
      <c r="M62" s="617">
        <f t="shared" si="13"/>
        <v>0</v>
      </c>
      <c r="N62" s="202">
        <f t="shared" si="14"/>
        <v>0</v>
      </c>
      <c r="O62" s="68"/>
      <c r="P62" s="68">
        <f t="shared" si="15"/>
        <v>0</v>
      </c>
      <c r="Q62" s="68">
        <f t="shared" si="16"/>
        <v>0</v>
      </c>
      <c r="R62" s="68">
        <f t="shared" si="17"/>
        <v>0</v>
      </c>
      <c r="S62" s="68">
        <f t="shared" si="11"/>
        <v>0</v>
      </c>
      <c r="T62" s="258">
        <f t="shared" si="18"/>
        <v>0</v>
      </c>
      <c r="U62" s="68"/>
      <c r="V62" s="251">
        <f t="shared" si="19"/>
        <v>0</v>
      </c>
    </row>
    <row r="63" spans="1:22" x14ac:dyDescent="0.25">
      <c r="A63" s="14" t="s">
        <v>58</v>
      </c>
      <c r="B63" s="20" t="s">
        <v>59</v>
      </c>
      <c r="C63" s="68">
        <f>940000+1150000</f>
        <v>2090000</v>
      </c>
      <c r="D63" s="68">
        <v>2090000</v>
      </c>
      <c r="E63" s="68">
        <v>2090000</v>
      </c>
      <c r="F63" s="68">
        <v>1294300</v>
      </c>
      <c r="G63" s="68"/>
      <c r="H63" s="68">
        <v>946300</v>
      </c>
      <c r="I63" s="68">
        <v>1030300</v>
      </c>
      <c r="J63" s="68">
        <v>1294300</v>
      </c>
      <c r="K63" s="68"/>
      <c r="L63" s="616">
        <f t="shared" si="12"/>
        <v>0.45277511961722489</v>
      </c>
      <c r="M63" s="622">
        <f t="shared" si="13"/>
        <v>0.4929665071770335</v>
      </c>
      <c r="N63" s="202">
        <f t="shared" si="14"/>
        <v>0.61928229665071766</v>
      </c>
      <c r="O63" s="68"/>
      <c r="P63" s="68">
        <f t="shared" si="15"/>
        <v>0</v>
      </c>
      <c r="Q63" s="68">
        <f t="shared" si="16"/>
        <v>0</v>
      </c>
      <c r="R63" s="68">
        <f t="shared" si="17"/>
        <v>-795700</v>
      </c>
      <c r="S63" s="68">
        <f t="shared" si="11"/>
        <v>-795700</v>
      </c>
      <c r="T63" s="258">
        <f t="shared" si="18"/>
        <v>-0.38071770334928229</v>
      </c>
      <c r="U63" s="68"/>
      <c r="V63" s="251">
        <f t="shared" si="19"/>
        <v>-795700</v>
      </c>
    </row>
    <row r="64" spans="1:22" ht="79.2" x14ac:dyDescent="0.25">
      <c r="A64" s="14"/>
      <c r="B64" s="20" t="s">
        <v>98</v>
      </c>
      <c r="C64" s="68"/>
      <c r="D64" s="68"/>
      <c r="E64" s="68"/>
      <c r="F64" s="68"/>
      <c r="G64" s="68"/>
      <c r="H64" s="68">
        <v>0</v>
      </c>
      <c r="I64" s="68"/>
      <c r="J64" s="68"/>
      <c r="K64" s="68"/>
      <c r="L64" s="616">
        <f t="shared" si="12"/>
        <v>0</v>
      </c>
      <c r="M64" s="617">
        <f t="shared" si="13"/>
        <v>0</v>
      </c>
      <c r="N64" s="202">
        <f t="shared" si="14"/>
        <v>0</v>
      </c>
      <c r="O64" s="68"/>
      <c r="P64" s="68">
        <f t="shared" si="15"/>
        <v>0</v>
      </c>
      <c r="Q64" s="68">
        <f t="shared" si="16"/>
        <v>0</v>
      </c>
      <c r="R64" s="68">
        <f t="shared" si="17"/>
        <v>0</v>
      </c>
      <c r="S64" s="68">
        <f t="shared" si="11"/>
        <v>0</v>
      </c>
      <c r="T64" s="258">
        <f t="shared" si="18"/>
        <v>0</v>
      </c>
      <c r="U64" s="68"/>
      <c r="V64" s="251">
        <f t="shared" si="19"/>
        <v>0</v>
      </c>
    </row>
    <row r="65" spans="1:24" x14ac:dyDescent="0.25">
      <c r="A65" s="14" t="s">
        <v>60</v>
      </c>
      <c r="B65" s="20" t="s">
        <v>61</v>
      </c>
      <c r="C65" s="68">
        <v>500000</v>
      </c>
      <c r="D65" s="68">
        <v>500000</v>
      </c>
      <c r="E65" s="68">
        <v>500000</v>
      </c>
      <c r="F65" s="68">
        <v>650000</v>
      </c>
      <c r="G65" s="68"/>
      <c r="H65" s="68">
        <v>320213</v>
      </c>
      <c r="I65" s="68">
        <v>437973</v>
      </c>
      <c r="J65" s="68">
        <v>635627</v>
      </c>
      <c r="K65" s="68"/>
      <c r="L65" s="616">
        <f t="shared" si="12"/>
        <v>0.64042600000000005</v>
      </c>
      <c r="M65" s="622">
        <f t="shared" si="13"/>
        <v>0.875946</v>
      </c>
      <c r="N65" s="202">
        <f t="shared" si="14"/>
        <v>1.2712540000000001</v>
      </c>
      <c r="O65" s="68"/>
      <c r="P65" s="68">
        <f t="shared" si="15"/>
        <v>0</v>
      </c>
      <c r="Q65" s="68">
        <f t="shared" si="16"/>
        <v>0</v>
      </c>
      <c r="R65" s="68">
        <f t="shared" si="17"/>
        <v>150000</v>
      </c>
      <c r="S65" s="68">
        <f t="shared" si="11"/>
        <v>150000</v>
      </c>
      <c r="T65" s="258">
        <f t="shared" si="18"/>
        <v>0.3</v>
      </c>
      <c r="U65" s="68"/>
      <c r="V65" s="251">
        <f t="shared" si="19"/>
        <v>150000</v>
      </c>
    </row>
    <row r="66" spans="1:24" ht="39.6" x14ac:dyDescent="0.25">
      <c r="A66" s="14"/>
      <c r="B66" s="20" t="s">
        <v>62</v>
      </c>
      <c r="C66" s="68"/>
      <c r="D66" s="68"/>
      <c r="E66" s="68"/>
      <c r="F66" s="68"/>
      <c r="G66" s="68"/>
      <c r="H66" s="68"/>
      <c r="I66" s="68"/>
      <c r="J66" s="68"/>
      <c r="K66" s="68"/>
      <c r="L66" s="616">
        <f t="shared" ref="L66:L82" si="20">IF(H66&gt;0,H66/C66,0)</f>
        <v>0</v>
      </c>
      <c r="M66" s="617">
        <f t="shared" ref="M66:M102" si="21">IF(I66&gt;0,I66/D66,0)</f>
        <v>0</v>
      </c>
      <c r="N66" s="202">
        <f t="shared" ref="N66:N102" si="22">IF(J66&gt;0,J66/E66,0)</f>
        <v>0</v>
      </c>
      <c r="O66" s="68"/>
      <c r="P66" s="68">
        <f t="shared" si="15"/>
        <v>0</v>
      </c>
      <c r="Q66" s="68">
        <f t="shared" si="16"/>
        <v>0</v>
      </c>
      <c r="R66" s="68">
        <f t="shared" si="17"/>
        <v>0</v>
      </c>
      <c r="S66" s="68">
        <f t="shared" si="11"/>
        <v>0</v>
      </c>
      <c r="T66" s="258">
        <f t="shared" si="18"/>
        <v>0</v>
      </c>
      <c r="U66" s="68"/>
      <c r="V66" s="251">
        <f t="shared" si="19"/>
        <v>0</v>
      </c>
    </row>
    <row r="67" spans="1:24" s="42" customFormat="1" x14ac:dyDescent="0.25">
      <c r="A67" s="38" t="s">
        <v>63</v>
      </c>
      <c r="B67" s="39" t="s">
        <v>64</v>
      </c>
      <c r="C67" s="95">
        <f>+C68+C70</f>
        <v>200000</v>
      </c>
      <c r="D67" s="95">
        <f>+D68+D70</f>
        <v>200000</v>
      </c>
      <c r="E67" s="95">
        <f>+E68+E70</f>
        <v>200000</v>
      </c>
      <c r="F67" s="95">
        <f>+F68+F70</f>
        <v>141335</v>
      </c>
      <c r="G67" s="95"/>
      <c r="H67" s="95">
        <f>+H68+H70</f>
        <v>72125</v>
      </c>
      <c r="I67" s="95">
        <f>+I68+I70</f>
        <v>95105</v>
      </c>
      <c r="J67" s="95">
        <f>+J68+J70</f>
        <v>141335</v>
      </c>
      <c r="K67" s="95"/>
      <c r="L67" s="620">
        <f t="shared" si="20"/>
        <v>0.36062499999999997</v>
      </c>
      <c r="M67" s="621">
        <f t="shared" si="21"/>
        <v>0.47552499999999998</v>
      </c>
      <c r="N67" s="205">
        <f t="shared" si="22"/>
        <v>0.70667500000000005</v>
      </c>
      <c r="O67" s="95"/>
      <c r="P67" s="95">
        <f t="shared" si="15"/>
        <v>0</v>
      </c>
      <c r="Q67" s="95">
        <f t="shared" si="16"/>
        <v>0</v>
      </c>
      <c r="R67" s="95">
        <f t="shared" si="17"/>
        <v>-58665</v>
      </c>
      <c r="S67" s="95">
        <f t="shared" si="11"/>
        <v>-58665</v>
      </c>
      <c r="T67" s="259">
        <f t="shared" si="18"/>
        <v>-0.293325</v>
      </c>
      <c r="U67" s="95"/>
      <c r="V67" s="253">
        <f t="shared" si="19"/>
        <v>-58665</v>
      </c>
      <c r="X67" s="58"/>
    </row>
    <row r="68" spans="1:24" x14ac:dyDescent="0.25">
      <c r="A68" s="14" t="s">
        <v>65</v>
      </c>
      <c r="B68" s="20" t="s">
        <v>66</v>
      </c>
      <c r="C68" s="68">
        <v>200000</v>
      </c>
      <c r="D68" s="68">
        <v>200000</v>
      </c>
      <c r="E68" s="68">
        <v>200000</v>
      </c>
      <c r="F68" s="68">
        <v>141335</v>
      </c>
      <c r="G68" s="68"/>
      <c r="H68" s="68">
        <v>72125</v>
      </c>
      <c r="I68" s="68">
        <v>95105</v>
      </c>
      <c r="J68" s="68">
        <v>141335</v>
      </c>
      <c r="K68" s="68"/>
      <c r="L68" s="616">
        <f t="shared" si="20"/>
        <v>0.36062499999999997</v>
      </c>
      <c r="M68" s="617">
        <f t="shared" si="21"/>
        <v>0.47552499999999998</v>
      </c>
      <c r="N68" s="202">
        <f t="shared" si="22"/>
        <v>0.70667500000000005</v>
      </c>
      <c r="O68" s="68"/>
      <c r="P68" s="68">
        <f t="shared" si="15"/>
        <v>0</v>
      </c>
      <c r="Q68" s="68">
        <f t="shared" si="16"/>
        <v>0</v>
      </c>
      <c r="R68" s="68">
        <f t="shared" si="17"/>
        <v>-58665</v>
      </c>
      <c r="S68" s="68">
        <f t="shared" si="11"/>
        <v>-58665</v>
      </c>
      <c r="T68" s="258">
        <f t="shared" si="18"/>
        <v>-0.293325</v>
      </c>
      <c r="U68" s="68"/>
      <c r="V68" s="251">
        <f t="shared" si="19"/>
        <v>-58665</v>
      </c>
    </row>
    <row r="69" spans="1:24" ht="39.6" x14ac:dyDescent="0.25">
      <c r="A69" s="14"/>
      <c r="B69" s="20" t="s">
        <v>67</v>
      </c>
      <c r="C69" s="68"/>
      <c r="D69" s="68">
        <v>0</v>
      </c>
      <c r="E69" s="68"/>
      <c r="F69" s="68"/>
      <c r="G69" s="68"/>
      <c r="H69" s="68"/>
      <c r="I69" s="68"/>
      <c r="J69" s="68"/>
      <c r="K69" s="68"/>
      <c r="L69" s="616">
        <f t="shared" si="20"/>
        <v>0</v>
      </c>
      <c r="M69" s="617">
        <f t="shared" si="21"/>
        <v>0</v>
      </c>
      <c r="N69" s="202">
        <f t="shared" si="22"/>
        <v>0</v>
      </c>
      <c r="O69" s="68"/>
      <c r="P69" s="68">
        <f t="shared" si="15"/>
        <v>0</v>
      </c>
      <c r="Q69" s="68">
        <f t="shared" si="16"/>
        <v>0</v>
      </c>
      <c r="R69" s="68">
        <f t="shared" si="17"/>
        <v>0</v>
      </c>
      <c r="S69" s="68">
        <f t="shared" si="11"/>
        <v>0</v>
      </c>
      <c r="T69" s="258">
        <f t="shared" si="18"/>
        <v>0</v>
      </c>
      <c r="U69" s="68"/>
      <c r="V69" s="251">
        <f t="shared" si="19"/>
        <v>0</v>
      </c>
      <c r="X69" s="37"/>
    </row>
    <row r="70" spans="1:24" x14ac:dyDescent="0.25">
      <c r="A70" s="14" t="s">
        <v>68</v>
      </c>
      <c r="B70" s="20" t="s">
        <v>96</v>
      </c>
      <c r="C70" s="68"/>
      <c r="D70" s="68"/>
      <c r="E70" s="68"/>
      <c r="F70" s="68"/>
      <c r="G70" s="68"/>
      <c r="H70" s="68"/>
      <c r="I70" s="68"/>
      <c r="J70" s="68"/>
      <c r="K70" s="68"/>
      <c r="L70" s="616">
        <f t="shared" si="20"/>
        <v>0</v>
      </c>
      <c r="M70" s="617">
        <f t="shared" si="21"/>
        <v>0</v>
      </c>
      <c r="N70" s="202">
        <f t="shared" si="22"/>
        <v>0</v>
      </c>
      <c r="O70" s="68"/>
      <c r="P70" s="68">
        <f t="shared" si="15"/>
        <v>0</v>
      </c>
      <c r="Q70" s="68">
        <f t="shared" si="16"/>
        <v>0</v>
      </c>
      <c r="R70" s="68">
        <f t="shared" si="17"/>
        <v>0</v>
      </c>
      <c r="S70" s="68">
        <f t="shared" si="11"/>
        <v>0</v>
      </c>
      <c r="T70" s="258">
        <f t="shared" si="18"/>
        <v>0</v>
      </c>
      <c r="U70" s="68"/>
      <c r="V70" s="251">
        <f t="shared" si="19"/>
        <v>0</v>
      </c>
      <c r="X70" s="37"/>
    </row>
    <row r="71" spans="1:24" ht="39.6" x14ac:dyDescent="0.25">
      <c r="A71" s="14"/>
      <c r="B71" s="20" t="s">
        <v>69</v>
      </c>
      <c r="C71" s="68"/>
      <c r="D71" s="68"/>
      <c r="E71" s="68"/>
      <c r="F71" s="68"/>
      <c r="G71" s="68"/>
      <c r="H71" s="68"/>
      <c r="I71" s="68"/>
      <c r="J71" s="68"/>
      <c r="K71" s="68"/>
      <c r="L71" s="616">
        <f t="shared" si="20"/>
        <v>0</v>
      </c>
      <c r="M71" s="617">
        <f t="shared" si="21"/>
        <v>0</v>
      </c>
      <c r="N71" s="202">
        <f t="shared" si="22"/>
        <v>0</v>
      </c>
      <c r="O71" s="68"/>
      <c r="P71" s="68">
        <f t="shared" si="15"/>
        <v>0</v>
      </c>
      <c r="Q71" s="68">
        <f t="shared" si="16"/>
        <v>0</v>
      </c>
      <c r="R71" s="68">
        <f t="shared" si="17"/>
        <v>0</v>
      </c>
      <c r="S71" s="68">
        <f t="shared" si="11"/>
        <v>0</v>
      </c>
      <c r="T71" s="258">
        <f t="shared" si="18"/>
        <v>0</v>
      </c>
      <c r="U71" s="68"/>
      <c r="V71" s="251">
        <f t="shared" si="19"/>
        <v>0</v>
      </c>
      <c r="X71" s="37"/>
    </row>
    <row r="72" spans="1:24" x14ac:dyDescent="0.25">
      <c r="A72" s="38" t="s">
        <v>70</v>
      </c>
      <c r="B72" s="39" t="s">
        <v>71</v>
      </c>
      <c r="C72" s="95">
        <f>+C73+C75+C77+C79+C81</f>
        <v>2205000</v>
      </c>
      <c r="D72" s="95">
        <f>+D73+D75+D77+D79+D81</f>
        <v>2205000</v>
      </c>
      <c r="E72" s="95">
        <f>+E73+E75+E77+E79+E81</f>
        <v>2205000</v>
      </c>
      <c r="F72" s="95">
        <f>+F73+F75+F77+F79+F81</f>
        <v>1970000</v>
      </c>
      <c r="G72" s="95"/>
      <c r="H72" s="95">
        <f>+H73+H75+H77+H79+H81</f>
        <v>814865</v>
      </c>
      <c r="I72" s="95">
        <f>+I73+I75+I77+I79+I81</f>
        <v>1276766</v>
      </c>
      <c r="J72" s="95">
        <f>+J73+J75+J77+J79+J81</f>
        <v>1966406</v>
      </c>
      <c r="K72" s="95"/>
      <c r="L72" s="620">
        <f t="shared" si="20"/>
        <v>0.36955328798185944</v>
      </c>
      <c r="M72" s="621">
        <f t="shared" si="21"/>
        <v>0.57903219954648522</v>
      </c>
      <c r="N72" s="205">
        <f t="shared" si="22"/>
        <v>0.89179410430839001</v>
      </c>
      <c r="O72" s="95"/>
      <c r="P72" s="95">
        <f t="shared" si="15"/>
        <v>0</v>
      </c>
      <c r="Q72" s="95">
        <f t="shared" si="16"/>
        <v>0</v>
      </c>
      <c r="R72" s="95">
        <f t="shared" si="17"/>
        <v>-235000</v>
      </c>
      <c r="S72" s="95">
        <f t="shared" si="11"/>
        <v>-235000</v>
      </c>
      <c r="T72" s="259">
        <f t="shared" si="18"/>
        <v>-0.10657596371882086</v>
      </c>
      <c r="U72" s="95"/>
      <c r="V72" s="253">
        <f t="shared" si="19"/>
        <v>-235000</v>
      </c>
      <c r="X72" s="37"/>
    </row>
    <row r="73" spans="1:24" x14ac:dyDescent="0.25">
      <c r="A73" s="14" t="s">
        <v>72</v>
      </c>
      <c r="B73" s="20" t="s">
        <v>73</v>
      </c>
      <c r="C73" s="68">
        <v>2200000</v>
      </c>
      <c r="D73" s="68">
        <v>2197000</v>
      </c>
      <c r="E73" s="68">
        <v>2197000</v>
      </c>
      <c r="F73" s="68">
        <v>1962000</v>
      </c>
      <c r="G73" s="68"/>
      <c r="H73" s="68">
        <v>810058</v>
      </c>
      <c r="I73" s="68">
        <v>1271899</v>
      </c>
      <c r="J73" s="68">
        <v>1960739</v>
      </c>
      <c r="K73" s="68"/>
      <c r="L73" s="616">
        <f t="shared" si="20"/>
        <v>0.36820818181818182</v>
      </c>
      <c r="M73" s="622">
        <f t="shared" si="21"/>
        <v>0.57892535275375512</v>
      </c>
      <c r="N73" s="202">
        <f t="shared" si="22"/>
        <v>0.89246199362767409</v>
      </c>
      <c r="O73" s="68"/>
      <c r="P73" s="68">
        <f t="shared" si="15"/>
        <v>-3000</v>
      </c>
      <c r="Q73" s="68">
        <f t="shared" si="16"/>
        <v>0</v>
      </c>
      <c r="R73" s="68">
        <f t="shared" si="17"/>
        <v>-235000</v>
      </c>
      <c r="S73" s="68">
        <f t="shared" si="11"/>
        <v>-238000</v>
      </c>
      <c r="T73" s="258">
        <f t="shared" si="18"/>
        <v>-0.10818181818181818</v>
      </c>
      <c r="U73" s="68"/>
      <c r="V73" s="251">
        <f t="shared" si="19"/>
        <v>-235000</v>
      </c>
      <c r="X73" s="37"/>
    </row>
    <row r="74" spans="1:24" x14ac:dyDescent="0.25">
      <c r="A74" s="14"/>
      <c r="B74" s="20" t="s">
        <v>74</v>
      </c>
      <c r="C74" s="68"/>
      <c r="D74" s="68">
        <v>0</v>
      </c>
      <c r="E74" s="68">
        <v>0</v>
      </c>
      <c r="F74" s="68"/>
      <c r="G74" s="68"/>
      <c r="H74" s="68"/>
      <c r="I74" s="68"/>
      <c r="J74" s="68"/>
      <c r="K74" s="68"/>
      <c r="L74" s="616">
        <f t="shared" si="20"/>
        <v>0</v>
      </c>
      <c r="M74" s="617">
        <f t="shared" si="21"/>
        <v>0</v>
      </c>
      <c r="N74" s="202">
        <f t="shared" si="22"/>
        <v>0</v>
      </c>
      <c r="O74" s="68"/>
      <c r="P74" s="68">
        <f t="shared" si="15"/>
        <v>0</v>
      </c>
      <c r="Q74" s="68">
        <f t="shared" si="16"/>
        <v>0</v>
      </c>
      <c r="R74" s="68">
        <f t="shared" si="17"/>
        <v>0</v>
      </c>
      <c r="S74" s="68">
        <f t="shared" si="11"/>
        <v>0</v>
      </c>
      <c r="T74" s="258">
        <f t="shared" si="18"/>
        <v>0</v>
      </c>
      <c r="U74" s="68"/>
      <c r="V74" s="251">
        <f t="shared" si="19"/>
        <v>0</v>
      </c>
      <c r="X74" s="37"/>
    </row>
    <row r="75" spans="1:24" x14ac:dyDescent="0.25">
      <c r="A75" s="14" t="s">
        <v>75</v>
      </c>
      <c r="B75" s="20" t="s">
        <v>76</v>
      </c>
      <c r="C75" s="68"/>
      <c r="D75" s="68">
        <v>3000</v>
      </c>
      <c r="E75" s="68">
        <v>3000</v>
      </c>
      <c r="F75" s="68">
        <v>3000</v>
      </c>
      <c r="G75" s="68"/>
      <c r="H75" s="68">
        <v>3000</v>
      </c>
      <c r="I75" s="68">
        <v>3000</v>
      </c>
      <c r="J75" s="68">
        <v>3000</v>
      </c>
      <c r="K75" s="68"/>
      <c r="L75" s="616" t="e">
        <f t="shared" si="20"/>
        <v>#DIV/0!</v>
      </c>
      <c r="M75" s="617">
        <f t="shared" si="21"/>
        <v>1</v>
      </c>
      <c r="N75" s="202">
        <f t="shared" si="22"/>
        <v>1</v>
      </c>
      <c r="O75" s="68"/>
      <c r="P75" s="68">
        <f t="shared" si="15"/>
        <v>3000</v>
      </c>
      <c r="Q75" s="68">
        <f t="shared" si="16"/>
        <v>0</v>
      </c>
      <c r="R75" s="68">
        <f t="shared" si="17"/>
        <v>0</v>
      </c>
      <c r="S75" s="68">
        <f t="shared" si="11"/>
        <v>3000</v>
      </c>
      <c r="T75" s="258">
        <f t="shared" si="18"/>
        <v>0</v>
      </c>
      <c r="U75" s="68"/>
      <c r="V75" s="251">
        <f t="shared" si="19"/>
        <v>0</v>
      </c>
      <c r="X75" s="37"/>
    </row>
    <row r="76" spans="1:24" ht="26.4" x14ac:dyDescent="0.25">
      <c r="A76" s="14"/>
      <c r="B76" s="20" t="s">
        <v>97</v>
      </c>
      <c r="C76" s="68"/>
      <c r="D76" s="68"/>
      <c r="E76" s="68"/>
      <c r="F76" s="68"/>
      <c r="G76" s="68"/>
      <c r="H76" s="68"/>
      <c r="I76" s="68"/>
      <c r="J76" s="68"/>
      <c r="K76" s="68"/>
      <c r="L76" s="616">
        <f t="shared" si="20"/>
        <v>0</v>
      </c>
      <c r="M76" s="617">
        <f t="shared" si="21"/>
        <v>0</v>
      </c>
      <c r="N76" s="202">
        <f t="shared" si="22"/>
        <v>0</v>
      </c>
      <c r="O76" s="68"/>
      <c r="P76" s="68">
        <f t="shared" si="15"/>
        <v>0</v>
      </c>
      <c r="Q76" s="68">
        <f t="shared" si="16"/>
        <v>0</v>
      </c>
      <c r="R76" s="68">
        <f t="shared" si="17"/>
        <v>0</v>
      </c>
      <c r="S76" s="68">
        <f t="shared" si="11"/>
        <v>0</v>
      </c>
      <c r="T76" s="258">
        <f t="shared" si="18"/>
        <v>0</v>
      </c>
      <c r="U76" s="68"/>
      <c r="V76" s="251">
        <f t="shared" si="19"/>
        <v>0</v>
      </c>
      <c r="X76" s="37"/>
    </row>
    <row r="77" spans="1:24" x14ac:dyDescent="0.25">
      <c r="A77" s="14" t="s">
        <v>77</v>
      </c>
      <c r="B77" s="20" t="s">
        <v>78</v>
      </c>
      <c r="C77" s="68"/>
      <c r="D77" s="68"/>
      <c r="E77" s="68"/>
      <c r="F77" s="68"/>
      <c r="G77" s="68"/>
      <c r="H77" s="68"/>
      <c r="I77" s="68"/>
      <c r="J77" s="68"/>
      <c r="K77" s="68"/>
      <c r="L77" s="616">
        <f t="shared" si="20"/>
        <v>0</v>
      </c>
      <c r="M77" s="617">
        <f t="shared" si="21"/>
        <v>0</v>
      </c>
      <c r="N77" s="202">
        <f t="shared" si="22"/>
        <v>0</v>
      </c>
      <c r="O77" s="68"/>
      <c r="P77" s="68">
        <f t="shared" si="15"/>
        <v>0</v>
      </c>
      <c r="Q77" s="68">
        <f t="shared" si="16"/>
        <v>0</v>
      </c>
      <c r="R77" s="68">
        <f t="shared" si="17"/>
        <v>0</v>
      </c>
      <c r="S77" s="68">
        <f t="shared" si="11"/>
        <v>0</v>
      </c>
      <c r="T77" s="258">
        <f t="shared" si="18"/>
        <v>0</v>
      </c>
      <c r="U77" s="68"/>
      <c r="V77" s="251">
        <f t="shared" si="19"/>
        <v>0</v>
      </c>
      <c r="X77" s="37"/>
    </row>
    <row r="78" spans="1:24" ht="26.4" x14ac:dyDescent="0.25">
      <c r="A78" s="14"/>
      <c r="B78" s="20" t="s">
        <v>79</v>
      </c>
      <c r="C78" s="68"/>
      <c r="D78" s="68"/>
      <c r="E78" s="68"/>
      <c r="F78" s="68"/>
      <c r="G78" s="68"/>
      <c r="H78" s="68"/>
      <c r="I78" s="68"/>
      <c r="J78" s="68"/>
      <c r="K78" s="68"/>
      <c r="L78" s="616">
        <f t="shared" si="20"/>
        <v>0</v>
      </c>
      <c r="M78" s="617">
        <f t="shared" si="21"/>
        <v>0</v>
      </c>
      <c r="N78" s="202">
        <f t="shared" si="22"/>
        <v>0</v>
      </c>
      <c r="O78" s="68"/>
      <c r="P78" s="68">
        <f t="shared" si="15"/>
        <v>0</v>
      </c>
      <c r="Q78" s="68">
        <f t="shared" si="16"/>
        <v>0</v>
      </c>
      <c r="R78" s="68">
        <f t="shared" si="17"/>
        <v>0</v>
      </c>
      <c r="S78" s="68">
        <f t="shared" si="11"/>
        <v>0</v>
      </c>
      <c r="T78" s="258">
        <f t="shared" si="18"/>
        <v>0</v>
      </c>
      <c r="U78" s="68"/>
      <c r="V78" s="251">
        <f t="shared" si="19"/>
        <v>0</v>
      </c>
      <c r="X78" s="37"/>
    </row>
    <row r="79" spans="1:24" x14ac:dyDescent="0.25">
      <c r="A79" s="14" t="s">
        <v>80</v>
      </c>
      <c r="B79" s="20" t="s">
        <v>81</v>
      </c>
      <c r="C79" s="68"/>
      <c r="D79" s="68"/>
      <c r="E79" s="68"/>
      <c r="F79" s="68"/>
      <c r="G79" s="68"/>
      <c r="H79" s="68"/>
      <c r="I79" s="68"/>
      <c r="J79" s="68"/>
      <c r="K79" s="68"/>
      <c r="L79" s="616">
        <f t="shared" si="20"/>
        <v>0</v>
      </c>
      <c r="M79" s="617">
        <f t="shared" si="21"/>
        <v>0</v>
      </c>
      <c r="N79" s="202">
        <f t="shared" si="22"/>
        <v>0</v>
      </c>
      <c r="O79" s="68"/>
      <c r="P79" s="68">
        <f t="shared" si="15"/>
        <v>0</v>
      </c>
      <c r="Q79" s="68">
        <f t="shared" si="16"/>
        <v>0</v>
      </c>
      <c r="R79" s="68">
        <f t="shared" si="17"/>
        <v>0</v>
      </c>
      <c r="S79" s="68">
        <f t="shared" si="11"/>
        <v>0</v>
      </c>
      <c r="T79" s="258">
        <f t="shared" si="18"/>
        <v>0</v>
      </c>
      <c r="U79" s="68"/>
      <c r="V79" s="251">
        <f t="shared" si="19"/>
        <v>0</v>
      </c>
      <c r="X79" s="37"/>
    </row>
    <row r="80" spans="1:24" x14ac:dyDescent="0.25">
      <c r="A80" s="14"/>
      <c r="B80" s="20" t="s">
        <v>82</v>
      </c>
      <c r="C80" s="68"/>
      <c r="D80" s="68"/>
      <c r="E80" s="68"/>
      <c r="F80" s="68"/>
      <c r="G80" s="68"/>
      <c r="H80" s="68"/>
      <c r="I80" s="68"/>
      <c r="J80" s="68"/>
      <c r="K80" s="68"/>
      <c r="L80" s="616">
        <f t="shared" si="20"/>
        <v>0</v>
      </c>
      <c r="M80" s="617">
        <f t="shared" si="21"/>
        <v>0</v>
      </c>
      <c r="N80" s="202">
        <f t="shared" si="22"/>
        <v>0</v>
      </c>
      <c r="O80" s="68"/>
      <c r="P80" s="68">
        <f t="shared" si="15"/>
        <v>0</v>
      </c>
      <c r="Q80" s="68">
        <f t="shared" si="16"/>
        <v>0</v>
      </c>
      <c r="R80" s="68">
        <f t="shared" si="17"/>
        <v>0</v>
      </c>
      <c r="S80" s="68">
        <f t="shared" si="11"/>
        <v>0</v>
      </c>
      <c r="T80" s="258">
        <f t="shared" si="18"/>
        <v>0</v>
      </c>
      <c r="U80" s="68"/>
      <c r="V80" s="251">
        <f t="shared" si="19"/>
        <v>0</v>
      </c>
      <c r="X80" s="37"/>
    </row>
    <row r="81" spans="1:24" x14ac:dyDescent="0.25">
      <c r="A81" s="14" t="s">
        <v>83</v>
      </c>
      <c r="B81" s="20" t="s">
        <v>84</v>
      </c>
      <c r="C81" s="144">
        <v>5000</v>
      </c>
      <c r="D81" s="68">
        <v>5000</v>
      </c>
      <c r="E81" s="68">
        <v>5000</v>
      </c>
      <c r="F81" s="68">
        <v>5000</v>
      </c>
      <c r="G81" s="68"/>
      <c r="H81" s="68">
        <v>1807</v>
      </c>
      <c r="I81" s="68">
        <v>1867</v>
      </c>
      <c r="J81" s="68">
        <v>2667</v>
      </c>
      <c r="K81" s="68"/>
      <c r="L81" s="616">
        <f t="shared" si="20"/>
        <v>0.3614</v>
      </c>
      <c r="M81" s="589">
        <f t="shared" si="21"/>
        <v>0.37340000000000001</v>
      </c>
      <c r="N81" s="202">
        <f t="shared" si="22"/>
        <v>0.53339999999999999</v>
      </c>
      <c r="O81" s="68"/>
      <c r="P81" s="68">
        <f t="shared" si="15"/>
        <v>0</v>
      </c>
      <c r="Q81" s="68">
        <f t="shared" si="16"/>
        <v>0</v>
      </c>
      <c r="R81" s="68">
        <f t="shared" si="17"/>
        <v>0</v>
      </c>
      <c r="S81" s="68">
        <f t="shared" si="11"/>
        <v>0</v>
      </c>
      <c r="T81" s="258">
        <f t="shared" si="18"/>
        <v>0</v>
      </c>
      <c r="U81" s="68"/>
      <c r="V81" s="251">
        <f t="shared" si="19"/>
        <v>0</v>
      </c>
      <c r="X81" s="37"/>
    </row>
    <row r="82" spans="1:24" ht="52.8" x14ac:dyDescent="0.25">
      <c r="A82" s="14"/>
      <c r="B82" s="20" t="s">
        <v>88</v>
      </c>
      <c r="C82" s="68">
        <v>0</v>
      </c>
      <c r="D82" s="68">
        <v>0</v>
      </c>
      <c r="E82" s="68">
        <v>0</v>
      </c>
      <c r="F82" s="68"/>
      <c r="G82" s="68"/>
      <c r="H82" s="68">
        <v>0</v>
      </c>
      <c r="I82" s="68"/>
      <c r="J82" s="68"/>
      <c r="K82" s="68"/>
      <c r="L82" s="616">
        <f t="shared" si="20"/>
        <v>0</v>
      </c>
      <c r="M82" s="589">
        <f t="shared" si="21"/>
        <v>0</v>
      </c>
      <c r="N82" s="202">
        <f t="shared" si="22"/>
        <v>0</v>
      </c>
      <c r="O82" s="68"/>
      <c r="P82" s="68">
        <f t="shared" si="15"/>
        <v>0</v>
      </c>
      <c r="Q82" s="68">
        <f t="shared" si="16"/>
        <v>0</v>
      </c>
      <c r="R82" s="68">
        <f t="shared" si="17"/>
        <v>0</v>
      </c>
      <c r="S82" s="68">
        <f t="shared" si="11"/>
        <v>0</v>
      </c>
      <c r="T82" s="258">
        <f t="shared" si="18"/>
        <v>0</v>
      </c>
      <c r="U82" s="68"/>
      <c r="V82" s="251">
        <f t="shared" si="19"/>
        <v>0</v>
      </c>
      <c r="X82" s="37"/>
    </row>
    <row r="83" spans="1:24" x14ac:dyDescent="0.25">
      <c r="A83" s="14"/>
      <c r="B83" s="14"/>
      <c r="C83" s="68"/>
      <c r="D83" s="68"/>
      <c r="E83" s="68"/>
      <c r="F83" s="68"/>
      <c r="G83" s="68"/>
      <c r="H83" s="68"/>
      <c r="I83" s="68"/>
      <c r="J83" s="68"/>
      <c r="K83" s="68"/>
      <c r="L83" s="616"/>
      <c r="M83" s="617"/>
      <c r="N83" s="202"/>
      <c r="O83" s="68"/>
      <c r="P83" s="68"/>
      <c r="Q83" s="68"/>
      <c r="R83" s="68"/>
      <c r="S83" s="68"/>
      <c r="T83" s="258"/>
      <c r="U83" s="68"/>
      <c r="V83" s="251"/>
    </row>
    <row r="84" spans="1:24" x14ac:dyDescent="0.25">
      <c r="A84" s="55" t="s">
        <v>154</v>
      </c>
      <c r="B84" s="51" t="s">
        <v>155</v>
      </c>
      <c r="C84" s="67">
        <f>+C85</f>
        <v>1650000</v>
      </c>
      <c r="D84" s="67">
        <f>SUM(D85)</f>
        <v>1650000</v>
      </c>
      <c r="E84" s="67">
        <f>SUM(E85)</f>
        <v>1650000</v>
      </c>
      <c r="F84" s="67">
        <f>SUM(F85)</f>
        <v>1452453</v>
      </c>
      <c r="G84" s="67"/>
      <c r="H84" s="67">
        <f>SUM(H85)</f>
        <v>1297203</v>
      </c>
      <c r="I84" s="67">
        <f>SUM(I85)</f>
        <v>1398983</v>
      </c>
      <c r="J84" s="67">
        <f>SUM(J85)</f>
        <v>1452453</v>
      </c>
      <c r="K84" s="212"/>
      <c r="L84" s="623">
        <f>IF(H84&gt;0,H84/C84,0)</f>
        <v>0.78618363636363642</v>
      </c>
      <c r="M84" s="624">
        <f t="shared" si="21"/>
        <v>0.84786848484848487</v>
      </c>
      <c r="N84" s="206">
        <f t="shared" si="22"/>
        <v>0.88027454545454542</v>
      </c>
      <c r="O84" s="212"/>
      <c r="P84" s="212">
        <f t="shared" si="15"/>
        <v>0</v>
      </c>
      <c r="Q84" s="212">
        <f t="shared" si="16"/>
        <v>0</v>
      </c>
      <c r="R84" s="212">
        <f t="shared" si="17"/>
        <v>-197547</v>
      </c>
      <c r="S84" s="212">
        <f t="shared" ref="S84:S90" si="23">+P84*P$10+Q84*Q$10+R84*R$10</f>
        <v>-197547</v>
      </c>
      <c r="T84" s="260">
        <f t="shared" si="18"/>
        <v>-0.11972545454545455</v>
      </c>
      <c r="U84" s="212"/>
      <c r="V84" s="254">
        <f t="shared" si="19"/>
        <v>-197547</v>
      </c>
      <c r="X84" s="37"/>
    </row>
    <row r="85" spans="1:24" x14ac:dyDescent="0.25">
      <c r="A85" s="14" t="s">
        <v>163</v>
      </c>
      <c r="B85" s="20" t="s">
        <v>381</v>
      </c>
      <c r="C85" s="68">
        <f>1650000</f>
        <v>1650000</v>
      </c>
      <c r="D85" s="68">
        <v>1650000</v>
      </c>
      <c r="E85" s="68">
        <v>1650000</v>
      </c>
      <c r="F85" s="68">
        <v>1452453</v>
      </c>
      <c r="G85" s="68"/>
      <c r="H85" s="68">
        <v>1297203</v>
      </c>
      <c r="I85" s="68">
        <v>1398983</v>
      </c>
      <c r="J85" s="68">
        <v>1452453</v>
      </c>
      <c r="K85" s="68"/>
      <c r="L85" s="589">
        <f>IF(H85&gt;0,H85/C85,0)</f>
        <v>0.78618363636363642</v>
      </c>
      <c r="M85" s="589">
        <f>IF(I85&gt;0,I85/D85,0)</f>
        <v>0.84786848484848487</v>
      </c>
      <c r="N85" s="203">
        <f>IF(J85&gt;0,J85/E85,0)</f>
        <v>0.88027454545454542</v>
      </c>
      <c r="O85" s="68"/>
      <c r="P85" s="81">
        <f>+(D85-C85)*P$10</f>
        <v>0</v>
      </c>
      <c r="Q85" s="81">
        <f>+(E85-D85)*Q$10</f>
        <v>0</v>
      </c>
      <c r="R85" s="81">
        <f>+(F85-E85)*R$10</f>
        <v>-197547</v>
      </c>
      <c r="S85" s="81">
        <f t="shared" si="23"/>
        <v>-197547</v>
      </c>
      <c r="T85" s="277">
        <f>IF(C85=0,0,+S85/C85)</f>
        <v>-0.11972545454545455</v>
      </c>
      <c r="U85" s="120"/>
      <c r="V85" s="192">
        <f>+S85-E85+C85</f>
        <v>-197547</v>
      </c>
    </row>
    <row r="86" spans="1:24" x14ac:dyDescent="0.25">
      <c r="A86" s="14"/>
      <c r="B86" s="14"/>
      <c r="C86" s="68"/>
      <c r="D86" s="68"/>
      <c r="E86" s="68"/>
      <c r="F86" s="68"/>
      <c r="G86" s="68"/>
      <c r="H86" s="68"/>
      <c r="I86" s="68"/>
      <c r="J86" s="68"/>
      <c r="K86" s="68"/>
      <c r="L86" s="616"/>
      <c r="M86" s="617"/>
      <c r="N86" s="202"/>
      <c r="O86" s="68"/>
      <c r="P86" s="68"/>
      <c r="Q86" s="68"/>
      <c r="R86" s="68"/>
      <c r="S86" s="68">
        <f t="shared" si="23"/>
        <v>0</v>
      </c>
      <c r="T86" s="258"/>
      <c r="U86" s="68"/>
      <c r="V86" s="251"/>
    </row>
    <row r="87" spans="1:24" x14ac:dyDescent="0.25">
      <c r="A87" s="7" t="s">
        <v>169</v>
      </c>
      <c r="B87" s="5" t="s">
        <v>170</v>
      </c>
      <c r="C87" s="67">
        <f>+C88</f>
        <v>0</v>
      </c>
      <c r="D87" s="67">
        <f>SUM(D88)</f>
        <v>0</v>
      </c>
      <c r="E87" s="67">
        <f>SUM(E88)</f>
        <v>0</v>
      </c>
      <c r="F87" s="67">
        <f>SUM(F88)</f>
        <v>0</v>
      </c>
      <c r="G87" s="67"/>
      <c r="H87" s="67">
        <f>SUM(H88)</f>
        <v>0</v>
      </c>
      <c r="I87" s="67">
        <f>SUM(I88)</f>
        <v>0</v>
      </c>
      <c r="J87" s="67">
        <f>SUM(J88)</f>
        <v>0</v>
      </c>
      <c r="K87" s="67"/>
      <c r="L87" s="623">
        <f>IF(H87&gt;0,H87/C87,0)</f>
        <v>0</v>
      </c>
      <c r="M87" s="619" t="e">
        <f>+I87/E87</f>
        <v>#DIV/0!</v>
      </c>
      <c r="N87" s="204"/>
      <c r="O87" s="67"/>
      <c r="P87" s="67">
        <f t="shared" ref="P87:R88" si="24">+(D87-C87)*P$10</f>
        <v>0</v>
      </c>
      <c r="Q87" s="67">
        <f t="shared" si="24"/>
        <v>0</v>
      </c>
      <c r="R87" s="67">
        <f t="shared" si="24"/>
        <v>0</v>
      </c>
      <c r="S87" s="67">
        <f t="shared" si="23"/>
        <v>0</v>
      </c>
      <c r="T87" s="257">
        <f>IF(C87=0,0,+S87/C87)</f>
        <v>0</v>
      </c>
      <c r="U87" s="67"/>
      <c r="V87" s="252">
        <f>+S87-E87+C87</f>
        <v>0</v>
      </c>
    </row>
    <row r="88" spans="1:24" x14ac:dyDescent="0.25">
      <c r="A88" s="14"/>
      <c r="B88" s="20"/>
      <c r="C88" s="68"/>
      <c r="D88" s="68"/>
      <c r="E88" s="68"/>
      <c r="F88" s="68"/>
      <c r="G88" s="68"/>
      <c r="H88" s="68"/>
      <c r="I88" s="68"/>
      <c r="J88" s="68"/>
      <c r="K88" s="68"/>
      <c r="L88" s="589">
        <f>IF(H88&gt;0,H88/C88,0)</f>
        <v>0</v>
      </c>
      <c r="M88" s="589">
        <f>IF(I88&gt;0,I88/D88,0)</f>
        <v>0</v>
      </c>
      <c r="N88" s="203">
        <f>IF(J88&gt;0,J88/E88,0)</f>
        <v>0</v>
      </c>
      <c r="O88" s="68"/>
      <c r="P88" s="81">
        <f t="shared" si="24"/>
        <v>0</v>
      </c>
      <c r="Q88" s="81">
        <f t="shared" si="24"/>
        <v>0</v>
      </c>
      <c r="R88" s="81">
        <f t="shared" si="24"/>
        <v>0</v>
      </c>
      <c r="S88" s="81">
        <f t="shared" si="23"/>
        <v>0</v>
      </c>
      <c r="T88" s="277">
        <f>IF(C88=0,0,+S88/C88)</f>
        <v>0</v>
      </c>
      <c r="U88" s="120"/>
      <c r="V88" s="192">
        <f>+S88-E88+C88</f>
        <v>0</v>
      </c>
    </row>
    <row r="89" spans="1:24" hidden="1" x14ac:dyDescent="0.25">
      <c r="A89" s="14"/>
      <c r="B89" s="14"/>
      <c r="C89" s="68"/>
      <c r="D89" s="68"/>
      <c r="E89" s="68"/>
      <c r="F89" s="68"/>
      <c r="G89" s="68"/>
      <c r="H89" s="68"/>
      <c r="I89" s="68"/>
      <c r="J89" s="68"/>
      <c r="K89" s="68"/>
      <c r="L89" s="616"/>
      <c r="M89" s="617"/>
      <c r="N89" s="202"/>
      <c r="O89" s="68"/>
      <c r="P89" s="68"/>
      <c r="Q89" s="68"/>
      <c r="R89" s="68"/>
      <c r="S89" s="68">
        <f t="shared" si="23"/>
        <v>0</v>
      </c>
      <c r="T89" s="258"/>
      <c r="U89" s="68"/>
      <c r="V89" s="251"/>
    </row>
    <row r="90" spans="1:24" x14ac:dyDescent="0.25">
      <c r="A90" s="7"/>
      <c r="B90" s="5" t="s">
        <v>373</v>
      </c>
      <c r="C90" s="213">
        <f>C13+C30+C33+C84+C87</f>
        <v>193219000</v>
      </c>
      <c r="D90" s="213">
        <f t="shared" ref="D90:J90" si="25">D13+D30+D33+D84+D87</f>
        <v>193219000</v>
      </c>
      <c r="E90" s="213">
        <f t="shared" si="25"/>
        <v>193219000</v>
      </c>
      <c r="F90" s="213">
        <f t="shared" si="25"/>
        <v>189820167</v>
      </c>
      <c r="G90" s="213"/>
      <c r="H90" s="213">
        <f t="shared" si="25"/>
        <v>91525357</v>
      </c>
      <c r="I90" s="213">
        <f t="shared" si="25"/>
        <v>138520194</v>
      </c>
      <c r="J90" s="213">
        <f t="shared" si="25"/>
        <v>189366474</v>
      </c>
      <c r="K90" s="213"/>
      <c r="L90" s="618">
        <f>IF(H90&gt;0,H90/C90,0)</f>
        <v>0.47368714774426945</v>
      </c>
      <c r="M90" s="619">
        <f t="shared" si="21"/>
        <v>0.71690772646582379</v>
      </c>
      <c r="N90" s="207">
        <f t="shared" si="22"/>
        <v>0.98006135007426809</v>
      </c>
      <c r="O90" s="213"/>
      <c r="P90" s="213">
        <f>P13+P30+P33+P84</f>
        <v>0</v>
      </c>
      <c r="Q90" s="213">
        <f>Q13+Q30+Q33+Q84</f>
        <v>0</v>
      </c>
      <c r="R90" s="213">
        <f>R13+R30+R33+R84</f>
        <v>-3398833</v>
      </c>
      <c r="S90" s="213">
        <f t="shared" si="23"/>
        <v>-3398833</v>
      </c>
      <c r="T90" s="261">
        <f>T13+T30+T33+T84</f>
        <v>-0.37318681324250969</v>
      </c>
      <c r="U90" s="213"/>
      <c r="V90" s="255"/>
      <c r="X90" s="37"/>
    </row>
    <row r="91" spans="1:24" ht="10.35" customHeight="1" x14ac:dyDescent="0.25">
      <c r="A91" s="25"/>
      <c r="B91" s="25"/>
      <c r="C91" s="97"/>
      <c r="D91" s="98"/>
      <c r="E91" s="98"/>
      <c r="F91" s="98"/>
      <c r="G91" s="98"/>
      <c r="H91" s="98"/>
      <c r="I91" s="98"/>
      <c r="J91" s="98"/>
      <c r="K91" s="98"/>
      <c r="L91" s="595"/>
      <c r="M91" s="595"/>
      <c r="N91" s="98"/>
      <c r="O91" s="98"/>
      <c r="P91" s="98"/>
      <c r="Q91" s="98"/>
      <c r="R91" s="98"/>
      <c r="S91" s="98"/>
      <c r="T91" s="98"/>
      <c r="U91" s="22"/>
      <c r="V91" s="192">
        <f>+S91-E91+C91</f>
        <v>0</v>
      </c>
      <c r="W91" s="122"/>
      <c r="X91" s="122"/>
    </row>
    <row r="92" spans="1:24" ht="10.35" customHeight="1" x14ac:dyDescent="0.25">
      <c r="A92" s="463"/>
      <c r="B92" s="463"/>
      <c r="C92" s="464"/>
      <c r="D92" s="465"/>
      <c r="E92" s="465"/>
      <c r="F92" s="465"/>
      <c r="G92" s="465"/>
      <c r="H92" s="465"/>
      <c r="I92" s="465"/>
      <c r="J92" s="465"/>
      <c r="K92" s="465"/>
      <c r="L92" s="596"/>
      <c r="M92" s="596"/>
      <c r="N92" s="465"/>
      <c r="O92" s="465"/>
      <c r="P92" s="465"/>
      <c r="Q92" s="465"/>
      <c r="R92" s="465"/>
      <c r="S92" s="465"/>
      <c r="T92" s="465"/>
      <c r="U92" s="466"/>
      <c r="V92" s="467"/>
      <c r="W92" s="122"/>
      <c r="X92" s="122"/>
    </row>
    <row r="93" spans="1:24" s="42" customFormat="1" x14ac:dyDescent="0.25">
      <c r="A93" s="4" t="s">
        <v>237</v>
      </c>
      <c r="B93" s="3" t="s">
        <v>238</v>
      </c>
      <c r="C93" s="216">
        <f>SUM(C94:C94)</f>
        <v>0</v>
      </c>
      <c r="D93" s="216">
        <f>SUM(D94:D94)</f>
        <v>0</v>
      </c>
      <c r="E93" s="216">
        <f>SUM(E94:E94)</f>
        <v>0</v>
      </c>
      <c r="F93" s="216">
        <f>SUM(F94:F94)</f>
        <v>0</v>
      </c>
      <c r="G93" s="216"/>
      <c r="H93" s="216">
        <f>SUM(H94:H94)</f>
        <v>0</v>
      </c>
      <c r="I93" s="216">
        <f>SUM(I94:I94)</f>
        <v>0</v>
      </c>
      <c r="J93" s="216">
        <f>SUM(J94:J94)</f>
        <v>0</v>
      </c>
      <c r="K93" s="216"/>
      <c r="L93" s="625">
        <f t="shared" ref="L93:N94" si="26">IF(H93&gt;0,H93/C93,0)</f>
        <v>0</v>
      </c>
      <c r="M93" s="619">
        <f t="shared" si="26"/>
        <v>0</v>
      </c>
      <c r="N93" s="209">
        <f t="shared" si="26"/>
        <v>0</v>
      </c>
      <c r="O93" s="216"/>
      <c r="P93" s="216">
        <f t="shared" ref="P93:R95" si="27">+(D93-C93)*P$10</f>
        <v>0</v>
      </c>
      <c r="Q93" s="216">
        <f t="shared" si="27"/>
        <v>0</v>
      </c>
      <c r="R93" s="216">
        <f t="shared" si="27"/>
        <v>0</v>
      </c>
      <c r="S93" s="216">
        <f t="shared" ref="S93:S102" si="28">+P93*P$10+Q93*Q$10+R93*R$10</f>
        <v>0</v>
      </c>
      <c r="T93" s="262">
        <f>IF(C93=0,0,+S93/C93)</f>
        <v>0</v>
      </c>
      <c r="U93" s="216"/>
      <c r="V93" s="256">
        <f t="shared" ref="V93:V102" si="29">+S93-E93+C93</f>
        <v>0</v>
      </c>
    </row>
    <row r="94" spans="1:24" x14ac:dyDescent="0.25">
      <c r="A94" s="14"/>
      <c r="B94" s="20"/>
      <c r="C94" s="217"/>
      <c r="D94" s="218"/>
      <c r="E94" s="218"/>
      <c r="F94" s="218"/>
      <c r="G94" s="218"/>
      <c r="H94" s="218"/>
      <c r="I94" s="218"/>
      <c r="J94" s="218"/>
      <c r="K94" s="218"/>
      <c r="L94" s="616">
        <f t="shared" si="26"/>
        <v>0</v>
      </c>
      <c r="M94" s="626">
        <f t="shared" si="26"/>
        <v>0</v>
      </c>
      <c r="N94" s="210">
        <f t="shared" si="26"/>
        <v>0</v>
      </c>
      <c r="O94" s="218"/>
      <c r="P94" s="81">
        <f t="shared" si="27"/>
        <v>0</v>
      </c>
      <c r="Q94" s="81">
        <f t="shared" si="27"/>
        <v>0</v>
      </c>
      <c r="R94" s="81">
        <f t="shared" si="27"/>
        <v>0</v>
      </c>
      <c r="S94" s="81">
        <f t="shared" si="28"/>
        <v>0</v>
      </c>
      <c r="T94" s="257">
        <f>IF(C94=0,0,+S94/C94)</f>
        <v>0</v>
      </c>
      <c r="U94" s="120"/>
      <c r="V94" s="192">
        <f t="shared" si="29"/>
        <v>0</v>
      </c>
    </row>
    <row r="95" spans="1:24" s="42" customFormat="1" x14ac:dyDescent="0.25">
      <c r="A95" s="4" t="s">
        <v>280</v>
      </c>
      <c r="B95" s="3" t="s">
        <v>281</v>
      </c>
      <c r="C95" s="216">
        <f>SUM(C96:C98)</f>
        <v>0</v>
      </c>
      <c r="D95" s="216">
        <f>SUM(D96:D98)</f>
        <v>0</v>
      </c>
      <c r="E95" s="216">
        <f>SUM(E96:E98)</f>
        <v>0</v>
      </c>
      <c r="F95" s="216">
        <f>SUM(F96:F98)</f>
        <v>2833</v>
      </c>
      <c r="G95" s="216"/>
      <c r="H95" s="216">
        <f>SUM(H96:H98)</f>
        <v>1422</v>
      </c>
      <c r="I95" s="216">
        <f>SUM(I96:I98)</f>
        <v>2093</v>
      </c>
      <c r="J95" s="216">
        <f>SUM(J96:J98)</f>
        <v>2833</v>
      </c>
      <c r="K95" s="216"/>
      <c r="L95" s="625" t="e">
        <f t="shared" ref="L95:L102" si="30">IF(H95&gt;0,H95/C95,0)</f>
        <v>#DIV/0!</v>
      </c>
      <c r="M95" s="619" t="e">
        <f t="shared" si="21"/>
        <v>#DIV/0!</v>
      </c>
      <c r="N95" s="209" t="e">
        <f t="shared" si="22"/>
        <v>#DIV/0!</v>
      </c>
      <c r="O95" s="216"/>
      <c r="P95" s="216">
        <f t="shared" si="27"/>
        <v>0</v>
      </c>
      <c r="Q95" s="216">
        <f t="shared" si="27"/>
        <v>0</v>
      </c>
      <c r="R95" s="216">
        <f t="shared" si="27"/>
        <v>2833</v>
      </c>
      <c r="S95" s="216">
        <f t="shared" si="28"/>
        <v>2833</v>
      </c>
      <c r="T95" s="262">
        <f>IF(C95=0,0,+S95/C95)</f>
        <v>0</v>
      </c>
      <c r="U95" s="216"/>
      <c r="V95" s="256">
        <f t="shared" si="29"/>
        <v>2833</v>
      </c>
      <c r="W95" s="59" t="s">
        <v>394</v>
      </c>
    </row>
    <row r="96" spans="1:24" x14ac:dyDescent="0.25">
      <c r="A96" s="14" t="s">
        <v>291</v>
      </c>
      <c r="B96" s="20" t="s">
        <v>292</v>
      </c>
      <c r="C96" s="217">
        <v>0</v>
      </c>
      <c r="D96" s="217">
        <v>0</v>
      </c>
      <c r="E96" s="217"/>
      <c r="F96" s="217">
        <v>0</v>
      </c>
      <c r="G96" s="217"/>
      <c r="H96" s="217">
        <v>0</v>
      </c>
      <c r="I96" s="217"/>
      <c r="J96" s="217">
        <v>0</v>
      </c>
      <c r="K96" s="217"/>
      <c r="L96" s="617">
        <f t="shared" si="30"/>
        <v>0</v>
      </c>
      <c r="M96" s="626">
        <f t="shared" si="21"/>
        <v>0</v>
      </c>
      <c r="N96" s="208">
        <f t="shared" si="22"/>
        <v>0</v>
      </c>
      <c r="O96" s="217"/>
      <c r="P96" s="81">
        <f t="shared" ref="P96:R99" si="31">+(D96-C96)*P$10</f>
        <v>0</v>
      </c>
      <c r="Q96" s="81">
        <f>+(E96-D96)*Q$10</f>
        <v>0</v>
      </c>
      <c r="R96" s="81">
        <f>+(F96-E96)*R$10</f>
        <v>0</v>
      </c>
      <c r="S96" s="81">
        <f t="shared" si="28"/>
        <v>0</v>
      </c>
      <c r="T96" s="257">
        <f t="shared" ref="T96:T102" si="32">IF(C96=0,0,+S96/C96)</f>
        <v>0</v>
      </c>
      <c r="U96" s="120"/>
      <c r="V96" s="192">
        <f t="shared" si="29"/>
        <v>0</v>
      </c>
    </row>
    <row r="97" spans="1:24" x14ac:dyDescent="0.25">
      <c r="A97" s="14" t="s">
        <v>294</v>
      </c>
      <c r="B97" s="20" t="s">
        <v>295</v>
      </c>
      <c r="C97" s="217">
        <v>0</v>
      </c>
      <c r="D97" s="217">
        <v>0</v>
      </c>
      <c r="E97" s="217"/>
      <c r="F97" s="217">
        <v>0</v>
      </c>
      <c r="G97" s="217"/>
      <c r="H97" s="217">
        <v>0</v>
      </c>
      <c r="I97" s="217"/>
      <c r="J97" s="217">
        <v>0</v>
      </c>
      <c r="K97" s="217"/>
      <c r="L97" s="617">
        <f t="shared" si="30"/>
        <v>0</v>
      </c>
      <c r="M97" s="627">
        <f t="shared" si="21"/>
        <v>0</v>
      </c>
      <c r="N97" s="208">
        <f t="shared" si="22"/>
        <v>0</v>
      </c>
      <c r="O97" s="217"/>
      <c r="P97" s="81">
        <f t="shared" si="31"/>
        <v>0</v>
      </c>
      <c r="Q97" s="81">
        <f>+(E97-D97)*Q$10</f>
        <v>0</v>
      </c>
      <c r="R97" s="81">
        <f>+(F97-E97)*R$10</f>
        <v>0</v>
      </c>
      <c r="S97" s="81">
        <f t="shared" si="28"/>
        <v>0</v>
      </c>
      <c r="T97" s="257">
        <f t="shared" si="32"/>
        <v>0</v>
      </c>
      <c r="U97" s="120"/>
      <c r="V97" s="192">
        <f t="shared" si="29"/>
        <v>0</v>
      </c>
    </row>
    <row r="98" spans="1:24" ht="25.95" customHeight="1" x14ac:dyDescent="0.25">
      <c r="A98" s="479" t="s">
        <v>458</v>
      </c>
      <c r="B98" s="479" t="s">
        <v>457</v>
      </c>
      <c r="C98" s="71">
        <v>0</v>
      </c>
      <c r="D98" s="71">
        <v>0</v>
      </c>
      <c r="E98" s="141">
        <v>0</v>
      </c>
      <c r="F98" s="71">
        <f>207+2626</f>
        <v>2833</v>
      </c>
      <c r="G98" s="117"/>
      <c r="H98" s="96">
        <f>99+1323</f>
        <v>1422</v>
      </c>
      <c r="I98" s="96">
        <v>2093</v>
      </c>
      <c r="J98" s="96">
        <f>207+2626</f>
        <v>2833</v>
      </c>
      <c r="K98" s="117"/>
      <c r="L98" s="591" t="e">
        <f t="shared" si="30"/>
        <v>#DIV/0!</v>
      </c>
      <c r="M98" s="591" t="e">
        <f>IF(I98&gt;0,I98/D98,0)</f>
        <v>#DIV/0!</v>
      </c>
      <c r="N98" s="136" t="e">
        <f>IF(J98&gt;0,J98/E98,0)</f>
        <v>#DIV/0!</v>
      </c>
      <c r="O98" s="120"/>
      <c r="P98" s="81">
        <f t="shared" si="31"/>
        <v>0</v>
      </c>
      <c r="Q98" s="81">
        <f t="shared" si="31"/>
        <v>0</v>
      </c>
      <c r="R98" s="81">
        <f t="shared" si="31"/>
        <v>2833</v>
      </c>
      <c r="S98" s="81">
        <f t="shared" si="28"/>
        <v>2833</v>
      </c>
      <c r="T98" s="85">
        <f t="shared" si="32"/>
        <v>0</v>
      </c>
      <c r="U98" s="120"/>
      <c r="V98" s="192">
        <f t="shared" si="29"/>
        <v>2833</v>
      </c>
      <c r="W98" s="122"/>
      <c r="X98" s="122"/>
    </row>
    <row r="99" spans="1:24" s="42" customFormat="1" x14ac:dyDescent="0.25">
      <c r="A99" s="4" t="s">
        <v>329</v>
      </c>
      <c r="B99" s="3" t="s">
        <v>330</v>
      </c>
      <c r="C99" s="216">
        <f>SUM(C100:C101)</f>
        <v>193219000</v>
      </c>
      <c r="D99" s="216">
        <f>SUM(D100:D101)</f>
        <v>193219000</v>
      </c>
      <c r="E99" s="216">
        <f>SUM(E100:E101)</f>
        <v>193219000</v>
      </c>
      <c r="F99" s="216">
        <f>SUM(F100:F101)</f>
        <v>189817334</v>
      </c>
      <c r="G99" s="216"/>
      <c r="H99" s="216">
        <f>SUM(H100:H101)</f>
        <v>94141502</v>
      </c>
      <c r="I99" s="216">
        <f>SUM(I100:I101)</f>
        <v>140302554</v>
      </c>
      <c r="J99" s="216">
        <f>SUM(J100:J101)</f>
        <v>189817334</v>
      </c>
      <c r="K99" s="216"/>
      <c r="L99" s="625">
        <f t="shared" si="30"/>
        <v>0.48722693937966766</v>
      </c>
      <c r="M99" s="619">
        <f t="shared" si="21"/>
        <v>0.72613228512723904</v>
      </c>
      <c r="N99" s="209">
        <f t="shared" si="22"/>
        <v>0.9823947644900346</v>
      </c>
      <c r="O99" s="216"/>
      <c r="P99" s="216">
        <f t="shared" si="31"/>
        <v>0</v>
      </c>
      <c r="Q99" s="216">
        <f t="shared" ref="Q99:R102" si="33">+(E99-D99)*Q$10</f>
        <v>0</v>
      </c>
      <c r="R99" s="216">
        <f t="shared" si="33"/>
        <v>-3401666</v>
      </c>
      <c r="S99" s="216">
        <f t="shared" si="28"/>
        <v>-3401666</v>
      </c>
      <c r="T99" s="262">
        <f t="shared" si="32"/>
        <v>-1.7605235509965376E-2</v>
      </c>
      <c r="U99" s="216"/>
      <c r="V99" s="256">
        <f t="shared" si="29"/>
        <v>-3401666</v>
      </c>
    </row>
    <row r="100" spans="1:24" x14ac:dyDescent="0.25">
      <c r="A100" s="14" t="s">
        <v>355</v>
      </c>
      <c r="B100" s="20" t="s">
        <v>382</v>
      </c>
      <c r="C100" s="141">
        <f>+C104</f>
        <v>191656859</v>
      </c>
      <c r="D100" s="218">
        <v>191656859</v>
      </c>
      <c r="E100" s="218">
        <v>191656859</v>
      </c>
      <c r="F100" s="218">
        <v>188255193</v>
      </c>
      <c r="G100" s="218"/>
      <c r="H100" s="218">
        <v>92579361</v>
      </c>
      <c r="I100" s="217">
        <v>138740413</v>
      </c>
      <c r="J100" s="218">
        <v>188255193</v>
      </c>
      <c r="K100" s="218"/>
      <c r="L100" s="616">
        <f t="shared" si="30"/>
        <v>0.48304747079257937</v>
      </c>
      <c r="M100" s="626">
        <f t="shared" si="21"/>
        <v>0.72390006662897466</v>
      </c>
      <c r="N100" s="210">
        <f t="shared" si="22"/>
        <v>0.98225126918103145</v>
      </c>
      <c r="O100" s="218"/>
      <c r="P100" s="81">
        <f>+(D100-C100)*P$10</f>
        <v>0</v>
      </c>
      <c r="Q100" s="81">
        <f t="shared" si="33"/>
        <v>0</v>
      </c>
      <c r="R100" s="81">
        <f t="shared" si="33"/>
        <v>-3401666</v>
      </c>
      <c r="S100" s="81">
        <f t="shared" si="28"/>
        <v>-3401666</v>
      </c>
      <c r="T100" s="257">
        <f t="shared" si="32"/>
        <v>-1.7748730818968498E-2</v>
      </c>
      <c r="U100" s="120"/>
      <c r="V100" s="192">
        <f t="shared" si="29"/>
        <v>-3401666</v>
      </c>
    </row>
    <row r="101" spans="1:24" ht="14.4" x14ac:dyDescent="0.3">
      <c r="A101" s="14" t="s">
        <v>343</v>
      </c>
      <c r="B101" s="20" t="s">
        <v>344</v>
      </c>
      <c r="C101" s="709">
        <v>1562141</v>
      </c>
      <c r="D101" s="560">
        <v>1562141</v>
      </c>
      <c r="E101" s="560">
        <v>1562141</v>
      </c>
      <c r="F101" s="218">
        <v>1562141</v>
      </c>
      <c r="G101" s="218"/>
      <c r="H101" s="560">
        <v>1562141</v>
      </c>
      <c r="I101" s="217">
        <v>1562141</v>
      </c>
      <c r="J101" s="217">
        <v>1562141</v>
      </c>
      <c r="K101" s="218"/>
      <c r="L101" s="617">
        <f t="shared" si="30"/>
        <v>1</v>
      </c>
      <c r="M101" s="627">
        <f t="shared" si="21"/>
        <v>1</v>
      </c>
      <c r="N101" s="208">
        <f t="shared" si="22"/>
        <v>1</v>
      </c>
      <c r="O101" s="218"/>
      <c r="P101" s="81">
        <f>+(D101-C101)*P$10</f>
        <v>0</v>
      </c>
      <c r="Q101" s="81">
        <f t="shared" si="33"/>
        <v>0</v>
      </c>
      <c r="R101" s="81">
        <f t="shared" si="33"/>
        <v>0</v>
      </c>
      <c r="S101" s="81">
        <f t="shared" si="28"/>
        <v>0</v>
      </c>
      <c r="T101" s="257">
        <f t="shared" si="32"/>
        <v>0</v>
      </c>
      <c r="U101" s="120"/>
      <c r="V101" s="192">
        <f t="shared" si="29"/>
        <v>0</v>
      </c>
    </row>
    <row r="102" spans="1:24" x14ac:dyDescent="0.25">
      <c r="A102" s="5"/>
      <c r="B102" s="5" t="s">
        <v>372</v>
      </c>
      <c r="C102" s="213">
        <f>+C95+C99+C93</f>
        <v>193219000</v>
      </c>
      <c r="D102" s="213">
        <f>+D95+D99+D93</f>
        <v>193219000</v>
      </c>
      <c r="E102" s="213">
        <f>+E95+E99+E93</f>
        <v>193219000</v>
      </c>
      <c r="F102" s="213">
        <f>+F95+F99+F93</f>
        <v>189820167</v>
      </c>
      <c r="G102" s="213"/>
      <c r="H102" s="213">
        <f>+H95+H99+H93</f>
        <v>94142924</v>
      </c>
      <c r="I102" s="213">
        <f>+I95+I99+I93</f>
        <v>140304647</v>
      </c>
      <c r="J102" s="213">
        <f>+J95+J99+J93</f>
        <v>189820167</v>
      </c>
      <c r="K102" s="213"/>
      <c r="L102" s="618">
        <f t="shared" si="30"/>
        <v>0.48723429890435205</v>
      </c>
      <c r="M102" s="619">
        <f t="shared" si="21"/>
        <v>0.72614311739528725</v>
      </c>
      <c r="N102" s="207">
        <f t="shared" si="22"/>
        <v>0.9824094266091844</v>
      </c>
      <c r="O102" s="213"/>
      <c r="P102" s="213">
        <f>+(D102-C102)*P$10</f>
        <v>0</v>
      </c>
      <c r="Q102" s="213">
        <f t="shared" si="33"/>
        <v>0</v>
      </c>
      <c r="R102" s="213">
        <f t="shared" si="33"/>
        <v>-3398833</v>
      </c>
      <c r="S102" s="213">
        <f t="shared" si="28"/>
        <v>-3398833</v>
      </c>
      <c r="T102" s="261">
        <f t="shared" si="32"/>
        <v>-1.7590573390815604E-2</v>
      </c>
      <c r="U102" s="213"/>
      <c r="V102" s="255">
        <f t="shared" si="29"/>
        <v>-3398833</v>
      </c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598"/>
      <c r="M103" s="598"/>
      <c r="O103" s="98"/>
      <c r="P103" s="98"/>
      <c r="Q103" s="98"/>
      <c r="R103" s="98"/>
      <c r="S103" s="98"/>
      <c r="T103" s="98"/>
      <c r="U103" s="98"/>
      <c r="V103" s="123"/>
    </row>
    <row r="104" spans="1:24" x14ac:dyDescent="0.25">
      <c r="B104" s="25"/>
      <c r="C104" s="97">
        <f>+C90-C101</f>
        <v>191656859</v>
      </c>
      <c r="D104" s="98"/>
      <c r="E104" s="98"/>
      <c r="F104" s="98"/>
      <c r="G104" s="98"/>
      <c r="H104" s="98"/>
      <c r="I104" s="98"/>
      <c r="J104" s="98"/>
      <c r="K104" s="98"/>
      <c r="L104" s="598"/>
      <c r="M104" s="598"/>
      <c r="O104" s="98"/>
      <c r="P104" s="98"/>
      <c r="Q104" s="98"/>
      <c r="R104" s="98"/>
      <c r="S104" s="98"/>
      <c r="T104" s="98"/>
      <c r="U104" s="98"/>
      <c r="V104" s="123"/>
    </row>
    <row r="105" spans="1:24" x14ac:dyDescent="0.25">
      <c r="B105" s="25"/>
      <c r="C105" s="17"/>
      <c r="L105" s="598"/>
      <c r="M105" s="598"/>
      <c r="V105" s="123"/>
    </row>
    <row r="106" spans="1:24" x14ac:dyDescent="0.25">
      <c r="B106" s="25"/>
      <c r="C106" s="17"/>
      <c r="D106" s="19"/>
      <c r="E106" s="19"/>
      <c r="F106" s="19"/>
      <c r="G106" s="19"/>
      <c r="K106" s="19"/>
      <c r="L106" s="598"/>
      <c r="M106" s="598"/>
      <c r="O106" s="19"/>
      <c r="V106" s="123"/>
    </row>
    <row r="107" spans="1:24" x14ac:dyDescent="0.25">
      <c r="A107" s="59"/>
      <c r="B107" s="59" t="s">
        <v>469</v>
      </c>
      <c r="C107" s="71">
        <v>192807166</v>
      </c>
      <c r="D107" s="98">
        <f>+C104-C107</f>
        <v>-1150307</v>
      </c>
      <c r="E107" s="708"/>
      <c r="L107" s="598"/>
      <c r="M107" s="598"/>
      <c r="V107" s="123"/>
    </row>
    <row r="108" spans="1:24" x14ac:dyDescent="0.25">
      <c r="B108" s="557"/>
      <c r="C108" s="574"/>
      <c r="D108" s="98"/>
      <c r="L108" s="598"/>
      <c r="M108" s="598"/>
      <c r="V108" s="123"/>
    </row>
    <row r="109" spans="1:24" x14ac:dyDescent="0.25">
      <c r="B109" s="25"/>
      <c r="C109" s="17"/>
      <c r="L109" s="598"/>
      <c r="M109" s="598"/>
    </row>
    <row r="110" spans="1:24" x14ac:dyDescent="0.25">
      <c r="B110" s="25"/>
      <c r="C110" s="17"/>
      <c r="L110" s="598"/>
      <c r="M110" s="598"/>
    </row>
    <row r="111" spans="1:24" x14ac:dyDescent="0.25">
      <c r="B111" s="25"/>
      <c r="C111" s="17"/>
      <c r="L111" s="598"/>
      <c r="M111" s="598"/>
    </row>
    <row r="112" spans="1:24" x14ac:dyDescent="0.25">
      <c r="B112" s="25"/>
      <c r="C112" s="17"/>
      <c r="L112" s="598"/>
      <c r="M112" s="598"/>
    </row>
    <row r="113" spans="1:13" x14ac:dyDescent="0.25">
      <c r="B113" s="25"/>
      <c r="C113" s="17"/>
      <c r="L113" s="598"/>
      <c r="M113" s="598"/>
    </row>
    <row r="114" spans="1:13" x14ac:dyDescent="0.25">
      <c r="B114" s="25"/>
      <c r="C114" s="17"/>
      <c r="L114" s="598"/>
      <c r="M114" s="598"/>
    </row>
    <row r="115" spans="1:13" x14ac:dyDescent="0.25">
      <c r="B115" s="25"/>
      <c r="C115" s="17"/>
      <c r="L115" s="598"/>
      <c r="M115" s="598"/>
    </row>
    <row r="116" spans="1:13" x14ac:dyDescent="0.25">
      <c r="B116" s="25"/>
      <c r="C116" s="17"/>
      <c r="L116" s="598"/>
      <c r="M116" s="598"/>
    </row>
    <row r="117" spans="1:13" x14ac:dyDescent="0.25">
      <c r="C117" s="17"/>
      <c r="L117" s="598"/>
      <c r="M117" s="598"/>
    </row>
    <row r="118" spans="1:13" x14ac:dyDescent="0.25">
      <c r="A118" s="30"/>
      <c r="B118" s="26"/>
      <c r="C118" s="17"/>
      <c r="L118" s="598"/>
      <c r="M118" s="598"/>
    </row>
    <row r="119" spans="1:13" x14ac:dyDescent="0.25">
      <c r="B119" s="25"/>
      <c r="C119" s="17"/>
      <c r="L119" s="598"/>
      <c r="M119" s="598"/>
    </row>
    <row r="120" spans="1:13" x14ac:dyDescent="0.25">
      <c r="B120" s="25"/>
      <c r="C120" s="17"/>
      <c r="L120" s="598"/>
      <c r="M120" s="598"/>
    </row>
    <row r="121" spans="1:13" x14ac:dyDescent="0.25">
      <c r="B121" s="25"/>
      <c r="C121" s="17"/>
      <c r="L121" s="598"/>
      <c r="M121" s="598"/>
    </row>
    <row r="122" spans="1:13" x14ac:dyDescent="0.25">
      <c r="B122" s="25"/>
      <c r="C122" s="17"/>
      <c r="L122" s="598"/>
      <c r="M122" s="598"/>
    </row>
    <row r="123" spans="1:13" x14ac:dyDescent="0.25">
      <c r="B123" s="25"/>
      <c r="C123" s="17"/>
      <c r="L123" s="598"/>
      <c r="M123" s="598"/>
    </row>
    <row r="124" spans="1:13" x14ac:dyDescent="0.25">
      <c r="B124" s="25"/>
      <c r="C124" s="17"/>
      <c r="L124" s="598"/>
      <c r="M124" s="598"/>
    </row>
    <row r="125" spans="1:13" x14ac:dyDescent="0.25">
      <c r="B125" s="25"/>
      <c r="C125" s="17"/>
      <c r="L125" s="598"/>
      <c r="M125" s="598"/>
    </row>
    <row r="126" spans="1:13" x14ac:dyDescent="0.25">
      <c r="B126" s="25"/>
      <c r="C126" s="17"/>
      <c r="L126" s="598"/>
      <c r="M126" s="598"/>
    </row>
    <row r="127" spans="1:13" x14ac:dyDescent="0.25">
      <c r="B127" s="25"/>
      <c r="C127" s="17"/>
      <c r="L127" s="598"/>
      <c r="M127" s="598"/>
    </row>
    <row r="128" spans="1:13" x14ac:dyDescent="0.25">
      <c r="C128" s="17"/>
      <c r="L128" s="598"/>
      <c r="M128" s="598"/>
    </row>
    <row r="129" spans="1:13" x14ac:dyDescent="0.25">
      <c r="A129" s="30"/>
      <c r="B129" s="26"/>
      <c r="C129" s="17"/>
      <c r="L129" s="598"/>
      <c r="M129" s="598"/>
    </row>
    <row r="130" spans="1:13" x14ac:dyDescent="0.25">
      <c r="B130" s="25"/>
      <c r="C130" s="17"/>
      <c r="L130" s="598"/>
      <c r="M130" s="598"/>
    </row>
    <row r="131" spans="1:13" x14ac:dyDescent="0.25">
      <c r="B131" s="25"/>
      <c r="C131" s="17"/>
      <c r="L131" s="598"/>
      <c r="M131" s="598"/>
    </row>
    <row r="132" spans="1:13" x14ac:dyDescent="0.25">
      <c r="B132" s="25"/>
      <c r="C132" s="17"/>
      <c r="L132" s="598"/>
      <c r="M132" s="598"/>
    </row>
    <row r="133" spans="1:13" x14ac:dyDescent="0.25">
      <c r="B133" s="25"/>
      <c r="C133" s="17"/>
      <c r="L133" s="598"/>
      <c r="M133" s="598"/>
    </row>
    <row r="134" spans="1:13" x14ac:dyDescent="0.25">
      <c r="B134" s="25"/>
      <c r="C134" s="17"/>
      <c r="L134" s="598"/>
      <c r="M134" s="598"/>
    </row>
    <row r="135" spans="1:13" x14ac:dyDescent="0.25">
      <c r="B135" s="25"/>
      <c r="C135" s="17"/>
      <c r="L135" s="598"/>
      <c r="M135" s="598"/>
    </row>
    <row r="136" spans="1:13" x14ac:dyDescent="0.25">
      <c r="B136" s="25"/>
      <c r="C136" s="17"/>
      <c r="L136" s="598"/>
      <c r="M136" s="598"/>
    </row>
    <row r="137" spans="1:13" x14ac:dyDescent="0.25">
      <c r="C137" s="17"/>
      <c r="L137" s="598"/>
      <c r="M137" s="598"/>
    </row>
    <row r="138" spans="1:13" x14ac:dyDescent="0.25">
      <c r="A138" s="30"/>
      <c r="B138" s="26"/>
      <c r="C138" s="17"/>
      <c r="L138" s="598"/>
      <c r="M138" s="598"/>
    </row>
    <row r="139" spans="1:13" x14ac:dyDescent="0.25">
      <c r="B139" s="25"/>
      <c r="C139" s="17"/>
      <c r="L139" s="598"/>
      <c r="M139" s="598"/>
    </row>
    <row r="140" spans="1:13" x14ac:dyDescent="0.25">
      <c r="B140" s="25"/>
      <c r="C140" s="17"/>
      <c r="L140" s="598"/>
      <c r="M140" s="598"/>
    </row>
    <row r="141" spans="1:13" x14ac:dyDescent="0.25">
      <c r="B141" s="25"/>
      <c r="C141" s="17"/>
      <c r="L141" s="598"/>
      <c r="M141" s="598"/>
    </row>
    <row r="142" spans="1:13" x14ac:dyDescent="0.25">
      <c r="B142" s="25"/>
      <c r="C142" s="17"/>
    </row>
    <row r="143" spans="1:13" x14ac:dyDescent="0.25">
      <c r="C143" s="17"/>
    </row>
    <row r="144" spans="1:13" x14ac:dyDescent="0.25">
      <c r="A144" s="30"/>
      <c r="B144" s="26"/>
      <c r="C144" s="17"/>
    </row>
    <row r="145" spans="1:3" x14ac:dyDescent="0.25">
      <c r="B145" s="25"/>
      <c r="C145" s="17"/>
    </row>
    <row r="146" spans="1:3" x14ac:dyDescent="0.25">
      <c r="B146" s="25"/>
      <c r="C146" s="17"/>
    </row>
    <row r="147" spans="1:3" x14ac:dyDescent="0.25">
      <c r="B147" s="25"/>
      <c r="C147" s="17"/>
    </row>
    <row r="148" spans="1:3" x14ac:dyDescent="0.25">
      <c r="B148" s="25"/>
      <c r="C148" s="17"/>
    </row>
    <row r="149" spans="1:3" x14ac:dyDescent="0.25">
      <c r="B149" s="25"/>
      <c r="C149" s="17"/>
    </row>
    <row r="150" spans="1:3" x14ac:dyDescent="0.25">
      <c r="B150" s="25"/>
      <c r="C150" s="17"/>
    </row>
    <row r="151" spans="1:3" x14ac:dyDescent="0.25">
      <c r="B151" s="25"/>
      <c r="C151" s="17"/>
    </row>
    <row r="152" spans="1:3" x14ac:dyDescent="0.25">
      <c r="B152" s="25"/>
      <c r="C152" s="17"/>
    </row>
    <row r="153" spans="1:3" x14ac:dyDescent="0.25">
      <c r="C153" s="17"/>
    </row>
    <row r="154" spans="1:3" x14ac:dyDescent="0.25">
      <c r="A154" s="30"/>
      <c r="B154" s="26"/>
      <c r="C154" s="17"/>
    </row>
    <row r="155" spans="1:3" x14ac:dyDescent="0.25">
      <c r="B155" s="25"/>
      <c r="C155" s="17"/>
    </row>
    <row r="156" spans="1:3" x14ac:dyDescent="0.25">
      <c r="B156" s="25"/>
      <c r="C156" s="17"/>
    </row>
    <row r="157" spans="1:3" x14ac:dyDescent="0.25">
      <c r="B157" s="25"/>
      <c r="C157" s="17"/>
    </row>
    <row r="158" spans="1:3" x14ac:dyDescent="0.25">
      <c r="B158" s="25"/>
      <c r="C158" s="17"/>
    </row>
    <row r="159" spans="1:3" x14ac:dyDescent="0.25">
      <c r="B159" s="25"/>
      <c r="C159" s="17"/>
    </row>
    <row r="160" spans="1:3" x14ac:dyDescent="0.25">
      <c r="B160" s="25"/>
      <c r="C160" s="17"/>
    </row>
    <row r="161" spans="2:3" x14ac:dyDescent="0.25">
      <c r="B161" s="25"/>
      <c r="C161" s="17"/>
    </row>
    <row r="162" spans="2:3" x14ac:dyDescent="0.25">
      <c r="B162" s="25"/>
      <c r="C162" s="17"/>
    </row>
    <row r="163" spans="2:3" x14ac:dyDescent="0.25">
      <c r="B163" s="25"/>
      <c r="C163" s="17"/>
    </row>
    <row r="164" spans="2:3" x14ac:dyDescent="0.25">
      <c r="B164" s="25"/>
      <c r="C164" s="17"/>
    </row>
    <row r="165" spans="2:3" x14ac:dyDescent="0.25">
      <c r="B165" s="25"/>
      <c r="C165" s="17"/>
    </row>
    <row r="166" spans="2:3" x14ac:dyDescent="0.25">
      <c r="B166" s="25"/>
      <c r="C166" s="17"/>
    </row>
    <row r="167" spans="2:3" x14ac:dyDescent="0.25">
      <c r="B167" s="25"/>
      <c r="C167" s="17"/>
    </row>
    <row r="168" spans="2:3" x14ac:dyDescent="0.25">
      <c r="B168" s="25"/>
      <c r="C168" s="17"/>
    </row>
    <row r="169" spans="2:3" x14ac:dyDescent="0.25">
      <c r="B169" s="25"/>
      <c r="C169" s="17"/>
    </row>
    <row r="170" spans="2:3" x14ac:dyDescent="0.25">
      <c r="B170" s="25"/>
      <c r="C170" s="17"/>
    </row>
    <row r="171" spans="2:3" x14ac:dyDescent="0.25">
      <c r="B171" s="25"/>
      <c r="C171" s="17"/>
    </row>
    <row r="172" spans="2:3" x14ac:dyDescent="0.25">
      <c r="B172" s="25"/>
      <c r="C172" s="17"/>
    </row>
    <row r="173" spans="2:3" x14ac:dyDescent="0.25">
      <c r="B173" s="25"/>
      <c r="C173" s="17"/>
    </row>
    <row r="174" spans="2:3" x14ac:dyDescent="0.25">
      <c r="B174" s="25"/>
      <c r="C174" s="17"/>
    </row>
    <row r="175" spans="2:3" x14ac:dyDescent="0.25">
      <c r="B175" s="25"/>
      <c r="C175" s="17"/>
    </row>
    <row r="176" spans="2:3" x14ac:dyDescent="0.25">
      <c r="C176" s="17"/>
    </row>
  </sheetData>
  <mergeCells count="6">
    <mergeCell ref="C9:F9"/>
    <mergeCell ref="H9:N9"/>
    <mergeCell ref="P9:T9"/>
    <mergeCell ref="H10:J10"/>
    <mergeCell ref="L10:N10"/>
    <mergeCell ref="C10:F10"/>
  </mergeCells>
  <phoneticPr fontId="2" type="noConversion"/>
  <printOptions horizontalCentered="1"/>
  <pageMargins left="0" right="0" top="0.59055118110236227" bottom="0" header="0.51181102362204722" footer="0.51181102362204722"/>
  <pageSetup paperSize="9" scale="50" fitToHeight="0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view="pageBreakPreview" zoomScaleNormal="65" zoomScaleSheetLayoutView="100" workbookViewId="0">
      <selection activeCell="C10" sqref="C10:F10"/>
    </sheetView>
  </sheetViews>
  <sheetFormatPr defaultRowHeight="12.75" customHeight="1" x14ac:dyDescent="0.25"/>
  <cols>
    <col min="1" max="1" width="7.44140625" style="13" customWidth="1"/>
    <col min="2" max="2" width="55.44140625" style="13" customWidth="1"/>
    <col min="3" max="5" width="15.5546875" style="13" customWidth="1"/>
    <col min="6" max="6" width="13.77734375" style="13" customWidth="1"/>
    <col min="7" max="7" width="0.6640625" style="13" customWidth="1"/>
    <col min="8" max="9" width="15.5546875" style="13" customWidth="1"/>
    <col min="10" max="10" width="14.21875" style="13" customWidth="1"/>
    <col min="11" max="11" width="0.6640625" style="13" customWidth="1"/>
    <col min="12" max="13" width="10.5546875" style="13" customWidth="1"/>
    <col min="14" max="14" width="9.5546875" style="13" bestFit="1" customWidth="1"/>
    <col min="15" max="15" width="0.6640625" style="13" customWidth="1"/>
    <col min="16" max="17" width="14.5546875" style="13" customWidth="1"/>
    <col min="18" max="18" width="14.5546875" style="13" hidden="1" customWidth="1"/>
    <col min="19" max="19" width="15.5546875" style="13" customWidth="1"/>
    <col min="21" max="21" width="1.5546875" customWidth="1"/>
    <col min="22" max="22" width="4.5546875" customWidth="1"/>
  </cols>
  <sheetData>
    <row r="1" spans="1:26" ht="24.6" x14ac:dyDescent="0.4">
      <c r="A1" s="226" t="s">
        <v>417</v>
      </c>
      <c r="B1" s="225"/>
      <c r="C1" s="225"/>
      <c r="D1" s="225"/>
      <c r="E1" s="225"/>
      <c r="F1" s="225"/>
      <c r="G1" s="224"/>
      <c r="H1" s="223"/>
      <c r="I1" s="223"/>
      <c r="J1" s="221" t="str">
        <f>+'1. Sülysáp összesen'!J1</f>
        <v>2019. ÉVI ZÁRSZÁMADÁS</v>
      </c>
      <c r="K1" s="227"/>
      <c r="L1" s="227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46"/>
      <c r="X1" s="46"/>
      <c r="Y1" s="46"/>
    </row>
    <row r="2" spans="1:26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ht="13.2" x14ac:dyDescent="0.25">
      <c r="A4" s="264"/>
      <c r="B4" s="263"/>
      <c r="C4" s="88"/>
      <c r="D4" s="88"/>
      <c r="E4" s="88"/>
      <c r="F4" s="88"/>
      <c r="G4" s="88"/>
      <c r="H4" s="88"/>
      <c r="I4" s="88"/>
      <c r="J4" s="88"/>
      <c r="K4" s="88"/>
      <c r="L4" s="263"/>
      <c r="M4" s="263"/>
      <c r="N4" s="263"/>
      <c r="O4" s="263"/>
      <c r="P4" s="88"/>
      <c r="Q4" s="88"/>
      <c r="R4" s="88"/>
      <c r="S4" s="88"/>
      <c r="T4" s="88"/>
      <c r="U4" s="263"/>
      <c r="V4" s="249"/>
      <c r="W4" s="122"/>
      <c r="X4" s="122"/>
    </row>
    <row r="5" spans="1:26" ht="20.100000000000001" customHeight="1" x14ac:dyDescent="0.3">
      <c r="A5" s="245"/>
      <c r="B5" s="245" t="s">
        <v>373</v>
      </c>
      <c r="C5" s="246">
        <f>+C89</f>
        <v>65578000</v>
      </c>
      <c r="D5" s="246">
        <f>+D89</f>
        <v>65578000</v>
      </c>
      <c r="E5" s="246">
        <f>+E89</f>
        <v>65578000</v>
      </c>
      <c r="F5" s="246">
        <f>+F89</f>
        <v>64814413</v>
      </c>
      <c r="G5" s="246"/>
      <c r="H5" s="246">
        <f>+H89</f>
        <v>31656497</v>
      </c>
      <c r="I5" s="246">
        <f>+I89</f>
        <v>46781710</v>
      </c>
      <c r="J5" s="246">
        <f>+J89</f>
        <v>62913898</v>
      </c>
      <c r="K5" s="89"/>
      <c r="L5" s="639">
        <f t="shared" ref="L5:N6" si="0">IF(H5&gt;0,H5/C5,0)</f>
        <v>0.48273044313641772</v>
      </c>
      <c r="M5" s="639">
        <f t="shared" si="0"/>
        <v>0.71337506480831991</v>
      </c>
      <c r="N5" s="639">
        <f t="shared" si="0"/>
        <v>0.95937506480831991</v>
      </c>
      <c r="O5" s="639"/>
      <c r="P5" s="246">
        <f>+P89</f>
        <v>0</v>
      </c>
      <c r="Q5" s="246">
        <f>+Q89</f>
        <v>0</v>
      </c>
      <c r="R5" s="246">
        <f>+R89</f>
        <v>-763587</v>
      </c>
      <c r="S5" s="246">
        <f>+S89</f>
        <v>-763587</v>
      </c>
      <c r="T5" s="132">
        <f>IF(C5=0,0,+S5/C5)</f>
        <v>-1.1643950715178871E-2</v>
      </c>
      <c r="U5" s="118"/>
      <c r="V5" s="195">
        <f>+S5-E5+C5</f>
        <v>-763587</v>
      </c>
      <c r="W5" s="122"/>
      <c r="X5" s="122"/>
    </row>
    <row r="6" spans="1:26" ht="20.100000000000001" customHeight="1" x14ac:dyDescent="0.3">
      <c r="A6" s="247"/>
      <c r="B6" s="247" t="s">
        <v>372</v>
      </c>
      <c r="C6" s="248">
        <f>+C102</f>
        <v>65578000</v>
      </c>
      <c r="D6" s="248">
        <f>+D102</f>
        <v>65578000</v>
      </c>
      <c r="E6" s="248">
        <f>+E102</f>
        <v>65578000</v>
      </c>
      <c r="F6" s="248">
        <f>+F102</f>
        <v>64814413</v>
      </c>
      <c r="G6" s="248"/>
      <c r="H6" s="248">
        <f>+H102</f>
        <v>37591080</v>
      </c>
      <c r="I6" s="248">
        <f>+I102</f>
        <v>51159254</v>
      </c>
      <c r="J6" s="248">
        <f>+J102</f>
        <v>65247898</v>
      </c>
      <c r="K6" s="67"/>
      <c r="L6" s="639">
        <f t="shared" si="0"/>
        <v>0.5732269968587026</v>
      </c>
      <c r="M6" s="639">
        <f t="shared" si="0"/>
        <v>0.78012830522431298</v>
      </c>
      <c r="N6" s="639">
        <f t="shared" si="0"/>
        <v>0.99496626917563813</v>
      </c>
      <c r="O6" s="639"/>
      <c r="P6" s="248">
        <f>+P102</f>
        <v>0</v>
      </c>
      <c r="Q6" s="248">
        <f>+Q102</f>
        <v>0</v>
      </c>
      <c r="R6" s="248">
        <f>+R102</f>
        <v>-763587</v>
      </c>
      <c r="S6" s="248">
        <f>+S102</f>
        <v>-763587</v>
      </c>
      <c r="T6" s="31">
        <f>IF(C6=0,0,+S6/C6)</f>
        <v>-1.1643950715178871E-2</v>
      </c>
      <c r="U6" s="118"/>
      <c r="V6" s="195">
        <f>+S6-E6+C6</f>
        <v>-763587</v>
      </c>
      <c r="W6" s="122"/>
      <c r="X6" s="122"/>
    </row>
    <row r="7" spans="1:26" ht="20.100000000000001" customHeight="1" x14ac:dyDescent="0.3">
      <c r="A7" s="247"/>
      <c r="B7" s="247" t="s">
        <v>404</v>
      </c>
      <c r="C7" s="248">
        <f>+C6-C5</f>
        <v>0</v>
      </c>
      <c r="D7" s="248">
        <f>+D6-D5</f>
        <v>0</v>
      </c>
      <c r="E7" s="248">
        <f>+E6-E5</f>
        <v>0</v>
      </c>
      <c r="F7" s="248">
        <f>+F6-F5</f>
        <v>0</v>
      </c>
      <c r="G7" s="248"/>
      <c r="H7" s="248">
        <f>+H6-H5</f>
        <v>5934583</v>
      </c>
      <c r="I7" s="248">
        <f>+I6-I5</f>
        <v>4377544</v>
      </c>
      <c r="J7" s="248">
        <f>+J6-J5</f>
        <v>2334000</v>
      </c>
      <c r="K7" s="67"/>
      <c r="L7" s="639"/>
      <c r="M7" s="639"/>
      <c r="N7" s="639"/>
      <c r="O7" s="639"/>
      <c r="P7" s="248">
        <f>+P6-P5</f>
        <v>0</v>
      </c>
      <c r="Q7" s="248">
        <f>+Q6-Q5</f>
        <v>0</v>
      </c>
      <c r="R7" s="248">
        <f>+R6-R5</f>
        <v>0</v>
      </c>
      <c r="S7" s="248">
        <f>+S6-S5</f>
        <v>0</v>
      </c>
      <c r="T7" s="31">
        <f>IF(C7=0,0,+S7/C7)</f>
        <v>0</v>
      </c>
      <c r="U7" s="118"/>
      <c r="V7" s="195">
        <f>+S7-E7+C7</f>
        <v>0</v>
      </c>
      <c r="W7" s="122"/>
      <c r="X7" s="122"/>
    </row>
    <row r="8" spans="1:26" ht="13.2" x14ac:dyDescent="0.25">
      <c r="A8" s="231"/>
      <c r="B8" s="232"/>
      <c r="C8" s="609"/>
      <c r="D8" s="610"/>
      <c r="E8" s="610"/>
      <c r="F8" s="610"/>
      <c r="G8" s="611"/>
      <c r="H8" s="611"/>
      <c r="I8" s="611"/>
      <c r="J8" s="611"/>
      <c r="K8" s="611"/>
      <c r="L8" s="136"/>
      <c r="M8" s="136"/>
      <c r="N8" s="136"/>
      <c r="O8" s="120"/>
      <c r="P8" s="81"/>
      <c r="Q8" s="81"/>
      <c r="R8" s="81"/>
      <c r="S8" s="81"/>
      <c r="T8" s="151"/>
      <c r="U8" s="120"/>
      <c r="V8" s="192"/>
      <c r="W8" s="122"/>
      <c r="X8" s="122"/>
    </row>
    <row r="9" spans="1:26" ht="15.6" x14ac:dyDescent="0.3">
      <c r="A9" s="62"/>
      <c r="B9" s="233"/>
      <c r="C9" s="1442" t="s">
        <v>403</v>
      </c>
      <c r="D9" s="1450"/>
      <c r="E9" s="1450"/>
      <c r="F9" s="1451"/>
      <c r="G9" s="153"/>
      <c r="H9" s="1442" t="s">
        <v>402</v>
      </c>
      <c r="I9" s="1450"/>
      <c r="J9" s="1450"/>
      <c r="K9" s="1450"/>
      <c r="L9" s="1450"/>
      <c r="M9" s="1450"/>
      <c r="N9" s="1451"/>
      <c r="O9" s="153"/>
      <c r="P9" s="1442" t="s">
        <v>399</v>
      </c>
      <c r="Q9" s="1450"/>
      <c r="R9" s="1450"/>
      <c r="S9" s="1450"/>
      <c r="T9" s="1451"/>
      <c r="U9" s="196"/>
      <c r="V9" s="192"/>
      <c r="W9" s="122"/>
      <c r="X9" s="122"/>
    </row>
    <row r="10" spans="1:26" ht="13.2" x14ac:dyDescent="0.25">
      <c r="A10" s="264"/>
      <c r="B10" s="263"/>
      <c r="C10" s="1437" t="s">
        <v>412</v>
      </c>
      <c r="D10" s="1438"/>
      <c r="E10" s="1438"/>
      <c r="F10" s="1439"/>
      <c r="G10" s="133"/>
      <c r="H10" s="1437" t="s">
        <v>412</v>
      </c>
      <c r="I10" s="1438"/>
      <c r="J10" s="1439"/>
      <c r="K10" s="133"/>
      <c r="L10" s="1437" t="s">
        <v>411</v>
      </c>
      <c r="M10" s="1438"/>
      <c r="N10" s="1439"/>
      <c r="O10" s="134"/>
      <c r="P10" s="127">
        <f>+'3. Önk. Kiadások'!P8</f>
        <v>1</v>
      </c>
      <c r="Q10" s="127">
        <f>+'3. Önk. Kiadások'!Q8</f>
        <v>1</v>
      </c>
      <c r="R10" s="127">
        <f>+'3. Önk. Kiadások'!R8</f>
        <v>1</v>
      </c>
      <c r="S10" s="126"/>
      <c r="T10" s="126"/>
      <c r="U10" s="152"/>
      <c r="V10" s="250"/>
      <c r="W10" s="130"/>
      <c r="X10" s="130"/>
      <c r="Y10" s="130"/>
      <c r="Z10" s="130"/>
    </row>
    <row r="11" spans="1:26" ht="61.2" x14ac:dyDescent="0.25">
      <c r="A11" s="27" t="s">
        <v>368</v>
      </c>
      <c r="B11" s="27" t="s">
        <v>366</v>
      </c>
      <c r="C11" s="517" t="s">
        <v>484</v>
      </c>
      <c r="D11" s="355" t="s">
        <v>485</v>
      </c>
      <c r="E11" s="355" t="s">
        <v>486</v>
      </c>
      <c r="F11" s="518" t="s">
        <v>502</v>
      </c>
      <c r="G11" s="355"/>
      <c r="H11" s="491" t="s">
        <v>487</v>
      </c>
      <c r="I11" s="356" t="s">
        <v>488</v>
      </c>
      <c r="J11" s="356" t="s">
        <v>501</v>
      </c>
      <c r="K11" s="355"/>
      <c r="L11" s="357" t="s">
        <v>489</v>
      </c>
      <c r="M11" s="357" t="s">
        <v>490</v>
      </c>
      <c r="N11" s="492" t="s">
        <v>503</v>
      </c>
      <c r="O11" s="355"/>
      <c r="P11" s="491" t="s">
        <v>491</v>
      </c>
      <c r="Q11" s="356" t="s">
        <v>492</v>
      </c>
      <c r="R11" s="356" t="s">
        <v>470</v>
      </c>
      <c r="S11" s="356" t="s">
        <v>400</v>
      </c>
      <c r="T11" s="492" t="s">
        <v>401</v>
      </c>
      <c r="U11" s="186"/>
      <c r="V11" s="131" t="s">
        <v>405</v>
      </c>
      <c r="W11" s="122"/>
      <c r="X11" s="122"/>
    </row>
    <row r="12" spans="1:26" ht="13.2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06"/>
      <c r="M12" s="606"/>
      <c r="N12" s="606"/>
      <c r="O12" s="68"/>
      <c r="P12" s="68"/>
      <c r="Q12" s="68"/>
      <c r="R12" s="68"/>
      <c r="S12" s="68"/>
      <c r="T12" s="68"/>
      <c r="U12" s="68"/>
      <c r="V12" s="251"/>
    </row>
    <row r="13" spans="1:26" ht="12.75" customHeight="1" x14ac:dyDescent="0.25">
      <c r="A13" s="7" t="s">
        <v>0</v>
      </c>
      <c r="B13" s="5" t="s">
        <v>3</v>
      </c>
      <c r="C13" s="267">
        <f>+C14+C24</f>
        <v>43340000</v>
      </c>
      <c r="D13" s="267">
        <f>+D14+D24</f>
        <v>43340000</v>
      </c>
      <c r="E13" s="267">
        <f>+E14+E24</f>
        <v>43340000</v>
      </c>
      <c r="F13" s="267">
        <f>+F14+F24</f>
        <v>43222000</v>
      </c>
      <c r="G13" s="267"/>
      <c r="H13" s="267">
        <f>+H14+H24</f>
        <v>20669168</v>
      </c>
      <c r="I13" s="267">
        <f>+I14+I24</f>
        <v>31333670</v>
      </c>
      <c r="J13" s="267">
        <f>+J14+J24</f>
        <v>43186814</v>
      </c>
      <c r="K13" s="267">
        <f>SUM(K14:K28)</f>
        <v>0</v>
      </c>
      <c r="L13" s="588">
        <f t="shared" ref="L13:L27" si="1">IF(H13&gt;0,H13/C13,0)</f>
        <v>0.47690742962621135</v>
      </c>
      <c r="M13" s="588">
        <f t="shared" ref="M13:M27" si="2">IF(I13&gt;0,I13/D13,0)</f>
        <v>0.72297346562067377</v>
      </c>
      <c r="N13" s="588">
        <f t="shared" ref="N13:N27" si="3">IF(J13&gt;0,J13/E13,0)</f>
        <v>0.99646548223350251</v>
      </c>
      <c r="O13" s="267"/>
      <c r="P13" s="267">
        <f t="shared" ref="P13:P27" si="4">+(D13-C13)*P$10</f>
        <v>0</v>
      </c>
      <c r="Q13" s="267">
        <f t="shared" ref="Q13:Q27" si="5">+(E13-D13)*Q$10</f>
        <v>0</v>
      </c>
      <c r="R13" s="267">
        <f t="shared" ref="R13:R27" si="6">+(F13-E13)*R$10</f>
        <v>-118000</v>
      </c>
      <c r="S13" s="267">
        <f>+P13*P$10+Q13*Q$10+R13*R$10</f>
        <v>-118000</v>
      </c>
      <c r="T13" s="278">
        <f>IF(C13=0,0,+S13/C13)</f>
        <v>-2.7226580526072911E-3</v>
      </c>
      <c r="U13" s="120"/>
      <c r="V13" s="192">
        <f>+S13-E13+C13</f>
        <v>-118000</v>
      </c>
    </row>
    <row r="14" spans="1:26" ht="12.75" customHeight="1" x14ac:dyDescent="0.25">
      <c r="A14" s="14" t="s">
        <v>1</v>
      </c>
      <c r="B14" s="20"/>
      <c r="C14" s="271">
        <f>SUM(C15:C23)</f>
        <v>43100000</v>
      </c>
      <c r="D14" s="271">
        <f>SUM(D15:D23)</f>
        <v>43100000</v>
      </c>
      <c r="E14" s="271">
        <f>SUM(E15:E23)</f>
        <v>43100000</v>
      </c>
      <c r="F14" s="271">
        <f>SUM(F15:F23)</f>
        <v>42979000</v>
      </c>
      <c r="G14" s="268"/>
      <c r="H14" s="271">
        <f>SUM(H15:H23)</f>
        <v>20549168</v>
      </c>
      <c r="I14" s="271">
        <f>SUM(I15:I23)</f>
        <v>31153670</v>
      </c>
      <c r="J14" s="271">
        <f>SUM(J15:J23)</f>
        <v>42944200</v>
      </c>
      <c r="K14" s="268"/>
      <c r="L14" s="591">
        <f t="shared" si="1"/>
        <v>0.47677883990719255</v>
      </c>
      <c r="M14" s="591">
        <f t="shared" si="2"/>
        <v>0.72282296983758698</v>
      </c>
      <c r="N14" s="591">
        <f t="shared" si="3"/>
        <v>0.99638515081206491</v>
      </c>
      <c r="O14" s="268"/>
      <c r="P14" s="81">
        <f t="shared" si="4"/>
        <v>0</v>
      </c>
      <c r="Q14" s="81">
        <f t="shared" si="5"/>
        <v>0</v>
      </c>
      <c r="R14" s="81">
        <f t="shared" si="6"/>
        <v>-121000</v>
      </c>
      <c r="S14" s="81">
        <f t="shared" ref="S14:S30" si="7">+P14*P$10+Q14*Q$10+R14*R$10</f>
        <v>-121000</v>
      </c>
      <c r="T14" s="277">
        <f>IF(C14=0,0,+S14/C14)</f>
        <v>-2.8074245939675173E-3</v>
      </c>
      <c r="U14" s="120"/>
      <c r="V14" s="192">
        <f>+S14-E14+C14</f>
        <v>-121000</v>
      </c>
    </row>
    <row r="15" spans="1:26" ht="12.75" customHeight="1" x14ac:dyDescent="0.25">
      <c r="A15" s="14" t="s">
        <v>2</v>
      </c>
      <c r="B15" s="479" t="s">
        <v>358</v>
      </c>
      <c r="C15" s="268">
        <f>41250000-600000</f>
        <v>40650000</v>
      </c>
      <c r="D15" s="268">
        <v>40650000</v>
      </c>
      <c r="E15" s="268">
        <v>40650000</v>
      </c>
      <c r="F15" s="268">
        <v>39670000</v>
      </c>
      <c r="G15" s="268"/>
      <c r="H15" s="269">
        <v>20251489</v>
      </c>
      <c r="I15" s="269">
        <v>29862813</v>
      </c>
      <c r="J15" s="269">
        <v>39667576</v>
      </c>
      <c r="K15" s="268"/>
      <c r="L15" s="591">
        <f t="shared" si="1"/>
        <v>0.49819161131611317</v>
      </c>
      <c r="M15" s="591">
        <f t="shared" si="2"/>
        <v>0.73463254612546125</v>
      </c>
      <c r="N15" s="591">
        <f t="shared" si="3"/>
        <v>0.97583212792127916</v>
      </c>
      <c r="O15" s="268"/>
      <c r="P15" s="81">
        <f t="shared" si="4"/>
        <v>0</v>
      </c>
      <c r="Q15" s="81">
        <f t="shared" si="5"/>
        <v>0</v>
      </c>
      <c r="R15" s="81">
        <f t="shared" si="6"/>
        <v>-980000</v>
      </c>
      <c r="S15" s="81">
        <f t="shared" si="7"/>
        <v>-980000</v>
      </c>
      <c r="T15" s="277">
        <f t="shared" ref="T15:T27" si="8">IF(C15=0,0,+S15/C15)</f>
        <v>-2.4108241082410824E-2</v>
      </c>
      <c r="U15" s="120"/>
      <c r="V15" s="192">
        <f t="shared" ref="V15:V27" si="9">+S15-E15+C15</f>
        <v>-980000</v>
      </c>
    </row>
    <row r="16" spans="1:26" ht="12.75" customHeight="1" x14ac:dyDescent="0.25">
      <c r="A16" s="526" t="s">
        <v>507</v>
      </c>
      <c r="B16" s="479" t="s">
        <v>517</v>
      </c>
      <c r="C16" s="268">
        <v>0</v>
      </c>
      <c r="D16" s="268"/>
      <c r="E16" s="268"/>
      <c r="F16" s="268">
        <v>1032000</v>
      </c>
      <c r="G16" s="268"/>
      <c r="H16" s="269"/>
      <c r="I16" s="269"/>
      <c r="J16" s="269">
        <v>1031480</v>
      </c>
      <c r="K16" s="268"/>
      <c r="L16" s="591">
        <f t="shared" si="1"/>
        <v>0</v>
      </c>
      <c r="M16" s="591">
        <f t="shared" si="2"/>
        <v>0</v>
      </c>
      <c r="N16" s="591" t="e">
        <f t="shared" si="3"/>
        <v>#DIV/0!</v>
      </c>
      <c r="O16" s="268"/>
      <c r="P16" s="81">
        <f t="shared" si="4"/>
        <v>0</v>
      </c>
      <c r="Q16" s="81">
        <f t="shared" si="5"/>
        <v>0</v>
      </c>
      <c r="R16" s="81">
        <f t="shared" si="6"/>
        <v>1032000</v>
      </c>
      <c r="S16" s="81">
        <f t="shared" si="7"/>
        <v>1032000</v>
      </c>
      <c r="T16" s="277">
        <f t="shared" si="8"/>
        <v>0</v>
      </c>
      <c r="U16" s="120"/>
      <c r="V16" s="192">
        <f t="shared" si="9"/>
        <v>1032000</v>
      </c>
    </row>
    <row r="17" spans="1:22" ht="12.75" customHeight="1" x14ac:dyDescent="0.25">
      <c r="A17" s="14" t="s">
        <v>10</v>
      </c>
      <c r="B17" s="20" t="s">
        <v>375</v>
      </c>
      <c r="C17" s="268">
        <v>0</v>
      </c>
      <c r="D17" s="268"/>
      <c r="E17" s="268"/>
      <c r="F17" s="268"/>
      <c r="G17" s="268"/>
      <c r="H17" s="269"/>
      <c r="I17" s="269"/>
      <c r="J17" s="269"/>
      <c r="K17" s="268"/>
      <c r="L17" s="591">
        <f t="shared" si="1"/>
        <v>0</v>
      </c>
      <c r="M17" s="591">
        <f t="shared" si="2"/>
        <v>0</v>
      </c>
      <c r="N17" s="591">
        <f t="shared" si="3"/>
        <v>0</v>
      </c>
      <c r="O17" s="268"/>
      <c r="P17" s="81">
        <f t="shared" si="4"/>
        <v>0</v>
      </c>
      <c r="Q17" s="81">
        <f t="shared" si="5"/>
        <v>0</v>
      </c>
      <c r="R17" s="81">
        <f t="shared" si="6"/>
        <v>0</v>
      </c>
      <c r="S17" s="81">
        <f t="shared" si="7"/>
        <v>0</v>
      </c>
      <c r="T17" s="277">
        <f t="shared" si="8"/>
        <v>0</v>
      </c>
      <c r="U17" s="120"/>
      <c r="V17" s="192">
        <f t="shared" si="9"/>
        <v>0</v>
      </c>
    </row>
    <row r="18" spans="1:22" ht="12.75" customHeight="1" x14ac:dyDescent="0.25">
      <c r="A18" s="526" t="s">
        <v>380</v>
      </c>
      <c r="B18" s="20" t="s">
        <v>5</v>
      </c>
      <c r="C18" s="268"/>
      <c r="D18" s="268"/>
      <c r="E18" s="268"/>
      <c r="F18" s="268"/>
      <c r="G18" s="268"/>
      <c r="H18" s="269"/>
      <c r="I18" s="269"/>
      <c r="J18" s="269"/>
      <c r="K18" s="268"/>
      <c r="L18" s="591">
        <f t="shared" si="1"/>
        <v>0</v>
      </c>
      <c r="M18" s="591">
        <f t="shared" si="2"/>
        <v>0</v>
      </c>
      <c r="N18" s="591">
        <f t="shared" si="3"/>
        <v>0</v>
      </c>
      <c r="O18" s="268"/>
      <c r="P18" s="81">
        <f t="shared" si="4"/>
        <v>0</v>
      </c>
      <c r="Q18" s="81">
        <f t="shared" si="5"/>
        <v>0</v>
      </c>
      <c r="R18" s="81">
        <f t="shared" si="6"/>
        <v>0</v>
      </c>
      <c r="S18" s="81">
        <f t="shared" si="7"/>
        <v>0</v>
      </c>
      <c r="T18" s="277">
        <f t="shared" si="8"/>
        <v>0</v>
      </c>
      <c r="U18" s="120"/>
      <c r="V18" s="192">
        <f t="shared" si="9"/>
        <v>0</v>
      </c>
    </row>
    <row r="19" spans="1:22" ht="12.75" customHeight="1" x14ac:dyDescent="0.25">
      <c r="A19" s="14" t="s">
        <v>11</v>
      </c>
      <c r="B19" s="20" t="s">
        <v>6</v>
      </c>
      <c r="C19" s="268">
        <f>16*5000*12</f>
        <v>960000</v>
      </c>
      <c r="D19" s="268">
        <f>16*5000*12</f>
        <v>960000</v>
      </c>
      <c r="E19" s="268">
        <f>305862+654138</f>
        <v>960000</v>
      </c>
      <c r="F19" s="268">
        <v>15862</v>
      </c>
      <c r="G19" s="268"/>
      <c r="H19" s="268">
        <v>15228</v>
      </c>
      <c r="I19" s="268">
        <f>15228+654138</f>
        <v>669366</v>
      </c>
      <c r="J19" s="268">
        <v>15228</v>
      </c>
      <c r="K19" s="268"/>
      <c r="L19" s="591">
        <f t="shared" si="1"/>
        <v>1.5862500000000002E-2</v>
      </c>
      <c r="M19" s="591">
        <f t="shared" si="2"/>
        <v>0.69725625000000002</v>
      </c>
      <c r="N19" s="591">
        <f t="shared" si="3"/>
        <v>1.5862500000000002E-2</v>
      </c>
      <c r="O19" s="268"/>
      <c r="P19" s="81">
        <f t="shared" si="4"/>
        <v>0</v>
      </c>
      <c r="Q19" s="81">
        <f t="shared" si="5"/>
        <v>0</v>
      </c>
      <c r="R19" s="81">
        <f t="shared" si="6"/>
        <v>-944138</v>
      </c>
      <c r="S19" s="81">
        <f t="shared" si="7"/>
        <v>-944138</v>
      </c>
      <c r="T19" s="277">
        <f t="shared" si="8"/>
        <v>-0.98347708333333328</v>
      </c>
      <c r="U19" s="120"/>
      <c r="V19" s="192">
        <f t="shared" si="9"/>
        <v>-944138</v>
      </c>
    </row>
    <row r="20" spans="1:22" ht="12.75" customHeight="1" x14ac:dyDescent="0.25">
      <c r="A20" s="14" t="s">
        <v>12</v>
      </c>
      <c r="B20" s="20" t="s">
        <v>7</v>
      </c>
      <c r="C20" s="268">
        <f>16*40000</f>
        <v>640000</v>
      </c>
      <c r="D20" s="268">
        <f>16*40000</f>
        <v>640000</v>
      </c>
      <c r="E20" s="268">
        <v>640000</v>
      </c>
      <c r="F20" s="268"/>
      <c r="G20" s="268"/>
      <c r="H20" s="269">
        <v>0</v>
      </c>
      <c r="I20" s="269"/>
      <c r="J20" s="269"/>
      <c r="K20" s="268"/>
      <c r="L20" s="591">
        <f t="shared" si="1"/>
        <v>0</v>
      </c>
      <c r="M20" s="591">
        <f t="shared" si="2"/>
        <v>0</v>
      </c>
      <c r="N20" s="591">
        <f t="shared" si="3"/>
        <v>0</v>
      </c>
      <c r="O20" s="268"/>
      <c r="P20" s="81">
        <f t="shared" si="4"/>
        <v>0</v>
      </c>
      <c r="Q20" s="81">
        <f t="shared" si="5"/>
        <v>0</v>
      </c>
      <c r="R20" s="81">
        <f t="shared" si="6"/>
        <v>-640000</v>
      </c>
      <c r="S20" s="81">
        <f t="shared" si="7"/>
        <v>-640000</v>
      </c>
      <c r="T20" s="277">
        <f t="shared" si="8"/>
        <v>-1</v>
      </c>
      <c r="U20" s="120"/>
      <c r="V20" s="192">
        <f t="shared" si="9"/>
        <v>-640000</v>
      </c>
    </row>
    <row r="21" spans="1:22" ht="12.75" customHeight="1" x14ac:dyDescent="0.25">
      <c r="A21" s="14" t="s">
        <v>13</v>
      </c>
      <c r="B21" s="20" t="s">
        <v>8</v>
      </c>
      <c r="C21" s="268">
        <v>250000</v>
      </c>
      <c r="D21" s="268">
        <v>250000</v>
      </c>
      <c r="E21" s="268">
        <v>250000</v>
      </c>
      <c r="F21" s="268">
        <v>277000</v>
      </c>
      <c r="G21" s="268"/>
      <c r="H21" s="269">
        <v>99314</v>
      </c>
      <c r="I21" s="269">
        <v>163279</v>
      </c>
      <c r="J21" s="269">
        <v>247719</v>
      </c>
      <c r="K21" s="268"/>
      <c r="L21" s="591">
        <f t="shared" si="1"/>
        <v>0.397256</v>
      </c>
      <c r="M21" s="591">
        <f t="shared" si="2"/>
        <v>0.65311600000000003</v>
      </c>
      <c r="N21" s="591">
        <f t="shared" si="3"/>
        <v>0.99087599999999998</v>
      </c>
      <c r="O21" s="268"/>
      <c r="P21" s="81">
        <f t="shared" si="4"/>
        <v>0</v>
      </c>
      <c r="Q21" s="81">
        <f t="shared" si="5"/>
        <v>0</v>
      </c>
      <c r="R21" s="81">
        <f t="shared" si="6"/>
        <v>27000</v>
      </c>
      <c r="S21" s="81">
        <f t="shared" si="7"/>
        <v>27000</v>
      </c>
      <c r="T21" s="277">
        <f t="shared" si="8"/>
        <v>0.108</v>
      </c>
      <c r="U21" s="120"/>
      <c r="V21" s="192">
        <f t="shared" si="9"/>
        <v>27000</v>
      </c>
    </row>
    <row r="22" spans="1:22" ht="12.75" customHeight="1" x14ac:dyDescent="0.25">
      <c r="A22" s="14" t="s">
        <v>14</v>
      </c>
      <c r="B22" s="20" t="s">
        <v>9</v>
      </c>
      <c r="C22" s="268"/>
      <c r="D22" s="268"/>
      <c r="E22" s="268"/>
      <c r="F22" s="268"/>
      <c r="G22" s="268"/>
      <c r="H22" s="269"/>
      <c r="I22" s="269"/>
      <c r="J22" s="269"/>
      <c r="K22" s="268"/>
      <c r="L22" s="591">
        <f t="shared" si="1"/>
        <v>0</v>
      </c>
      <c r="M22" s="591">
        <f t="shared" si="2"/>
        <v>0</v>
      </c>
      <c r="N22" s="591">
        <f t="shared" si="3"/>
        <v>0</v>
      </c>
      <c r="O22" s="268"/>
      <c r="P22" s="81">
        <f t="shared" si="4"/>
        <v>0</v>
      </c>
      <c r="Q22" s="81">
        <f t="shared" si="5"/>
        <v>0</v>
      </c>
      <c r="R22" s="81">
        <f t="shared" si="6"/>
        <v>0</v>
      </c>
      <c r="S22" s="81">
        <f t="shared" si="7"/>
        <v>0</v>
      </c>
      <c r="T22" s="277">
        <f t="shared" si="8"/>
        <v>0</v>
      </c>
      <c r="U22" s="120"/>
      <c r="V22" s="192">
        <f t="shared" si="9"/>
        <v>0</v>
      </c>
    </row>
    <row r="23" spans="1:22" ht="12.75" customHeight="1" x14ac:dyDescent="0.25">
      <c r="A23" s="526" t="s">
        <v>522</v>
      </c>
      <c r="B23" s="479" t="s">
        <v>523</v>
      </c>
      <c r="C23" s="268">
        <v>600000</v>
      </c>
      <c r="D23" s="268">
        <v>600000</v>
      </c>
      <c r="E23" s="268">
        <v>600000</v>
      </c>
      <c r="F23" s="268">
        <f>1330000+654138</f>
        <v>1984138</v>
      </c>
      <c r="G23" s="268"/>
      <c r="H23" s="269">
        <v>183137</v>
      </c>
      <c r="I23" s="269">
        <v>458212</v>
      </c>
      <c r="J23" s="269">
        <f>1328059+654138</f>
        <v>1982197</v>
      </c>
      <c r="K23" s="268"/>
      <c r="L23" s="591">
        <f t="shared" si="1"/>
        <v>0.30522833333333332</v>
      </c>
      <c r="M23" s="591">
        <f t="shared" si="2"/>
        <v>0.76368666666666662</v>
      </c>
      <c r="N23" s="591">
        <f t="shared" si="3"/>
        <v>3.3036616666666667</v>
      </c>
      <c r="O23" s="268"/>
      <c r="P23" s="81">
        <f t="shared" si="4"/>
        <v>0</v>
      </c>
      <c r="Q23" s="81">
        <f t="shared" si="5"/>
        <v>0</v>
      </c>
      <c r="R23" s="81">
        <f t="shared" si="6"/>
        <v>1384138</v>
      </c>
      <c r="S23" s="81">
        <f t="shared" si="7"/>
        <v>1384138</v>
      </c>
      <c r="T23" s="277">
        <f t="shared" si="8"/>
        <v>2.3068966666666668</v>
      </c>
      <c r="U23" s="120"/>
      <c r="V23" s="192">
        <f t="shared" si="9"/>
        <v>1384138</v>
      </c>
    </row>
    <row r="24" spans="1:22" ht="12.75" customHeight="1" x14ac:dyDescent="0.25">
      <c r="A24" s="14" t="s">
        <v>15</v>
      </c>
      <c r="B24" s="20"/>
      <c r="C24" s="271">
        <f>SUM(C25:C27)</f>
        <v>240000</v>
      </c>
      <c r="D24" s="271">
        <f>SUM(D25:D27)</f>
        <v>240000</v>
      </c>
      <c r="E24" s="271">
        <f>SUM(E25:E27)</f>
        <v>240000</v>
      </c>
      <c r="F24" s="271">
        <f>SUM(F25:F27)</f>
        <v>243000</v>
      </c>
      <c r="G24" s="268"/>
      <c r="H24" s="271">
        <f>SUM(H25:H27)</f>
        <v>120000</v>
      </c>
      <c r="I24" s="271">
        <f>SUM(I25:I27)</f>
        <v>180000</v>
      </c>
      <c r="J24" s="271">
        <f>SUM(J25:J27)</f>
        <v>242614</v>
      </c>
      <c r="K24" s="268"/>
      <c r="L24" s="591">
        <f t="shared" si="1"/>
        <v>0.5</v>
      </c>
      <c r="M24" s="591">
        <f t="shared" si="2"/>
        <v>0.75</v>
      </c>
      <c r="N24" s="591">
        <f t="shared" si="3"/>
        <v>1.0108916666666667</v>
      </c>
      <c r="O24" s="268"/>
      <c r="P24" s="81">
        <f t="shared" si="4"/>
        <v>0</v>
      </c>
      <c r="Q24" s="81">
        <f t="shared" si="5"/>
        <v>0</v>
      </c>
      <c r="R24" s="81">
        <f t="shared" si="6"/>
        <v>3000</v>
      </c>
      <c r="S24" s="81">
        <f t="shared" si="7"/>
        <v>3000</v>
      </c>
      <c r="T24" s="277">
        <f t="shared" si="8"/>
        <v>1.2500000000000001E-2</v>
      </c>
      <c r="U24" s="120"/>
      <c r="V24" s="192">
        <f t="shared" si="9"/>
        <v>3000</v>
      </c>
    </row>
    <row r="25" spans="1:22" ht="12.75" customHeight="1" x14ac:dyDescent="0.25">
      <c r="A25" s="14" t="s">
        <v>16</v>
      </c>
      <c r="B25" s="20" t="s">
        <v>17</v>
      </c>
      <c r="C25" s="268"/>
      <c r="D25" s="268"/>
      <c r="E25" s="268"/>
      <c r="F25" s="268">
        <v>0</v>
      </c>
      <c r="G25" s="268"/>
      <c r="H25" s="269"/>
      <c r="I25" s="269"/>
      <c r="J25" s="269">
        <v>0</v>
      </c>
      <c r="K25" s="268"/>
      <c r="L25" s="591">
        <f t="shared" si="1"/>
        <v>0</v>
      </c>
      <c r="M25" s="591">
        <f t="shared" si="2"/>
        <v>0</v>
      </c>
      <c r="N25" s="591">
        <f t="shared" si="3"/>
        <v>0</v>
      </c>
      <c r="O25" s="268"/>
      <c r="P25" s="81">
        <f t="shared" si="4"/>
        <v>0</v>
      </c>
      <c r="Q25" s="81">
        <f t="shared" si="5"/>
        <v>0</v>
      </c>
      <c r="R25" s="81">
        <f t="shared" si="6"/>
        <v>0</v>
      </c>
      <c r="S25" s="81">
        <f t="shared" si="7"/>
        <v>0</v>
      </c>
      <c r="T25" s="277">
        <f t="shared" si="8"/>
        <v>0</v>
      </c>
      <c r="U25" s="120"/>
      <c r="V25" s="192">
        <f t="shared" si="9"/>
        <v>0</v>
      </c>
    </row>
    <row r="26" spans="1:22" ht="12.75" customHeight="1" x14ac:dyDescent="0.25">
      <c r="A26" s="14" t="s">
        <v>18</v>
      </c>
      <c r="B26" s="20" t="s">
        <v>19</v>
      </c>
      <c r="C26" s="566">
        <f>20000*12</f>
        <v>240000</v>
      </c>
      <c r="D26" s="566">
        <f>20000*12</f>
        <v>240000</v>
      </c>
      <c r="E26" s="268">
        <v>240000</v>
      </c>
      <c r="F26" s="268">
        <v>243000</v>
      </c>
      <c r="G26" s="268"/>
      <c r="H26" s="269">
        <v>120000</v>
      </c>
      <c r="I26" s="269">
        <v>180000</v>
      </c>
      <c r="J26" s="269">
        <v>240000</v>
      </c>
      <c r="K26" s="268"/>
      <c r="L26" s="591">
        <f t="shared" si="1"/>
        <v>0.5</v>
      </c>
      <c r="M26" s="591">
        <f t="shared" si="2"/>
        <v>0.75</v>
      </c>
      <c r="N26" s="591">
        <f t="shared" si="3"/>
        <v>1</v>
      </c>
      <c r="O26" s="268"/>
      <c r="P26" s="81">
        <f t="shared" si="4"/>
        <v>0</v>
      </c>
      <c r="Q26" s="81">
        <f t="shared" si="5"/>
        <v>0</v>
      </c>
      <c r="R26" s="81">
        <f t="shared" si="6"/>
        <v>3000</v>
      </c>
      <c r="S26" s="81">
        <f t="shared" si="7"/>
        <v>3000</v>
      </c>
      <c r="T26" s="277">
        <f t="shared" si="8"/>
        <v>1.2500000000000001E-2</v>
      </c>
      <c r="U26" s="120"/>
      <c r="V26" s="192">
        <f t="shared" si="9"/>
        <v>3000</v>
      </c>
    </row>
    <row r="27" spans="1:22" ht="12.75" customHeight="1" x14ac:dyDescent="0.25">
      <c r="A27" s="14" t="s">
        <v>20</v>
      </c>
      <c r="B27" s="20" t="s">
        <v>21</v>
      </c>
      <c r="C27" s="268">
        <v>0</v>
      </c>
      <c r="D27" s="268">
        <v>0</v>
      </c>
      <c r="E27" s="268">
        <v>0</v>
      </c>
      <c r="F27" s="268">
        <v>0</v>
      </c>
      <c r="G27" s="268"/>
      <c r="H27" s="269">
        <v>0</v>
      </c>
      <c r="I27" s="269">
        <v>0</v>
      </c>
      <c r="J27" s="269">
        <v>2614</v>
      </c>
      <c r="K27" s="268"/>
      <c r="L27" s="591">
        <f t="shared" si="1"/>
        <v>0</v>
      </c>
      <c r="M27" s="591">
        <f t="shared" si="2"/>
        <v>0</v>
      </c>
      <c r="N27" s="591" t="e">
        <f t="shared" si="3"/>
        <v>#DIV/0!</v>
      </c>
      <c r="O27" s="268"/>
      <c r="P27" s="81">
        <f t="shared" si="4"/>
        <v>0</v>
      </c>
      <c r="Q27" s="81">
        <f t="shared" si="5"/>
        <v>0</v>
      </c>
      <c r="R27" s="81">
        <f t="shared" si="6"/>
        <v>0</v>
      </c>
      <c r="S27" s="81">
        <f t="shared" si="7"/>
        <v>0</v>
      </c>
      <c r="T27" s="277">
        <f t="shared" si="8"/>
        <v>0</v>
      </c>
      <c r="U27" s="120"/>
      <c r="V27" s="192">
        <f t="shared" si="9"/>
        <v>0</v>
      </c>
    </row>
    <row r="28" spans="1:22" ht="12.75" customHeight="1" x14ac:dyDescent="0.25">
      <c r="A28" s="14"/>
      <c r="B28" s="14"/>
      <c r="C28" s="268"/>
      <c r="D28" s="268"/>
      <c r="E28" s="268"/>
      <c r="F28" s="268"/>
      <c r="G28" s="268"/>
      <c r="H28" s="269"/>
      <c r="I28" s="269"/>
      <c r="J28" s="269"/>
      <c r="K28" s="268"/>
      <c r="L28" s="590"/>
      <c r="M28" s="590"/>
      <c r="N28" s="590"/>
      <c r="O28" s="268"/>
      <c r="P28" s="81">
        <f t="shared" ref="P28:P101" si="10">+(D28-C28)*P$10</f>
        <v>0</v>
      </c>
      <c r="Q28" s="81">
        <f t="shared" ref="Q28:Q101" si="11">+(E28-D28)*Q$10</f>
        <v>0</v>
      </c>
      <c r="R28" s="81">
        <f t="shared" ref="R28:R101" si="12">+(F28-E28)*R$10</f>
        <v>0</v>
      </c>
      <c r="S28" s="81">
        <f t="shared" si="7"/>
        <v>0</v>
      </c>
      <c r="T28" s="277"/>
      <c r="U28" s="120"/>
      <c r="V28" s="192"/>
    </row>
    <row r="29" spans="1:22" ht="12.75" customHeight="1" x14ac:dyDescent="0.25">
      <c r="A29" s="7" t="s">
        <v>22</v>
      </c>
      <c r="B29" s="5" t="s">
        <v>23</v>
      </c>
      <c r="C29" s="267">
        <f>SUM(C30:C31)</f>
        <v>8153000</v>
      </c>
      <c r="D29" s="267">
        <f>SUM(D30:D31)</f>
        <v>8153000</v>
      </c>
      <c r="E29" s="267">
        <f>SUM(E30:E31)</f>
        <v>8153000</v>
      </c>
      <c r="F29" s="267">
        <f>SUM(F30:F31)</f>
        <v>8558000</v>
      </c>
      <c r="G29" s="267"/>
      <c r="H29" s="267">
        <f>SUM(H30:H31)</f>
        <v>4692885</v>
      </c>
      <c r="I29" s="267">
        <f>SUM(I30:I31)</f>
        <v>6664922</v>
      </c>
      <c r="J29" s="267">
        <f>SUM(J30:J31)</f>
        <v>8555513</v>
      </c>
      <c r="K29" s="267"/>
      <c r="L29" s="588">
        <f t="shared" ref="L29:N30" si="13">IF(H29&gt;0,H29/C29,0)</f>
        <v>0.57560223230712626</v>
      </c>
      <c r="M29" s="588">
        <f t="shared" si="13"/>
        <v>0.81748092726603705</v>
      </c>
      <c r="N29" s="588">
        <f t="shared" si="13"/>
        <v>1.049369925180915</v>
      </c>
      <c r="O29" s="267"/>
      <c r="P29" s="267">
        <f t="shared" si="10"/>
        <v>0</v>
      </c>
      <c r="Q29" s="267">
        <f t="shared" si="11"/>
        <v>0</v>
      </c>
      <c r="R29" s="267">
        <f t="shared" si="12"/>
        <v>405000</v>
      </c>
      <c r="S29" s="267">
        <f t="shared" si="7"/>
        <v>405000</v>
      </c>
      <c r="T29" s="278">
        <f>IF(C29=0,0,+S29/C29)</f>
        <v>4.9674966270084629E-2</v>
      </c>
      <c r="U29" s="120"/>
      <c r="V29" s="192">
        <f>+S29-E29+C29</f>
        <v>405000</v>
      </c>
    </row>
    <row r="30" spans="1:22" ht="12.75" customHeight="1" x14ac:dyDescent="0.25">
      <c r="A30" s="14"/>
      <c r="B30" s="20" t="s">
        <v>24</v>
      </c>
      <c r="C30" s="268">
        <v>8153000</v>
      </c>
      <c r="D30" s="268">
        <v>8153000</v>
      </c>
      <c r="E30" s="268">
        <v>8153000</v>
      </c>
      <c r="F30" s="268">
        <v>8558000</v>
      </c>
      <c r="G30" s="268"/>
      <c r="H30" s="269">
        <v>4692885</v>
      </c>
      <c r="I30" s="270">
        <v>6664922</v>
      </c>
      <c r="J30" s="270">
        <v>8555513</v>
      </c>
      <c r="K30" s="268"/>
      <c r="L30" s="591">
        <f t="shared" si="13"/>
        <v>0.57560223230712626</v>
      </c>
      <c r="M30" s="591">
        <f t="shared" si="13"/>
        <v>0.81748092726603705</v>
      </c>
      <c r="N30" s="591">
        <f t="shared" si="13"/>
        <v>1.049369925180915</v>
      </c>
      <c r="O30" s="268"/>
      <c r="P30" s="81">
        <f t="shared" si="10"/>
        <v>0</v>
      </c>
      <c r="Q30" s="81">
        <f t="shared" si="11"/>
        <v>0</v>
      </c>
      <c r="R30" s="81">
        <f t="shared" si="12"/>
        <v>405000</v>
      </c>
      <c r="S30" s="81">
        <f t="shared" si="7"/>
        <v>405000</v>
      </c>
      <c r="T30" s="277">
        <f>IF(C30=0,0,+S30/C30)</f>
        <v>4.9674966270084629E-2</v>
      </c>
      <c r="U30" s="120"/>
      <c r="V30" s="192">
        <f>+S30-E30+C30</f>
        <v>405000</v>
      </c>
    </row>
    <row r="31" spans="1:22" ht="12.75" customHeight="1" x14ac:dyDescent="0.25">
      <c r="A31" s="14"/>
      <c r="B31" s="14"/>
      <c r="C31" s="268"/>
      <c r="D31" s="268"/>
      <c r="E31" s="268"/>
      <c r="F31" s="268"/>
      <c r="G31" s="268"/>
      <c r="H31" s="269"/>
      <c r="I31" s="269"/>
      <c r="J31" s="269"/>
      <c r="K31" s="268"/>
      <c r="L31" s="590"/>
      <c r="M31" s="590"/>
      <c r="N31" s="590"/>
      <c r="O31" s="268"/>
      <c r="P31" s="81"/>
      <c r="Q31" s="81"/>
      <c r="R31" s="81"/>
      <c r="S31" s="81"/>
      <c r="T31" s="277"/>
      <c r="U31" s="120"/>
      <c r="V31" s="192"/>
    </row>
    <row r="32" spans="1:22" ht="12.75" customHeight="1" x14ac:dyDescent="0.25">
      <c r="A32" s="7" t="s">
        <v>25</v>
      </c>
      <c r="B32" s="5" t="s">
        <v>26</v>
      </c>
      <c r="C32" s="267">
        <f>+C33+C41+C48+C66+C71</f>
        <v>13785000</v>
      </c>
      <c r="D32" s="267">
        <f>+D33+D41+D48+D66+D71</f>
        <v>13305000</v>
      </c>
      <c r="E32" s="267">
        <f>+E33+E41+E48+E66+E71</f>
        <v>13305000</v>
      </c>
      <c r="F32" s="267">
        <f>+F33+F41+F48+F66+F71</f>
        <v>12184263</v>
      </c>
      <c r="G32" s="267"/>
      <c r="H32" s="267">
        <f>+H33+H41+H48+H66+H71</f>
        <v>5536614</v>
      </c>
      <c r="I32" s="267">
        <f>+I33+I41+I48+I66+I71</f>
        <v>8025288</v>
      </c>
      <c r="J32" s="267">
        <f>+J33+J41+J48+J66+J71</f>
        <v>10368642</v>
      </c>
      <c r="K32" s="267"/>
      <c r="L32" s="588">
        <f t="shared" ref="L32:L89" si="14">IF(H32&gt;0,H32/C32,0)</f>
        <v>0.401640478781284</v>
      </c>
      <c r="M32" s="588">
        <f t="shared" ref="M32:M89" si="15">IF(I32&gt;0,I32/D32,0)</f>
        <v>0.60317835400225484</v>
      </c>
      <c r="N32" s="588">
        <f t="shared" ref="N32:N89" si="16">IF(J32&gt;0,J32/E32,0)</f>
        <v>0.77930417136414887</v>
      </c>
      <c r="O32" s="267"/>
      <c r="P32" s="267">
        <f t="shared" si="10"/>
        <v>-480000</v>
      </c>
      <c r="Q32" s="267">
        <f t="shared" si="11"/>
        <v>0</v>
      </c>
      <c r="R32" s="267">
        <f t="shared" si="12"/>
        <v>-1120737</v>
      </c>
      <c r="S32" s="267">
        <f t="shared" ref="S32:S89" si="17">+P32*P$10+Q32*Q$10+R32*R$10</f>
        <v>-1600737</v>
      </c>
      <c r="T32" s="278">
        <f>IF(C32=0,0,+S32/C32)</f>
        <v>-0.11612165397170837</v>
      </c>
      <c r="U32" s="120"/>
      <c r="V32" s="192">
        <f>+S32-E32+C32</f>
        <v>-1120737</v>
      </c>
    </row>
    <row r="33" spans="1:22" s="42" customFormat="1" ht="12.75" customHeight="1" x14ac:dyDescent="0.25">
      <c r="A33" s="38" t="s">
        <v>27</v>
      </c>
      <c r="B33" s="39" t="s">
        <v>28</v>
      </c>
      <c r="C33" s="271">
        <f>SUM(C34:C40)</f>
        <v>7750000</v>
      </c>
      <c r="D33" s="271">
        <f>SUM(D34:D40)</f>
        <v>7270000</v>
      </c>
      <c r="E33" s="271">
        <f>SUM(E34:E40)</f>
        <v>7270000</v>
      </c>
      <c r="F33" s="271">
        <f>SUM(F34:F40)</f>
        <v>6433263</v>
      </c>
      <c r="G33" s="271"/>
      <c r="H33" s="271">
        <f>SUM(H34:H40)</f>
        <v>3365214</v>
      </c>
      <c r="I33" s="271">
        <f>SUM(I34:I40)</f>
        <v>4891038</v>
      </c>
      <c r="J33" s="271">
        <f>SUM(J34:J40)</f>
        <v>6110416</v>
      </c>
      <c r="K33" s="271"/>
      <c r="L33" s="590">
        <f t="shared" si="14"/>
        <v>0.43422116129032257</v>
      </c>
      <c r="M33" s="590">
        <f t="shared" si="15"/>
        <v>0.67277001375515821</v>
      </c>
      <c r="N33" s="590">
        <f t="shared" si="16"/>
        <v>0.84049738651994499</v>
      </c>
      <c r="O33" s="271"/>
      <c r="P33" s="274">
        <f t="shared" si="10"/>
        <v>-480000</v>
      </c>
      <c r="Q33" s="274">
        <f t="shared" si="11"/>
        <v>0</v>
      </c>
      <c r="R33" s="274">
        <f t="shared" si="12"/>
        <v>-836737</v>
      </c>
      <c r="S33" s="274">
        <f t="shared" si="17"/>
        <v>-1316737</v>
      </c>
      <c r="T33" s="277">
        <f>IF(C33=0,0,+S33/C33)</f>
        <v>-0.16990154838709678</v>
      </c>
      <c r="U33" s="120"/>
      <c r="V33" s="192">
        <f>+S33-E33+C33</f>
        <v>-836737</v>
      </c>
    </row>
    <row r="34" spans="1:22" ht="12.75" customHeight="1" x14ac:dyDescent="0.25">
      <c r="A34" s="14" t="s">
        <v>29</v>
      </c>
      <c r="B34" s="20" t="s">
        <v>31</v>
      </c>
      <c r="C34" s="268">
        <v>150000</v>
      </c>
      <c r="D34" s="268">
        <v>150000</v>
      </c>
      <c r="E34" s="268">
        <v>150000</v>
      </c>
      <c r="F34" s="268">
        <v>150000</v>
      </c>
      <c r="G34" s="268"/>
      <c r="H34" s="268">
        <v>75027</v>
      </c>
      <c r="I34" s="268">
        <v>87887</v>
      </c>
      <c r="J34" s="268">
        <v>139593</v>
      </c>
      <c r="K34" s="268"/>
      <c r="L34" s="591">
        <f t="shared" si="14"/>
        <v>0.50017999999999996</v>
      </c>
      <c r="M34" s="591">
        <f t="shared" si="15"/>
        <v>0.58591333333333329</v>
      </c>
      <c r="N34" s="591">
        <f t="shared" si="16"/>
        <v>0.93062</v>
      </c>
      <c r="O34" s="268"/>
      <c r="P34" s="81">
        <f t="shared" si="10"/>
        <v>0</v>
      </c>
      <c r="Q34" s="81">
        <f t="shared" si="11"/>
        <v>0</v>
      </c>
      <c r="R34" s="81">
        <f t="shared" si="12"/>
        <v>0</v>
      </c>
      <c r="S34" s="81">
        <f t="shared" si="17"/>
        <v>0</v>
      </c>
      <c r="T34" s="277">
        <f>IF(C34=0,0,+S34/C34)</f>
        <v>0</v>
      </c>
      <c r="U34" s="120"/>
      <c r="V34" s="192">
        <f>+S34-E34+C34</f>
        <v>0</v>
      </c>
    </row>
    <row r="35" spans="1:22" ht="12.75" customHeight="1" x14ac:dyDescent="0.25">
      <c r="A35" s="14"/>
      <c r="B35" s="20" t="s">
        <v>85</v>
      </c>
      <c r="C35" s="268"/>
      <c r="D35" s="268"/>
      <c r="E35" s="268"/>
      <c r="F35" s="268"/>
      <c r="G35" s="268"/>
      <c r="H35" s="268"/>
      <c r="I35" s="268"/>
      <c r="J35" s="268"/>
      <c r="K35" s="268"/>
      <c r="L35" s="591">
        <f t="shared" si="14"/>
        <v>0</v>
      </c>
      <c r="M35" s="591">
        <f t="shared" si="15"/>
        <v>0</v>
      </c>
      <c r="N35" s="591">
        <f t="shared" si="16"/>
        <v>0</v>
      </c>
      <c r="O35" s="268"/>
      <c r="P35" s="81">
        <f t="shared" si="10"/>
        <v>0</v>
      </c>
      <c r="Q35" s="81">
        <f t="shared" si="11"/>
        <v>0</v>
      </c>
      <c r="R35" s="81">
        <f t="shared" si="12"/>
        <v>0</v>
      </c>
      <c r="S35" s="81">
        <f t="shared" si="17"/>
        <v>0</v>
      </c>
      <c r="T35" s="277">
        <f t="shared" ref="T35:T47" si="18">IF(C35=0,0,+S35/C35)</f>
        <v>0</v>
      </c>
      <c r="U35" s="120"/>
      <c r="V35" s="192">
        <f t="shared" ref="V35:V47" si="19">+S35-E35+C35</f>
        <v>0</v>
      </c>
    </row>
    <row r="36" spans="1:22" ht="12.75" customHeight="1" x14ac:dyDescent="0.25">
      <c r="A36" s="14" t="s">
        <v>30</v>
      </c>
      <c r="B36" s="479" t="s">
        <v>32</v>
      </c>
      <c r="C36" s="268">
        <f>6000000+1600000</f>
        <v>7600000</v>
      </c>
      <c r="D36" s="268">
        <f>7120000</f>
        <v>7120000</v>
      </c>
      <c r="E36" s="268">
        <v>7120000</v>
      </c>
      <c r="F36" s="268">
        <v>6283263</v>
      </c>
      <c r="G36" s="268"/>
      <c r="H36" s="268">
        <v>3290187</v>
      </c>
      <c r="I36" s="268">
        <v>4803151</v>
      </c>
      <c r="J36" s="268">
        <v>5970823</v>
      </c>
      <c r="K36" s="268"/>
      <c r="L36" s="591">
        <f t="shared" si="14"/>
        <v>0.43291934210526317</v>
      </c>
      <c r="M36" s="591">
        <f t="shared" si="15"/>
        <v>0.67459985955056179</v>
      </c>
      <c r="N36" s="591">
        <f t="shared" si="16"/>
        <v>0.83859873595505618</v>
      </c>
      <c r="O36" s="268"/>
      <c r="P36" s="81">
        <f t="shared" si="10"/>
        <v>-480000</v>
      </c>
      <c r="Q36" s="81">
        <f t="shared" si="11"/>
        <v>0</v>
      </c>
      <c r="R36" s="81">
        <f t="shared" si="12"/>
        <v>-836737</v>
      </c>
      <c r="S36" s="81">
        <f t="shared" si="17"/>
        <v>-1316737</v>
      </c>
      <c r="T36" s="277">
        <f t="shared" si="18"/>
        <v>-0.17325486842105264</v>
      </c>
      <c r="U36" s="120"/>
      <c r="V36" s="192">
        <f t="shared" si="19"/>
        <v>-836737</v>
      </c>
    </row>
    <row r="37" spans="1:22" ht="12.75" customHeight="1" x14ac:dyDescent="0.25">
      <c r="A37" s="14"/>
      <c r="B37" s="20" t="s">
        <v>101</v>
      </c>
      <c r="C37" s="268"/>
      <c r="D37" s="268"/>
      <c r="E37" s="268"/>
      <c r="F37" s="268"/>
      <c r="G37" s="268"/>
      <c r="H37" s="268"/>
      <c r="I37" s="268"/>
      <c r="J37" s="268"/>
      <c r="K37" s="268"/>
      <c r="L37" s="591">
        <f t="shared" si="14"/>
        <v>0</v>
      </c>
      <c r="M37" s="591">
        <f t="shared" si="15"/>
        <v>0</v>
      </c>
      <c r="N37" s="591">
        <f t="shared" si="16"/>
        <v>0</v>
      </c>
      <c r="O37" s="268"/>
      <c r="P37" s="81">
        <f t="shared" si="10"/>
        <v>0</v>
      </c>
      <c r="Q37" s="81">
        <f t="shared" si="11"/>
        <v>0</v>
      </c>
      <c r="R37" s="81">
        <f t="shared" si="12"/>
        <v>0</v>
      </c>
      <c r="S37" s="81">
        <f t="shared" si="17"/>
        <v>0</v>
      </c>
      <c r="T37" s="277">
        <f t="shared" si="18"/>
        <v>0</v>
      </c>
      <c r="U37" s="120"/>
      <c r="V37" s="192">
        <f t="shared" si="19"/>
        <v>0</v>
      </c>
    </row>
    <row r="38" spans="1:22" ht="12.75" customHeight="1" x14ac:dyDescent="0.25">
      <c r="A38" s="14"/>
      <c r="B38" s="20" t="s">
        <v>91</v>
      </c>
      <c r="C38" s="268"/>
      <c r="D38" s="268"/>
      <c r="E38" s="268"/>
      <c r="F38" s="268"/>
      <c r="G38" s="268"/>
      <c r="H38" s="268"/>
      <c r="I38" s="268"/>
      <c r="J38" s="268"/>
      <c r="K38" s="268"/>
      <c r="L38" s="591">
        <f t="shared" si="14"/>
        <v>0</v>
      </c>
      <c r="M38" s="591">
        <f t="shared" si="15"/>
        <v>0</v>
      </c>
      <c r="N38" s="591">
        <f t="shared" si="16"/>
        <v>0</v>
      </c>
      <c r="O38" s="268"/>
      <c r="P38" s="81">
        <f t="shared" si="10"/>
        <v>0</v>
      </c>
      <c r="Q38" s="81">
        <f t="shared" si="11"/>
        <v>0</v>
      </c>
      <c r="R38" s="81">
        <f t="shared" si="12"/>
        <v>0</v>
      </c>
      <c r="S38" s="81">
        <f t="shared" si="17"/>
        <v>0</v>
      </c>
      <c r="T38" s="277">
        <f t="shared" si="18"/>
        <v>0</v>
      </c>
      <c r="U38" s="120"/>
      <c r="V38" s="192">
        <f t="shared" si="19"/>
        <v>0</v>
      </c>
    </row>
    <row r="39" spans="1:22" ht="12.75" customHeight="1" x14ac:dyDescent="0.25">
      <c r="A39" s="14"/>
      <c r="B39" s="20" t="s">
        <v>90</v>
      </c>
      <c r="C39" s="268"/>
      <c r="D39" s="268"/>
      <c r="E39" s="268"/>
      <c r="F39" s="268"/>
      <c r="G39" s="268"/>
      <c r="H39" s="268"/>
      <c r="I39" s="268"/>
      <c r="J39" s="268"/>
      <c r="K39" s="268"/>
      <c r="L39" s="591">
        <f t="shared" si="14"/>
        <v>0</v>
      </c>
      <c r="M39" s="591">
        <f t="shared" si="15"/>
        <v>0</v>
      </c>
      <c r="N39" s="591">
        <f t="shared" si="16"/>
        <v>0</v>
      </c>
      <c r="O39" s="268"/>
      <c r="P39" s="81">
        <f t="shared" si="10"/>
        <v>0</v>
      </c>
      <c r="Q39" s="81">
        <f t="shared" si="11"/>
        <v>0</v>
      </c>
      <c r="R39" s="81">
        <f t="shared" si="12"/>
        <v>0</v>
      </c>
      <c r="S39" s="81">
        <f t="shared" si="17"/>
        <v>0</v>
      </c>
      <c r="T39" s="277">
        <f t="shared" si="18"/>
        <v>0</v>
      </c>
      <c r="U39" s="120"/>
      <c r="V39" s="192">
        <f t="shared" si="19"/>
        <v>0</v>
      </c>
    </row>
    <row r="40" spans="1:22" ht="12.75" customHeight="1" x14ac:dyDescent="0.25">
      <c r="A40" s="14"/>
      <c r="B40" s="20" t="s">
        <v>89</v>
      </c>
      <c r="C40" s="268"/>
      <c r="D40" s="268"/>
      <c r="E40" s="268"/>
      <c r="F40" s="268"/>
      <c r="G40" s="268"/>
      <c r="H40" s="268"/>
      <c r="I40" s="268"/>
      <c r="J40" s="268"/>
      <c r="K40" s="268"/>
      <c r="L40" s="591">
        <f t="shared" si="14"/>
        <v>0</v>
      </c>
      <c r="M40" s="591">
        <f t="shared" si="15"/>
        <v>0</v>
      </c>
      <c r="N40" s="591">
        <f t="shared" si="16"/>
        <v>0</v>
      </c>
      <c r="O40" s="268"/>
      <c r="P40" s="81">
        <f t="shared" si="10"/>
        <v>0</v>
      </c>
      <c r="Q40" s="81">
        <f t="shared" si="11"/>
        <v>0</v>
      </c>
      <c r="R40" s="81">
        <f t="shared" si="12"/>
        <v>0</v>
      </c>
      <c r="S40" s="81">
        <f t="shared" si="17"/>
        <v>0</v>
      </c>
      <c r="T40" s="277">
        <f t="shared" si="18"/>
        <v>0</v>
      </c>
      <c r="U40" s="120"/>
      <c r="V40" s="192">
        <f t="shared" si="19"/>
        <v>0</v>
      </c>
    </row>
    <row r="41" spans="1:22" s="42" customFormat="1" ht="12.75" customHeight="1" x14ac:dyDescent="0.25">
      <c r="A41" s="38" t="s">
        <v>33</v>
      </c>
      <c r="B41" s="39" t="s">
        <v>34</v>
      </c>
      <c r="C41" s="271">
        <f>SUM(C42:C47)</f>
        <v>45000</v>
      </c>
      <c r="D41" s="271">
        <f t="shared" ref="D41:J41" si="20">SUM(D42:D47)</f>
        <v>45000</v>
      </c>
      <c r="E41" s="271">
        <f t="shared" si="20"/>
        <v>45000</v>
      </c>
      <c r="F41" s="271">
        <f t="shared" si="20"/>
        <v>55000</v>
      </c>
      <c r="G41" s="271"/>
      <c r="H41" s="271">
        <f t="shared" si="20"/>
        <v>23559</v>
      </c>
      <c r="I41" s="271">
        <f t="shared" si="20"/>
        <v>36569</v>
      </c>
      <c r="J41" s="271">
        <f t="shared" si="20"/>
        <v>49520</v>
      </c>
      <c r="K41" s="271"/>
      <c r="L41" s="591">
        <f t="shared" si="14"/>
        <v>0.5235333333333333</v>
      </c>
      <c r="M41" s="591">
        <f t="shared" si="15"/>
        <v>0.81264444444444439</v>
      </c>
      <c r="N41" s="591">
        <f t="shared" si="16"/>
        <v>1.1004444444444443</v>
      </c>
      <c r="O41" s="271"/>
      <c r="P41" s="271">
        <f t="shared" si="10"/>
        <v>0</v>
      </c>
      <c r="Q41" s="271">
        <f t="shared" si="11"/>
        <v>0</v>
      </c>
      <c r="R41" s="271">
        <f t="shared" si="12"/>
        <v>10000</v>
      </c>
      <c r="S41" s="271">
        <f t="shared" si="17"/>
        <v>10000</v>
      </c>
      <c r="T41" s="277">
        <f t="shared" si="18"/>
        <v>0.22222222222222221</v>
      </c>
      <c r="U41" s="120"/>
      <c r="V41" s="192">
        <f t="shared" si="19"/>
        <v>10000</v>
      </c>
    </row>
    <row r="42" spans="1:22" ht="12.75" customHeight="1" x14ac:dyDescent="0.25">
      <c r="A42" s="14" t="s">
        <v>35</v>
      </c>
      <c r="B42" s="20" t="s">
        <v>36</v>
      </c>
      <c r="C42" s="268">
        <v>0</v>
      </c>
      <c r="D42" s="268"/>
      <c r="E42" s="268"/>
      <c r="F42" s="268"/>
      <c r="G42" s="268"/>
      <c r="H42" s="268"/>
      <c r="I42" s="268"/>
      <c r="J42" s="268"/>
      <c r="K42" s="268"/>
      <c r="L42" s="591">
        <f t="shared" si="14"/>
        <v>0</v>
      </c>
      <c r="M42" s="591">
        <f t="shared" si="15"/>
        <v>0</v>
      </c>
      <c r="N42" s="591">
        <f t="shared" si="16"/>
        <v>0</v>
      </c>
      <c r="O42" s="268"/>
      <c r="P42" s="81">
        <f t="shared" si="10"/>
        <v>0</v>
      </c>
      <c r="Q42" s="81">
        <f t="shared" si="11"/>
        <v>0</v>
      </c>
      <c r="R42" s="81">
        <f t="shared" si="12"/>
        <v>0</v>
      </c>
      <c r="S42" s="81">
        <f t="shared" si="17"/>
        <v>0</v>
      </c>
      <c r="T42" s="277">
        <f t="shared" si="18"/>
        <v>0</v>
      </c>
      <c r="U42" s="120"/>
      <c r="V42" s="192">
        <f t="shared" si="19"/>
        <v>0</v>
      </c>
    </row>
    <row r="43" spans="1:22" ht="12.75" customHeight="1" x14ac:dyDescent="0.25">
      <c r="A43" s="14"/>
      <c r="B43" s="20" t="s">
        <v>37</v>
      </c>
      <c r="C43" s="268"/>
      <c r="D43" s="268"/>
      <c r="E43" s="268"/>
      <c r="F43" s="268"/>
      <c r="G43" s="268"/>
      <c r="H43" s="268"/>
      <c r="I43" s="268"/>
      <c r="J43" s="268"/>
      <c r="K43" s="268"/>
      <c r="L43" s="591">
        <f t="shared" si="14"/>
        <v>0</v>
      </c>
      <c r="M43" s="591">
        <f t="shared" si="15"/>
        <v>0</v>
      </c>
      <c r="N43" s="591">
        <f t="shared" si="16"/>
        <v>0</v>
      </c>
      <c r="O43" s="268"/>
      <c r="P43" s="81">
        <f t="shared" si="10"/>
        <v>0</v>
      </c>
      <c r="Q43" s="81">
        <f t="shared" si="11"/>
        <v>0</v>
      </c>
      <c r="R43" s="81">
        <f t="shared" si="12"/>
        <v>0</v>
      </c>
      <c r="S43" s="81">
        <f t="shared" si="17"/>
        <v>0</v>
      </c>
      <c r="T43" s="277">
        <f t="shared" si="18"/>
        <v>0</v>
      </c>
      <c r="U43" s="120"/>
      <c r="V43" s="192">
        <f t="shared" si="19"/>
        <v>0</v>
      </c>
    </row>
    <row r="44" spans="1:22" ht="12.75" customHeight="1" x14ac:dyDescent="0.25">
      <c r="A44" s="14"/>
      <c r="B44" s="20" t="s">
        <v>38</v>
      </c>
      <c r="C44" s="268"/>
      <c r="D44" s="268"/>
      <c r="E44" s="268"/>
      <c r="F44" s="268"/>
      <c r="G44" s="268"/>
      <c r="H44" s="268"/>
      <c r="I44" s="268"/>
      <c r="J44" s="268"/>
      <c r="K44" s="268"/>
      <c r="L44" s="591">
        <f t="shared" si="14"/>
        <v>0</v>
      </c>
      <c r="M44" s="591">
        <f t="shared" si="15"/>
        <v>0</v>
      </c>
      <c r="N44" s="591">
        <f t="shared" si="16"/>
        <v>0</v>
      </c>
      <c r="O44" s="268"/>
      <c r="P44" s="81">
        <f t="shared" si="10"/>
        <v>0</v>
      </c>
      <c r="Q44" s="81">
        <f t="shared" si="11"/>
        <v>0</v>
      </c>
      <c r="R44" s="81">
        <f t="shared" si="12"/>
        <v>0</v>
      </c>
      <c r="S44" s="81">
        <f t="shared" si="17"/>
        <v>0</v>
      </c>
      <c r="T44" s="277">
        <f t="shared" si="18"/>
        <v>0</v>
      </c>
      <c r="U44" s="120"/>
      <c r="V44" s="192">
        <f t="shared" si="19"/>
        <v>0</v>
      </c>
    </row>
    <row r="45" spans="1:22" ht="12.75" customHeight="1" x14ac:dyDescent="0.25">
      <c r="A45" s="14"/>
      <c r="B45" s="20" t="s">
        <v>39</v>
      </c>
      <c r="C45" s="268"/>
      <c r="D45" s="268"/>
      <c r="E45" s="268"/>
      <c r="F45" s="268"/>
      <c r="G45" s="268"/>
      <c r="H45" s="268"/>
      <c r="I45" s="268"/>
      <c r="J45" s="268"/>
      <c r="K45" s="268"/>
      <c r="L45" s="591">
        <f t="shared" si="14"/>
        <v>0</v>
      </c>
      <c r="M45" s="591">
        <f t="shared" si="15"/>
        <v>0</v>
      </c>
      <c r="N45" s="591">
        <f t="shared" si="16"/>
        <v>0</v>
      </c>
      <c r="O45" s="268"/>
      <c r="P45" s="81">
        <f t="shared" si="10"/>
        <v>0</v>
      </c>
      <c r="Q45" s="81">
        <f t="shared" si="11"/>
        <v>0</v>
      </c>
      <c r="R45" s="81">
        <f t="shared" si="12"/>
        <v>0</v>
      </c>
      <c r="S45" s="81">
        <f t="shared" si="17"/>
        <v>0</v>
      </c>
      <c r="T45" s="277">
        <f t="shared" si="18"/>
        <v>0</v>
      </c>
      <c r="U45" s="120"/>
      <c r="V45" s="192">
        <f t="shared" si="19"/>
        <v>0</v>
      </c>
    </row>
    <row r="46" spans="1:22" ht="12.75" customHeight="1" x14ac:dyDescent="0.25">
      <c r="A46" s="14" t="s">
        <v>40</v>
      </c>
      <c r="B46" s="20" t="s">
        <v>41</v>
      </c>
      <c r="C46" s="268">
        <v>45000</v>
      </c>
      <c r="D46" s="268">
        <v>45000</v>
      </c>
      <c r="E46" s="268">
        <v>45000</v>
      </c>
      <c r="F46" s="268">
        <v>55000</v>
      </c>
      <c r="G46" s="268"/>
      <c r="H46" s="268">
        <v>23559</v>
      </c>
      <c r="I46" s="268">
        <v>36569</v>
      </c>
      <c r="J46" s="268">
        <v>49520</v>
      </c>
      <c r="K46" s="268"/>
      <c r="L46" s="591">
        <f t="shared" si="14"/>
        <v>0.5235333333333333</v>
      </c>
      <c r="M46" s="591">
        <f t="shared" si="15"/>
        <v>0.81264444444444439</v>
      </c>
      <c r="N46" s="591">
        <f t="shared" si="16"/>
        <v>1.1004444444444443</v>
      </c>
      <c r="O46" s="268"/>
      <c r="P46" s="81">
        <f t="shared" si="10"/>
        <v>0</v>
      </c>
      <c r="Q46" s="81">
        <f t="shared" si="11"/>
        <v>0</v>
      </c>
      <c r="R46" s="81">
        <f t="shared" si="12"/>
        <v>10000</v>
      </c>
      <c r="S46" s="81">
        <f t="shared" si="17"/>
        <v>10000</v>
      </c>
      <c r="T46" s="277">
        <f t="shared" si="18"/>
        <v>0.22222222222222221</v>
      </c>
      <c r="U46" s="120"/>
      <c r="V46" s="192">
        <f t="shared" si="19"/>
        <v>10000</v>
      </c>
    </row>
    <row r="47" spans="1:22" ht="12.75" customHeight="1" x14ac:dyDescent="0.25">
      <c r="A47" s="14"/>
      <c r="B47" s="20" t="s">
        <v>42</v>
      </c>
      <c r="C47" s="268"/>
      <c r="D47" s="268">
        <v>0</v>
      </c>
      <c r="E47" s="268">
        <v>0</v>
      </c>
      <c r="F47" s="268">
        <v>0</v>
      </c>
      <c r="G47" s="268"/>
      <c r="H47" s="268"/>
      <c r="I47" s="268"/>
      <c r="J47" s="268">
        <v>0</v>
      </c>
      <c r="K47" s="268"/>
      <c r="L47" s="591">
        <f t="shared" si="14"/>
        <v>0</v>
      </c>
      <c r="M47" s="591">
        <f t="shared" si="15"/>
        <v>0</v>
      </c>
      <c r="N47" s="591">
        <f t="shared" si="16"/>
        <v>0</v>
      </c>
      <c r="O47" s="268"/>
      <c r="P47" s="81">
        <f t="shared" si="10"/>
        <v>0</v>
      </c>
      <c r="Q47" s="81">
        <f t="shared" si="11"/>
        <v>0</v>
      </c>
      <c r="R47" s="81">
        <f t="shared" si="12"/>
        <v>0</v>
      </c>
      <c r="S47" s="81">
        <f t="shared" si="17"/>
        <v>0</v>
      </c>
      <c r="T47" s="277">
        <f t="shared" si="18"/>
        <v>0</v>
      </c>
      <c r="U47" s="120"/>
      <c r="V47" s="192">
        <f t="shared" si="19"/>
        <v>0</v>
      </c>
    </row>
    <row r="48" spans="1:22" s="42" customFormat="1" ht="12.75" customHeight="1" x14ac:dyDescent="0.25">
      <c r="A48" s="38" t="s">
        <v>43</v>
      </c>
      <c r="B48" s="39" t="s">
        <v>44</v>
      </c>
      <c r="C48" s="271">
        <f>SUM(C49:C65)</f>
        <v>3920000</v>
      </c>
      <c r="D48" s="271">
        <f>SUM(D49:D65)</f>
        <v>3920000</v>
      </c>
      <c r="E48" s="271">
        <f>SUM(E49:E65)</f>
        <v>3920000</v>
      </c>
      <c r="F48" s="271">
        <f>SUM(F49:F65)</f>
        <v>3076000</v>
      </c>
      <c r="G48" s="271"/>
      <c r="H48" s="271">
        <f>SUM(H49:H65)</f>
        <v>982172</v>
      </c>
      <c r="I48" s="271">
        <f>SUM(I49:I65)</f>
        <v>1462305</v>
      </c>
      <c r="J48" s="271">
        <f>SUM(J49:J65)</f>
        <v>2104122</v>
      </c>
      <c r="K48" s="271"/>
      <c r="L48" s="592">
        <f t="shared" si="14"/>
        <v>0.25055408163265308</v>
      </c>
      <c r="M48" s="592">
        <f t="shared" si="15"/>
        <v>0.37303698979591837</v>
      </c>
      <c r="N48" s="592">
        <f t="shared" si="16"/>
        <v>0.53676581632653064</v>
      </c>
      <c r="O48" s="271"/>
      <c r="P48" s="271">
        <f t="shared" si="10"/>
        <v>0</v>
      </c>
      <c r="Q48" s="271">
        <f t="shared" si="11"/>
        <v>0</v>
      </c>
      <c r="R48" s="271">
        <f t="shared" si="12"/>
        <v>-844000</v>
      </c>
      <c r="S48" s="271">
        <f t="shared" si="17"/>
        <v>-844000</v>
      </c>
      <c r="T48" s="277">
        <f>IF(C48=0,0,+S48/C48)</f>
        <v>-0.21530612244897959</v>
      </c>
      <c r="U48" s="120"/>
      <c r="V48" s="192">
        <f>+S48-E48+C48</f>
        <v>-844000</v>
      </c>
    </row>
    <row r="49" spans="1:22" ht="12.75" customHeight="1" x14ac:dyDescent="0.25">
      <c r="A49" s="14" t="s">
        <v>45</v>
      </c>
      <c r="B49" s="20" t="s">
        <v>46</v>
      </c>
      <c r="C49" s="268">
        <v>2000000</v>
      </c>
      <c r="D49" s="268">
        <v>2000000</v>
      </c>
      <c r="E49" s="268">
        <v>2000000</v>
      </c>
      <c r="F49" s="268">
        <v>1990000</v>
      </c>
      <c r="G49" s="268"/>
      <c r="H49" s="268">
        <v>610629</v>
      </c>
      <c r="I49" s="268">
        <v>904754</v>
      </c>
      <c r="J49" s="268">
        <v>1339874</v>
      </c>
      <c r="K49" s="268"/>
      <c r="L49" s="591">
        <f t="shared" si="14"/>
        <v>0.30531449999999999</v>
      </c>
      <c r="M49" s="591">
        <f t="shared" si="15"/>
        <v>0.45237699999999997</v>
      </c>
      <c r="N49" s="591">
        <f t="shared" si="16"/>
        <v>0.669937</v>
      </c>
      <c r="O49" s="268"/>
      <c r="P49" s="81">
        <f t="shared" si="10"/>
        <v>0</v>
      </c>
      <c r="Q49" s="81">
        <f t="shared" si="11"/>
        <v>0</v>
      </c>
      <c r="R49" s="81">
        <f t="shared" si="12"/>
        <v>-10000</v>
      </c>
      <c r="S49" s="81">
        <f t="shared" si="17"/>
        <v>-10000</v>
      </c>
      <c r="T49" s="277">
        <f>IF(C49=0,0,+S49/C49)</f>
        <v>-5.0000000000000001E-3</v>
      </c>
      <c r="U49" s="120"/>
      <c r="V49" s="192">
        <f>+S49-E49+C49</f>
        <v>-10000</v>
      </c>
    </row>
    <row r="50" spans="1:22" ht="12.75" customHeight="1" x14ac:dyDescent="0.25">
      <c r="A50" s="14" t="s">
        <v>99</v>
      </c>
      <c r="B50" s="20" t="s">
        <v>93</v>
      </c>
      <c r="C50" s="268"/>
      <c r="D50" s="268"/>
      <c r="E50" s="268"/>
      <c r="F50" s="268"/>
      <c r="G50" s="268"/>
      <c r="H50" s="268"/>
      <c r="I50" s="268"/>
      <c r="J50" s="268"/>
      <c r="K50" s="268"/>
      <c r="L50" s="591">
        <f t="shared" si="14"/>
        <v>0</v>
      </c>
      <c r="M50" s="591">
        <f t="shared" si="15"/>
        <v>0</v>
      </c>
      <c r="N50" s="591">
        <f t="shared" si="16"/>
        <v>0</v>
      </c>
      <c r="O50" s="268"/>
      <c r="P50" s="81">
        <f t="shared" si="10"/>
        <v>0</v>
      </c>
      <c r="Q50" s="81">
        <f t="shared" si="11"/>
        <v>0</v>
      </c>
      <c r="R50" s="81">
        <f t="shared" si="12"/>
        <v>0</v>
      </c>
      <c r="S50" s="81">
        <f t="shared" si="17"/>
        <v>0</v>
      </c>
      <c r="T50" s="277">
        <f t="shared" ref="T50:T61" si="21">IF(C50=0,0,+S50/C50)</f>
        <v>0</v>
      </c>
      <c r="U50" s="120"/>
      <c r="V50" s="192">
        <f t="shared" ref="V50:V102" si="22">+S50-E50+C50</f>
        <v>0</v>
      </c>
    </row>
    <row r="51" spans="1:22" ht="12.75" customHeight="1" x14ac:dyDescent="0.25">
      <c r="A51" s="14"/>
      <c r="B51" s="20" t="s">
        <v>94</v>
      </c>
      <c r="C51" s="268"/>
      <c r="D51" s="268"/>
      <c r="E51" s="268"/>
      <c r="F51" s="268"/>
      <c r="G51" s="268"/>
      <c r="H51" s="268"/>
      <c r="I51" s="268"/>
      <c r="J51" s="268"/>
      <c r="K51" s="268"/>
      <c r="L51" s="591">
        <f t="shared" si="14"/>
        <v>0</v>
      </c>
      <c r="M51" s="591">
        <f t="shared" si="15"/>
        <v>0</v>
      </c>
      <c r="N51" s="591">
        <f t="shared" si="16"/>
        <v>0</v>
      </c>
      <c r="O51" s="268"/>
      <c r="P51" s="81">
        <f t="shared" si="10"/>
        <v>0</v>
      </c>
      <c r="Q51" s="81">
        <f t="shared" si="11"/>
        <v>0</v>
      </c>
      <c r="R51" s="81">
        <f t="shared" si="12"/>
        <v>0</v>
      </c>
      <c r="S51" s="81">
        <f t="shared" si="17"/>
        <v>0</v>
      </c>
      <c r="T51" s="277">
        <f t="shared" si="21"/>
        <v>0</v>
      </c>
      <c r="U51" s="120"/>
      <c r="V51" s="192">
        <f t="shared" si="22"/>
        <v>0</v>
      </c>
    </row>
    <row r="52" spans="1:22" ht="12.75" customHeight="1" x14ac:dyDescent="0.25">
      <c r="A52" s="14"/>
      <c r="B52" s="20" t="s">
        <v>95</v>
      </c>
      <c r="C52" s="268"/>
      <c r="D52" s="268"/>
      <c r="E52" s="268"/>
      <c r="F52" s="268"/>
      <c r="G52" s="268"/>
      <c r="H52" s="268"/>
      <c r="I52" s="268"/>
      <c r="J52" s="268"/>
      <c r="K52" s="268"/>
      <c r="L52" s="591">
        <f t="shared" si="14"/>
        <v>0</v>
      </c>
      <c r="M52" s="591">
        <f t="shared" si="15"/>
        <v>0</v>
      </c>
      <c r="N52" s="591">
        <f t="shared" si="16"/>
        <v>0</v>
      </c>
      <c r="O52" s="268"/>
      <c r="P52" s="81">
        <f t="shared" si="10"/>
        <v>0</v>
      </c>
      <c r="Q52" s="81">
        <f t="shared" si="11"/>
        <v>0</v>
      </c>
      <c r="R52" s="81">
        <f t="shared" si="12"/>
        <v>0</v>
      </c>
      <c r="S52" s="81">
        <f t="shared" si="17"/>
        <v>0</v>
      </c>
      <c r="T52" s="277">
        <f t="shared" si="21"/>
        <v>0</v>
      </c>
      <c r="U52" s="120"/>
      <c r="V52" s="192">
        <f t="shared" si="22"/>
        <v>0</v>
      </c>
    </row>
    <row r="53" spans="1:22" ht="12.75" customHeight="1" x14ac:dyDescent="0.25">
      <c r="A53" s="14" t="s">
        <v>47</v>
      </c>
      <c r="B53" s="20" t="s">
        <v>48</v>
      </c>
      <c r="C53" s="268">
        <v>0</v>
      </c>
      <c r="D53" s="268">
        <v>0</v>
      </c>
      <c r="E53" s="268">
        <v>0</v>
      </c>
      <c r="F53" s="268">
        <v>0</v>
      </c>
      <c r="G53" s="268"/>
      <c r="H53" s="268">
        <v>0</v>
      </c>
      <c r="I53" s="268">
        <f>+H53</f>
        <v>0</v>
      </c>
      <c r="J53" s="268">
        <v>0</v>
      </c>
      <c r="K53" s="268"/>
      <c r="L53" s="591">
        <f t="shared" si="14"/>
        <v>0</v>
      </c>
      <c r="M53" s="591">
        <f t="shared" si="15"/>
        <v>0</v>
      </c>
      <c r="N53" s="591">
        <f t="shared" si="16"/>
        <v>0</v>
      </c>
      <c r="O53" s="268"/>
      <c r="P53" s="81">
        <f t="shared" si="10"/>
        <v>0</v>
      </c>
      <c r="Q53" s="81">
        <f t="shared" si="11"/>
        <v>0</v>
      </c>
      <c r="R53" s="81">
        <f t="shared" si="12"/>
        <v>0</v>
      </c>
      <c r="S53" s="81">
        <f t="shared" si="17"/>
        <v>0</v>
      </c>
      <c r="T53" s="277">
        <f t="shared" si="21"/>
        <v>0</v>
      </c>
      <c r="U53" s="120"/>
      <c r="V53" s="192">
        <f t="shared" si="22"/>
        <v>0</v>
      </c>
    </row>
    <row r="54" spans="1:22" ht="12.75" customHeight="1" x14ac:dyDescent="0.25">
      <c r="A54" s="14"/>
      <c r="B54" s="20" t="s">
        <v>86</v>
      </c>
      <c r="C54" s="268"/>
      <c r="D54" s="268"/>
      <c r="E54" s="268"/>
      <c r="F54" s="268"/>
      <c r="G54" s="268"/>
      <c r="H54" s="268"/>
      <c r="I54" s="268"/>
      <c r="J54" s="268"/>
      <c r="K54" s="268"/>
      <c r="L54" s="591">
        <f t="shared" si="14"/>
        <v>0</v>
      </c>
      <c r="M54" s="591">
        <f t="shared" si="15"/>
        <v>0</v>
      </c>
      <c r="N54" s="591">
        <f t="shared" si="16"/>
        <v>0</v>
      </c>
      <c r="O54" s="268"/>
      <c r="P54" s="81">
        <f t="shared" si="10"/>
        <v>0</v>
      </c>
      <c r="Q54" s="81">
        <f t="shared" si="11"/>
        <v>0</v>
      </c>
      <c r="R54" s="81">
        <f t="shared" si="12"/>
        <v>0</v>
      </c>
      <c r="S54" s="81">
        <f t="shared" si="17"/>
        <v>0</v>
      </c>
      <c r="T54" s="277">
        <f t="shared" si="21"/>
        <v>0</v>
      </c>
      <c r="U54" s="120"/>
      <c r="V54" s="192">
        <f t="shared" si="22"/>
        <v>0</v>
      </c>
    </row>
    <row r="55" spans="1:22" ht="12.75" customHeight="1" x14ac:dyDescent="0.25">
      <c r="A55" s="14"/>
      <c r="B55" s="20" t="s">
        <v>49</v>
      </c>
      <c r="C55" s="268"/>
      <c r="D55" s="268"/>
      <c r="E55" s="268"/>
      <c r="F55" s="268"/>
      <c r="G55" s="268"/>
      <c r="H55" s="268"/>
      <c r="I55" s="268"/>
      <c r="J55" s="268"/>
      <c r="K55" s="268"/>
      <c r="L55" s="591">
        <f t="shared" si="14"/>
        <v>0</v>
      </c>
      <c r="M55" s="591">
        <f t="shared" si="15"/>
        <v>0</v>
      </c>
      <c r="N55" s="591">
        <f t="shared" si="16"/>
        <v>0</v>
      </c>
      <c r="O55" s="268"/>
      <c r="P55" s="81">
        <f t="shared" si="10"/>
        <v>0</v>
      </c>
      <c r="Q55" s="81">
        <f t="shared" si="11"/>
        <v>0</v>
      </c>
      <c r="R55" s="81">
        <f t="shared" si="12"/>
        <v>0</v>
      </c>
      <c r="S55" s="81">
        <f t="shared" si="17"/>
        <v>0</v>
      </c>
      <c r="T55" s="277">
        <f t="shared" si="21"/>
        <v>0</v>
      </c>
      <c r="U55" s="120"/>
      <c r="V55" s="192">
        <f t="shared" si="22"/>
        <v>0</v>
      </c>
    </row>
    <row r="56" spans="1:22" ht="12.75" customHeight="1" x14ac:dyDescent="0.25">
      <c r="A56" s="14" t="s">
        <v>50</v>
      </c>
      <c r="B56" s="20" t="s">
        <v>51</v>
      </c>
      <c r="C56" s="268">
        <v>0</v>
      </c>
      <c r="D56" s="268"/>
      <c r="E56" s="268"/>
      <c r="F56" s="268"/>
      <c r="G56" s="268"/>
      <c r="H56" s="268"/>
      <c r="I56" s="268"/>
      <c r="J56" s="268"/>
      <c r="K56" s="268"/>
      <c r="L56" s="591">
        <f t="shared" si="14"/>
        <v>0</v>
      </c>
      <c r="M56" s="591">
        <f t="shared" si="15"/>
        <v>0</v>
      </c>
      <c r="N56" s="591">
        <f t="shared" si="16"/>
        <v>0</v>
      </c>
      <c r="O56" s="268"/>
      <c r="P56" s="81">
        <f t="shared" si="10"/>
        <v>0</v>
      </c>
      <c r="Q56" s="81">
        <f t="shared" si="11"/>
        <v>0</v>
      </c>
      <c r="R56" s="81">
        <f t="shared" si="12"/>
        <v>0</v>
      </c>
      <c r="S56" s="81">
        <f t="shared" si="17"/>
        <v>0</v>
      </c>
      <c r="T56" s="277">
        <f t="shared" si="21"/>
        <v>0</v>
      </c>
      <c r="U56" s="120"/>
      <c r="V56" s="192">
        <f t="shared" si="22"/>
        <v>0</v>
      </c>
    </row>
    <row r="57" spans="1:22" ht="12.75" customHeight="1" x14ac:dyDescent="0.25">
      <c r="A57" s="14"/>
      <c r="B57" s="20" t="s">
        <v>52</v>
      </c>
      <c r="C57" s="268"/>
      <c r="D57" s="268"/>
      <c r="E57" s="268"/>
      <c r="F57" s="268"/>
      <c r="G57" s="268"/>
      <c r="H57" s="268"/>
      <c r="I57" s="268"/>
      <c r="J57" s="268"/>
      <c r="K57" s="268"/>
      <c r="L57" s="591">
        <f t="shared" si="14"/>
        <v>0</v>
      </c>
      <c r="M57" s="591">
        <f t="shared" si="15"/>
        <v>0</v>
      </c>
      <c r="N57" s="591">
        <f t="shared" si="16"/>
        <v>0</v>
      </c>
      <c r="O57" s="268"/>
      <c r="P57" s="81">
        <f t="shared" si="10"/>
        <v>0</v>
      </c>
      <c r="Q57" s="81">
        <f t="shared" si="11"/>
        <v>0</v>
      </c>
      <c r="R57" s="81">
        <f t="shared" si="12"/>
        <v>0</v>
      </c>
      <c r="S57" s="81">
        <f t="shared" si="17"/>
        <v>0</v>
      </c>
      <c r="T57" s="277">
        <f t="shared" si="21"/>
        <v>0</v>
      </c>
      <c r="U57" s="120"/>
      <c r="V57" s="192">
        <f t="shared" si="22"/>
        <v>0</v>
      </c>
    </row>
    <row r="58" spans="1:22" ht="12.75" customHeight="1" x14ac:dyDescent="0.25">
      <c r="A58" s="14" t="s">
        <v>53</v>
      </c>
      <c r="B58" s="20" t="s">
        <v>87</v>
      </c>
      <c r="C58" s="268">
        <v>1150000</v>
      </c>
      <c r="D58" s="268">
        <v>1150000</v>
      </c>
      <c r="E58" s="268">
        <v>1150000</v>
      </c>
      <c r="F58" s="268">
        <v>316000</v>
      </c>
      <c r="G58" s="268"/>
      <c r="H58" s="268">
        <v>64000</v>
      </c>
      <c r="I58" s="268">
        <v>64000</v>
      </c>
      <c r="J58" s="268">
        <v>173000</v>
      </c>
      <c r="K58" s="268"/>
      <c r="L58" s="591">
        <f t="shared" si="14"/>
        <v>5.565217391304348E-2</v>
      </c>
      <c r="M58" s="591">
        <f t="shared" si="15"/>
        <v>5.565217391304348E-2</v>
      </c>
      <c r="N58" s="591">
        <f t="shared" si="16"/>
        <v>0.15043478260869564</v>
      </c>
      <c r="O58" s="268"/>
      <c r="P58" s="81">
        <f t="shared" si="10"/>
        <v>0</v>
      </c>
      <c r="Q58" s="81">
        <f t="shared" si="11"/>
        <v>0</v>
      </c>
      <c r="R58" s="81">
        <f t="shared" si="12"/>
        <v>-834000</v>
      </c>
      <c r="S58" s="81">
        <f t="shared" si="17"/>
        <v>-834000</v>
      </c>
      <c r="T58" s="277">
        <f t="shared" si="21"/>
        <v>-0.72521739130434781</v>
      </c>
      <c r="U58" s="120"/>
      <c r="V58" s="192">
        <f t="shared" si="22"/>
        <v>-834000</v>
      </c>
    </row>
    <row r="59" spans="1:22" ht="12.75" customHeight="1" x14ac:dyDescent="0.25">
      <c r="A59" s="14"/>
      <c r="B59" s="20" t="s">
        <v>54</v>
      </c>
      <c r="C59" s="268"/>
      <c r="D59" s="268"/>
      <c r="E59" s="268"/>
      <c r="F59" s="268"/>
      <c r="G59" s="268"/>
      <c r="H59" s="268"/>
      <c r="I59" s="268"/>
      <c r="J59" s="268"/>
      <c r="K59" s="268"/>
      <c r="L59" s="591">
        <f t="shared" si="14"/>
        <v>0</v>
      </c>
      <c r="M59" s="591">
        <f t="shared" si="15"/>
        <v>0</v>
      </c>
      <c r="N59" s="591">
        <f t="shared" si="16"/>
        <v>0</v>
      </c>
      <c r="O59" s="268"/>
      <c r="P59" s="81">
        <f t="shared" si="10"/>
        <v>0</v>
      </c>
      <c r="Q59" s="81">
        <f t="shared" si="11"/>
        <v>0</v>
      </c>
      <c r="R59" s="81">
        <f t="shared" si="12"/>
        <v>0</v>
      </c>
      <c r="S59" s="81">
        <f t="shared" si="17"/>
        <v>0</v>
      </c>
      <c r="T59" s="277">
        <f t="shared" si="21"/>
        <v>0</v>
      </c>
      <c r="U59" s="120"/>
      <c r="V59" s="192">
        <f t="shared" si="22"/>
        <v>0</v>
      </c>
    </row>
    <row r="60" spans="1:22" ht="12.75" customHeight="1" x14ac:dyDescent="0.25">
      <c r="A60" s="14" t="s">
        <v>55</v>
      </c>
      <c r="B60" s="20" t="s">
        <v>56</v>
      </c>
      <c r="C60" s="268">
        <v>0</v>
      </c>
      <c r="D60" s="268"/>
      <c r="E60" s="268"/>
      <c r="F60" s="268"/>
      <c r="G60" s="268"/>
      <c r="H60" s="268"/>
      <c r="I60" s="268"/>
      <c r="J60" s="268"/>
      <c r="K60" s="268"/>
      <c r="L60" s="591">
        <f t="shared" si="14"/>
        <v>0</v>
      </c>
      <c r="M60" s="591">
        <f t="shared" si="15"/>
        <v>0</v>
      </c>
      <c r="N60" s="591">
        <f t="shared" si="16"/>
        <v>0</v>
      </c>
      <c r="O60" s="268"/>
      <c r="P60" s="81">
        <f t="shared" si="10"/>
        <v>0</v>
      </c>
      <c r="Q60" s="81">
        <f t="shared" si="11"/>
        <v>0</v>
      </c>
      <c r="R60" s="81">
        <f t="shared" si="12"/>
        <v>0</v>
      </c>
      <c r="S60" s="81">
        <f t="shared" si="17"/>
        <v>0</v>
      </c>
      <c r="T60" s="277">
        <f t="shared" si="21"/>
        <v>0</v>
      </c>
      <c r="U60" s="120"/>
      <c r="V60" s="192">
        <f t="shared" si="22"/>
        <v>0</v>
      </c>
    </row>
    <row r="61" spans="1:22" ht="23.25" customHeight="1" x14ac:dyDescent="0.25">
      <c r="A61" s="20"/>
      <c r="B61" s="20" t="s">
        <v>57</v>
      </c>
      <c r="C61" s="268"/>
      <c r="D61" s="268"/>
      <c r="E61" s="268"/>
      <c r="F61" s="268"/>
      <c r="G61" s="268"/>
      <c r="H61" s="268"/>
      <c r="I61" s="268"/>
      <c r="J61" s="268"/>
      <c r="K61" s="268"/>
      <c r="L61" s="591">
        <f t="shared" si="14"/>
        <v>0</v>
      </c>
      <c r="M61" s="591">
        <f t="shared" si="15"/>
        <v>0</v>
      </c>
      <c r="N61" s="591">
        <f t="shared" si="16"/>
        <v>0</v>
      </c>
      <c r="O61" s="268"/>
      <c r="P61" s="81">
        <f t="shared" si="10"/>
        <v>0</v>
      </c>
      <c r="Q61" s="81">
        <f t="shared" si="11"/>
        <v>0</v>
      </c>
      <c r="R61" s="81">
        <f t="shared" si="12"/>
        <v>0</v>
      </c>
      <c r="S61" s="81">
        <f t="shared" si="17"/>
        <v>0</v>
      </c>
      <c r="T61" s="277">
        <f t="shared" si="21"/>
        <v>0</v>
      </c>
      <c r="U61" s="120"/>
      <c r="V61" s="192">
        <f t="shared" si="22"/>
        <v>0</v>
      </c>
    </row>
    <row r="62" spans="1:22" ht="12.75" customHeight="1" x14ac:dyDescent="0.25">
      <c r="A62" s="14" t="s">
        <v>58</v>
      </c>
      <c r="B62" s="20" t="s">
        <v>59</v>
      </c>
      <c r="C62" s="268">
        <v>70000</v>
      </c>
      <c r="D62" s="268">
        <v>90000</v>
      </c>
      <c r="E62" s="268">
        <v>90000</v>
      </c>
      <c r="F62" s="268">
        <v>90000</v>
      </c>
      <c r="G62" s="268"/>
      <c r="H62" s="268">
        <v>77520</v>
      </c>
      <c r="I62" s="268">
        <v>77520</v>
      </c>
      <c r="J62" s="268">
        <v>77520</v>
      </c>
      <c r="K62" s="268"/>
      <c r="L62" s="591">
        <f t="shared" si="14"/>
        <v>1.1074285714285714</v>
      </c>
      <c r="M62" s="591">
        <f t="shared" si="15"/>
        <v>0.86133333333333328</v>
      </c>
      <c r="N62" s="591">
        <f t="shared" si="16"/>
        <v>0.86133333333333328</v>
      </c>
      <c r="O62" s="268"/>
      <c r="P62" s="81">
        <f t="shared" si="10"/>
        <v>20000</v>
      </c>
      <c r="Q62" s="81">
        <f t="shared" si="11"/>
        <v>0</v>
      </c>
      <c r="R62" s="81">
        <f t="shared" si="12"/>
        <v>0</v>
      </c>
      <c r="S62" s="81">
        <f t="shared" si="17"/>
        <v>20000</v>
      </c>
      <c r="T62" s="277">
        <f t="shared" ref="T62:T70" si="23">IF(C62=0,0,+S62/C62)</f>
        <v>0.2857142857142857</v>
      </c>
      <c r="U62" s="120"/>
      <c r="V62" s="192">
        <f t="shared" si="22"/>
        <v>0</v>
      </c>
    </row>
    <row r="63" spans="1:22" ht="61.5" customHeight="1" x14ac:dyDescent="0.25">
      <c r="A63" s="14"/>
      <c r="B63" s="20" t="s">
        <v>98</v>
      </c>
      <c r="C63" s="268"/>
      <c r="D63" s="268"/>
      <c r="E63" s="268"/>
      <c r="F63" s="268"/>
      <c r="G63" s="268"/>
      <c r="H63" s="268"/>
      <c r="I63" s="268"/>
      <c r="J63" s="268"/>
      <c r="K63" s="268"/>
      <c r="L63" s="591">
        <f t="shared" si="14"/>
        <v>0</v>
      </c>
      <c r="M63" s="591">
        <f t="shared" si="15"/>
        <v>0</v>
      </c>
      <c r="N63" s="591">
        <f t="shared" si="16"/>
        <v>0</v>
      </c>
      <c r="O63" s="268"/>
      <c r="P63" s="81">
        <f t="shared" si="10"/>
        <v>0</v>
      </c>
      <c r="Q63" s="81">
        <f t="shared" si="11"/>
        <v>0</v>
      </c>
      <c r="R63" s="81">
        <f t="shared" si="12"/>
        <v>0</v>
      </c>
      <c r="S63" s="81">
        <f t="shared" si="17"/>
        <v>0</v>
      </c>
      <c r="T63" s="277">
        <f t="shared" si="23"/>
        <v>0</v>
      </c>
      <c r="U63" s="120"/>
      <c r="V63" s="192">
        <f t="shared" si="22"/>
        <v>0</v>
      </c>
    </row>
    <row r="64" spans="1:22" ht="12.75" customHeight="1" x14ac:dyDescent="0.25">
      <c r="A64" s="14" t="s">
        <v>60</v>
      </c>
      <c r="B64" s="20" t="s">
        <v>61</v>
      </c>
      <c r="C64" s="268">
        <v>700000</v>
      </c>
      <c r="D64" s="268">
        <v>680000</v>
      </c>
      <c r="E64" s="268">
        <v>680000</v>
      </c>
      <c r="F64" s="268">
        <v>680000</v>
      </c>
      <c r="G64" s="268"/>
      <c r="H64" s="268">
        <v>230023</v>
      </c>
      <c r="I64" s="268">
        <v>416031</v>
      </c>
      <c r="J64" s="268">
        <v>513728</v>
      </c>
      <c r="K64" s="268"/>
      <c r="L64" s="591">
        <f t="shared" si="14"/>
        <v>0.32860428571428574</v>
      </c>
      <c r="M64" s="591">
        <f t="shared" si="15"/>
        <v>0.61181029411764709</v>
      </c>
      <c r="N64" s="591">
        <f t="shared" si="16"/>
        <v>0.75548235294117649</v>
      </c>
      <c r="O64" s="268"/>
      <c r="P64" s="81">
        <f t="shared" si="10"/>
        <v>-20000</v>
      </c>
      <c r="Q64" s="81">
        <f t="shared" si="11"/>
        <v>0</v>
      </c>
      <c r="R64" s="81">
        <f t="shared" si="12"/>
        <v>0</v>
      </c>
      <c r="S64" s="81">
        <f t="shared" si="17"/>
        <v>-20000</v>
      </c>
      <c r="T64" s="277">
        <f t="shared" si="23"/>
        <v>-2.8571428571428571E-2</v>
      </c>
      <c r="U64" s="120"/>
      <c r="V64" s="192">
        <f t="shared" si="22"/>
        <v>0</v>
      </c>
    </row>
    <row r="65" spans="1:22" ht="54.75" customHeight="1" x14ac:dyDescent="0.25">
      <c r="A65" s="14"/>
      <c r="B65" s="20" t="s">
        <v>62</v>
      </c>
      <c r="C65" s="268">
        <v>0</v>
      </c>
      <c r="D65" s="268"/>
      <c r="E65" s="268"/>
      <c r="F65" s="268"/>
      <c r="G65" s="268"/>
      <c r="H65" s="268"/>
      <c r="I65" s="268"/>
      <c r="J65" s="268"/>
      <c r="K65" s="268"/>
      <c r="L65" s="591">
        <f t="shared" si="14"/>
        <v>0</v>
      </c>
      <c r="M65" s="591">
        <f t="shared" si="15"/>
        <v>0</v>
      </c>
      <c r="N65" s="591">
        <f t="shared" si="16"/>
        <v>0</v>
      </c>
      <c r="O65" s="268"/>
      <c r="P65" s="81">
        <f t="shared" si="10"/>
        <v>0</v>
      </c>
      <c r="Q65" s="81">
        <f t="shared" si="11"/>
        <v>0</v>
      </c>
      <c r="R65" s="81">
        <f t="shared" si="12"/>
        <v>0</v>
      </c>
      <c r="S65" s="81">
        <f t="shared" si="17"/>
        <v>0</v>
      </c>
      <c r="T65" s="277">
        <f t="shared" si="23"/>
        <v>0</v>
      </c>
      <c r="U65" s="120"/>
      <c r="V65" s="192">
        <f t="shared" si="22"/>
        <v>0</v>
      </c>
    </row>
    <row r="66" spans="1:22" s="42" customFormat="1" ht="12.75" customHeight="1" x14ac:dyDescent="0.25">
      <c r="A66" s="38" t="s">
        <v>63</v>
      </c>
      <c r="B66" s="39" t="s">
        <v>64</v>
      </c>
      <c r="C66" s="271">
        <f>+C67+C69</f>
        <v>10000</v>
      </c>
      <c r="D66" s="271">
        <f>+D67+D69</f>
        <v>10000</v>
      </c>
      <c r="E66" s="271">
        <f>+E67+E69</f>
        <v>10000</v>
      </c>
      <c r="F66" s="271">
        <f>+F67+F69</f>
        <v>10000</v>
      </c>
      <c r="G66" s="271"/>
      <c r="H66" s="271">
        <f>+H67+H69</f>
        <v>0</v>
      </c>
      <c r="I66" s="271">
        <f>+I67+I69</f>
        <v>0</v>
      </c>
      <c r="J66" s="271">
        <f>+J67+J69</f>
        <v>0</v>
      </c>
      <c r="K66" s="271"/>
      <c r="L66" s="591">
        <f t="shared" si="14"/>
        <v>0</v>
      </c>
      <c r="M66" s="591">
        <f t="shared" si="15"/>
        <v>0</v>
      </c>
      <c r="N66" s="591">
        <f t="shared" si="16"/>
        <v>0</v>
      </c>
      <c r="O66" s="271"/>
      <c r="P66" s="271">
        <f t="shared" si="10"/>
        <v>0</v>
      </c>
      <c r="Q66" s="271">
        <f t="shared" si="11"/>
        <v>0</v>
      </c>
      <c r="R66" s="271">
        <f t="shared" si="12"/>
        <v>0</v>
      </c>
      <c r="S66" s="271">
        <f t="shared" si="17"/>
        <v>0</v>
      </c>
      <c r="T66" s="277">
        <f t="shared" si="23"/>
        <v>0</v>
      </c>
      <c r="U66" s="120"/>
      <c r="V66" s="192">
        <f t="shared" si="22"/>
        <v>0</v>
      </c>
    </row>
    <row r="67" spans="1:22" ht="12.75" customHeight="1" x14ac:dyDescent="0.25">
      <c r="A67" s="14" t="s">
        <v>65</v>
      </c>
      <c r="B67" s="20" t="s">
        <v>66</v>
      </c>
      <c r="C67" s="268">
        <v>10000</v>
      </c>
      <c r="D67" s="268">
        <v>10000</v>
      </c>
      <c r="E67" s="268">
        <v>10000</v>
      </c>
      <c r="F67" s="268">
        <v>10000</v>
      </c>
      <c r="G67" s="268"/>
      <c r="H67" s="268"/>
      <c r="I67" s="268"/>
      <c r="J67" s="268"/>
      <c r="K67" s="268"/>
      <c r="L67" s="591">
        <f t="shared" si="14"/>
        <v>0</v>
      </c>
      <c r="M67" s="591">
        <f t="shared" si="15"/>
        <v>0</v>
      </c>
      <c r="N67" s="591">
        <f t="shared" si="16"/>
        <v>0</v>
      </c>
      <c r="O67" s="268"/>
      <c r="P67" s="81">
        <f t="shared" si="10"/>
        <v>0</v>
      </c>
      <c r="Q67" s="81">
        <f t="shared" si="11"/>
        <v>0</v>
      </c>
      <c r="R67" s="81">
        <f t="shared" si="12"/>
        <v>0</v>
      </c>
      <c r="S67" s="81">
        <f t="shared" si="17"/>
        <v>0</v>
      </c>
      <c r="T67" s="277">
        <f t="shared" si="23"/>
        <v>0</v>
      </c>
      <c r="U67" s="120"/>
      <c r="V67" s="192">
        <f t="shared" si="22"/>
        <v>0</v>
      </c>
    </row>
    <row r="68" spans="1:22" ht="24" customHeight="1" x14ac:dyDescent="0.25">
      <c r="A68" s="14"/>
      <c r="B68" s="20" t="s">
        <v>67</v>
      </c>
      <c r="C68" s="268"/>
      <c r="D68" s="268"/>
      <c r="E68" s="268"/>
      <c r="F68" s="268"/>
      <c r="G68" s="268"/>
      <c r="H68" s="268"/>
      <c r="I68" s="268"/>
      <c r="J68" s="268"/>
      <c r="K68" s="268"/>
      <c r="L68" s="591">
        <f t="shared" si="14"/>
        <v>0</v>
      </c>
      <c r="M68" s="591">
        <f t="shared" si="15"/>
        <v>0</v>
      </c>
      <c r="N68" s="591">
        <f t="shared" si="16"/>
        <v>0</v>
      </c>
      <c r="O68" s="268"/>
      <c r="P68" s="81">
        <f t="shared" si="10"/>
        <v>0</v>
      </c>
      <c r="Q68" s="81">
        <f t="shared" si="11"/>
        <v>0</v>
      </c>
      <c r="R68" s="81">
        <f t="shared" si="12"/>
        <v>0</v>
      </c>
      <c r="S68" s="81">
        <f t="shared" si="17"/>
        <v>0</v>
      </c>
      <c r="T68" s="277">
        <f t="shared" si="23"/>
        <v>0</v>
      </c>
      <c r="U68" s="120"/>
      <c r="V68" s="192">
        <f t="shared" si="22"/>
        <v>0</v>
      </c>
    </row>
    <row r="69" spans="1:22" ht="12.75" customHeight="1" x14ac:dyDescent="0.25">
      <c r="A69" s="14" t="s">
        <v>68</v>
      </c>
      <c r="B69" s="20" t="s">
        <v>96</v>
      </c>
      <c r="C69" s="268"/>
      <c r="D69" s="268"/>
      <c r="E69" s="268"/>
      <c r="F69" s="268"/>
      <c r="G69" s="268"/>
      <c r="H69" s="268"/>
      <c r="I69" s="268"/>
      <c r="J69" s="268"/>
      <c r="K69" s="268"/>
      <c r="L69" s="591">
        <f t="shared" si="14"/>
        <v>0</v>
      </c>
      <c r="M69" s="591">
        <f t="shared" si="15"/>
        <v>0</v>
      </c>
      <c r="N69" s="591">
        <f t="shared" si="16"/>
        <v>0</v>
      </c>
      <c r="O69" s="268"/>
      <c r="P69" s="81">
        <f t="shared" si="10"/>
        <v>0</v>
      </c>
      <c r="Q69" s="81">
        <f t="shared" si="11"/>
        <v>0</v>
      </c>
      <c r="R69" s="81">
        <f t="shared" si="12"/>
        <v>0</v>
      </c>
      <c r="S69" s="81">
        <f t="shared" si="17"/>
        <v>0</v>
      </c>
      <c r="T69" s="277">
        <f t="shared" si="23"/>
        <v>0</v>
      </c>
      <c r="U69" s="120"/>
      <c r="V69" s="192">
        <f t="shared" si="22"/>
        <v>0</v>
      </c>
    </row>
    <row r="70" spans="1:22" ht="26.25" customHeight="1" x14ac:dyDescent="0.25">
      <c r="A70" s="14"/>
      <c r="B70" s="20" t="s">
        <v>69</v>
      </c>
      <c r="C70" s="268"/>
      <c r="D70" s="268"/>
      <c r="E70" s="268"/>
      <c r="F70" s="268"/>
      <c r="G70" s="268"/>
      <c r="H70" s="268"/>
      <c r="I70" s="268"/>
      <c r="J70" s="268"/>
      <c r="K70" s="268"/>
      <c r="L70" s="591">
        <f t="shared" si="14"/>
        <v>0</v>
      </c>
      <c r="M70" s="591">
        <f t="shared" si="15"/>
        <v>0</v>
      </c>
      <c r="N70" s="591">
        <f t="shared" si="16"/>
        <v>0</v>
      </c>
      <c r="O70" s="268"/>
      <c r="P70" s="81">
        <f t="shared" si="10"/>
        <v>0</v>
      </c>
      <c r="Q70" s="81">
        <f t="shared" si="11"/>
        <v>0</v>
      </c>
      <c r="R70" s="81">
        <f t="shared" si="12"/>
        <v>0</v>
      </c>
      <c r="S70" s="81">
        <f t="shared" si="17"/>
        <v>0</v>
      </c>
      <c r="T70" s="277">
        <f t="shared" si="23"/>
        <v>0</v>
      </c>
      <c r="U70" s="120"/>
      <c r="V70" s="192">
        <f t="shared" si="22"/>
        <v>0</v>
      </c>
    </row>
    <row r="71" spans="1:22" s="42" customFormat="1" ht="12.75" customHeight="1" x14ac:dyDescent="0.25">
      <c r="A71" s="38" t="s">
        <v>70</v>
      </c>
      <c r="B71" s="39" t="s">
        <v>71</v>
      </c>
      <c r="C71" s="271">
        <f>SUM(C72:C81)</f>
        <v>2060000</v>
      </c>
      <c r="D71" s="271">
        <f t="shared" ref="D71:J71" si="24">SUM(D72:D81)</f>
        <v>2060000</v>
      </c>
      <c r="E71" s="271">
        <f t="shared" si="24"/>
        <v>2060000</v>
      </c>
      <c r="F71" s="271">
        <f t="shared" si="24"/>
        <v>2610000</v>
      </c>
      <c r="G71" s="271"/>
      <c r="H71" s="271">
        <f t="shared" si="24"/>
        <v>1165669</v>
      </c>
      <c r="I71" s="271">
        <f t="shared" si="24"/>
        <v>1635376</v>
      </c>
      <c r="J71" s="271">
        <f t="shared" si="24"/>
        <v>2104584</v>
      </c>
      <c r="K71" s="271"/>
      <c r="L71" s="592">
        <f t="shared" si="14"/>
        <v>0.5658587378640777</v>
      </c>
      <c r="M71" s="592">
        <f t="shared" si="15"/>
        <v>0.79387184466019423</v>
      </c>
      <c r="N71" s="592">
        <f t="shared" si="16"/>
        <v>1.0216427184466019</v>
      </c>
      <c r="O71" s="271"/>
      <c r="P71" s="271">
        <f t="shared" si="10"/>
        <v>0</v>
      </c>
      <c r="Q71" s="271">
        <f t="shared" si="11"/>
        <v>0</v>
      </c>
      <c r="R71" s="271">
        <f t="shared" si="12"/>
        <v>550000</v>
      </c>
      <c r="S71" s="271">
        <f t="shared" si="17"/>
        <v>550000</v>
      </c>
      <c r="V71" s="192">
        <f t="shared" si="22"/>
        <v>550000</v>
      </c>
    </row>
    <row r="72" spans="1:22" ht="12.75" customHeight="1" x14ac:dyDescent="0.25">
      <c r="A72" s="14" t="s">
        <v>72</v>
      </c>
      <c r="B72" s="20" t="s">
        <v>73</v>
      </c>
      <c r="C72" s="268">
        <v>1700000</v>
      </c>
      <c r="D72" s="268">
        <v>1700000</v>
      </c>
      <c r="E72" s="268">
        <v>1700000</v>
      </c>
      <c r="F72" s="268">
        <v>2250000</v>
      </c>
      <c r="G72" s="268"/>
      <c r="H72" s="268">
        <v>981076</v>
      </c>
      <c r="I72" s="268">
        <v>1347253</v>
      </c>
      <c r="J72" s="268">
        <v>1751605</v>
      </c>
      <c r="K72" s="268"/>
      <c r="L72" s="591">
        <f t="shared" si="14"/>
        <v>0.57710352941176468</v>
      </c>
      <c r="M72" s="591">
        <f t="shared" si="15"/>
        <v>0.79250176470588241</v>
      </c>
      <c r="N72" s="591">
        <f t="shared" si="16"/>
        <v>1.0303558823529411</v>
      </c>
      <c r="O72" s="268"/>
      <c r="P72" s="81">
        <f t="shared" si="10"/>
        <v>0</v>
      </c>
      <c r="Q72" s="81">
        <f t="shared" si="11"/>
        <v>0</v>
      </c>
      <c r="R72" s="81">
        <f t="shared" si="12"/>
        <v>550000</v>
      </c>
      <c r="S72" s="81">
        <f t="shared" si="17"/>
        <v>550000</v>
      </c>
      <c r="T72" s="277">
        <f t="shared" ref="T72:T81" si="25">IF(C72=0,0,+S72/C72)</f>
        <v>0.3235294117647059</v>
      </c>
      <c r="U72" s="120"/>
      <c r="V72" s="192">
        <f t="shared" si="22"/>
        <v>550000</v>
      </c>
    </row>
    <row r="73" spans="1:22" ht="12.75" customHeight="1" x14ac:dyDescent="0.25">
      <c r="A73" s="14"/>
      <c r="B73" s="20" t="s">
        <v>74</v>
      </c>
      <c r="C73" s="268">
        <v>0</v>
      </c>
      <c r="D73" s="268"/>
      <c r="E73" s="268"/>
      <c r="F73" s="268"/>
      <c r="G73" s="268"/>
      <c r="H73" s="268"/>
      <c r="I73" s="268"/>
      <c r="J73" s="268"/>
      <c r="K73" s="268"/>
      <c r="L73" s="591">
        <f t="shared" si="14"/>
        <v>0</v>
      </c>
      <c r="M73" s="591">
        <f t="shared" si="15"/>
        <v>0</v>
      </c>
      <c r="N73" s="591">
        <f t="shared" si="16"/>
        <v>0</v>
      </c>
      <c r="O73" s="268"/>
      <c r="P73" s="81">
        <f t="shared" si="10"/>
        <v>0</v>
      </c>
      <c r="Q73" s="81">
        <f t="shared" si="11"/>
        <v>0</v>
      </c>
      <c r="R73" s="81">
        <f t="shared" si="12"/>
        <v>0</v>
      </c>
      <c r="S73" s="81">
        <f t="shared" si="17"/>
        <v>0</v>
      </c>
      <c r="T73" s="277">
        <f t="shared" si="25"/>
        <v>0</v>
      </c>
      <c r="U73" s="120"/>
      <c r="V73" s="192">
        <f t="shared" si="22"/>
        <v>0</v>
      </c>
    </row>
    <row r="74" spans="1:22" ht="12.75" customHeight="1" x14ac:dyDescent="0.25">
      <c r="A74" s="14" t="s">
        <v>75</v>
      </c>
      <c r="B74" s="20" t="s">
        <v>76</v>
      </c>
      <c r="C74" s="268">
        <v>350000</v>
      </c>
      <c r="D74" s="268">
        <v>350000</v>
      </c>
      <c r="E74" s="268">
        <v>350000</v>
      </c>
      <c r="F74" s="268">
        <v>350000</v>
      </c>
      <c r="G74" s="268"/>
      <c r="H74" s="268">
        <v>184000</v>
      </c>
      <c r="I74" s="268">
        <v>286000</v>
      </c>
      <c r="J74" s="268">
        <v>350000</v>
      </c>
      <c r="K74" s="268"/>
      <c r="L74" s="591">
        <f t="shared" si="14"/>
        <v>0.52571428571428569</v>
      </c>
      <c r="M74" s="591">
        <f t="shared" si="15"/>
        <v>0.81714285714285717</v>
      </c>
      <c r="N74" s="591">
        <f t="shared" si="16"/>
        <v>1</v>
      </c>
      <c r="O74" s="268"/>
      <c r="P74" s="81">
        <f t="shared" si="10"/>
        <v>0</v>
      </c>
      <c r="Q74" s="81">
        <f t="shared" si="11"/>
        <v>0</v>
      </c>
      <c r="R74" s="81">
        <f t="shared" si="12"/>
        <v>0</v>
      </c>
      <c r="S74" s="81">
        <f t="shared" si="17"/>
        <v>0</v>
      </c>
      <c r="T74" s="277">
        <f t="shared" si="25"/>
        <v>0</v>
      </c>
      <c r="U74" s="120"/>
      <c r="V74" s="192">
        <f t="shared" si="22"/>
        <v>0</v>
      </c>
    </row>
    <row r="75" spans="1:22" ht="12.75" customHeight="1" x14ac:dyDescent="0.25">
      <c r="A75" s="14"/>
      <c r="B75" s="20" t="s">
        <v>97</v>
      </c>
      <c r="C75" s="268"/>
      <c r="D75" s="268"/>
      <c r="E75" s="268"/>
      <c r="F75" s="268"/>
      <c r="G75" s="268"/>
      <c r="H75" s="268"/>
      <c r="I75" s="268"/>
      <c r="J75" s="268"/>
      <c r="K75" s="268"/>
      <c r="L75" s="591">
        <f t="shared" si="14"/>
        <v>0</v>
      </c>
      <c r="M75" s="591">
        <f t="shared" si="15"/>
        <v>0</v>
      </c>
      <c r="N75" s="591">
        <f t="shared" si="16"/>
        <v>0</v>
      </c>
      <c r="O75" s="268"/>
      <c r="P75" s="81">
        <f t="shared" si="10"/>
        <v>0</v>
      </c>
      <c r="Q75" s="81">
        <f t="shared" si="11"/>
        <v>0</v>
      </c>
      <c r="R75" s="81">
        <f t="shared" si="12"/>
        <v>0</v>
      </c>
      <c r="S75" s="81">
        <f t="shared" si="17"/>
        <v>0</v>
      </c>
      <c r="T75" s="277">
        <f t="shared" si="25"/>
        <v>0</v>
      </c>
      <c r="U75" s="120"/>
      <c r="V75" s="192">
        <f t="shared" si="22"/>
        <v>0</v>
      </c>
    </row>
    <row r="76" spans="1:22" ht="12.75" customHeight="1" x14ac:dyDescent="0.25">
      <c r="A76" s="14" t="s">
        <v>77</v>
      </c>
      <c r="B76" s="20" t="s">
        <v>78</v>
      </c>
      <c r="C76" s="268"/>
      <c r="D76" s="268"/>
      <c r="E76" s="268"/>
      <c r="F76" s="268"/>
      <c r="G76" s="268"/>
      <c r="H76" s="268"/>
      <c r="I76" s="268"/>
      <c r="J76" s="268"/>
      <c r="K76" s="268"/>
      <c r="L76" s="591">
        <f t="shared" si="14"/>
        <v>0</v>
      </c>
      <c r="M76" s="591">
        <f t="shared" si="15"/>
        <v>0</v>
      </c>
      <c r="N76" s="591">
        <f t="shared" si="16"/>
        <v>0</v>
      </c>
      <c r="O76" s="268"/>
      <c r="P76" s="81">
        <f t="shared" si="10"/>
        <v>0</v>
      </c>
      <c r="Q76" s="81">
        <f t="shared" si="11"/>
        <v>0</v>
      </c>
      <c r="R76" s="81">
        <f t="shared" si="12"/>
        <v>0</v>
      </c>
      <c r="S76" s="81">
        <f t="shared" si="17"/>
        <v>0</v>
      </c>
      <c r="T76" s="277">
        <f t="shared" si="25"/>
        <v>0</v>
      </c>
      <c r="U76" s="120"/>
      <c r="V76" s="192">
        <f t="shared" si="22"/>
        <v>0</v>
      </c>
    </row>
    <row r="77" spans="1:22" ht="30.75" customHeight="1" x14ac:dyDescent="0.25">
      <c r="A77" s="14"/>
      <c r="B77" s="20" t="s">
        <v>102</v>
      </c>
      <c r="C77" s="268"/>
      <c r="D77" s="268"/>
      <c r="E77" s="268"/>
      <c r="F77" s="268"/>
      <c r="G77" s="268"/>
      <c r="H77" s="268"/>
      <c r="I77" s="268"/>
      <c r="J77" s="268"/>
      <c r="K77" s="268"/>
      <c r="L77" s="591">
        <f t="shared" si="14"/>
        <v>0</v>
      </c>
      <c r="M77" s="591">
        <f t="shared" si="15"/>
        <v>0</v>
      </c>
      <c r="N77" s="591">
        <f t="shared" si="16"/>
        <v>0</v>
      </c>
      <c r="O77" s="268"/>
      <c r="P77" s="81">
        <f t="shared" si="10"/>
        <v>0</v>
      </c>
      <c r="Q77" s="81">
        <f t="shared" si="11"/>
        <v>0</v>
      </c>
      <c r="R77" s="81">
        <f t="shared" si="12"/>
        <v>0</v>
      </c>
      <c r="S77" s="81">
        <f t="shared" si="17"/>
        <v>0</v>
      </c>
      <c r="T77" s="277">
        <f t="shared" si="25"/>
        <v>0</v>
      </c>
      <c r="U77" s="120"/>
      <c r="V77" s="192">
        <f t="shared" si="22"/>
        <v>0</v>
      </c>
    </row>
    <row r="78" spans="1:22" ht="12.75" customHeight="1" x14ac:dyDescent="0.25">
      <c r="A78" s="14" t="s">
        <v>80</v>
      </c>
      <c r="B78" s="20" t="s">
        <v>81</v>
      </c>
      <c r="C78" s="268"/>
      <c r="D78" s="268"/>
      <c r="E78" s="268"/>
      <c r="F78" s="268"/>
      <c r="G78" s="268"/>
      <c r="H78" s="268"/>
      <c r="I78" s="268"/>
      <c r="J78" s="268"/>
      <c r="K78" s="268"/>
      <c r="L78" s="591">
        <f t="shared" si="14"/>
        <v>0</v>
      </c>
      <c r="M78" s="591">
        <f t="shared" si="15"/>
        <v>0</v>
      </c>
      <c r="N78" s="591">
        <f t="shared" si="16"/>
        <v>0</v>
      </c>
      <c r="O78" s="268"/>
      <c r="P78" s="81">
        <f t="shared" si="10"/>
        <v>0</v>
      </c>
      <c r="Q78" s="81">
        <f t="shared" si="11"/>
        <v>0</v>
      </c>
      <c r="R78" s="81">
        <f t="shared" si="12"/>
        <v>0</v>
      </c>
      <c r="S78" s="81">
        <f t="shared" si="17"/>
        <v>0</v>
      </c>
      <c r="T78" s="277">
        <f t="shared" si="25"/>
        <v>0</v>
      </c>
      <c r="U78" s="120"/>
      <c r="V78" s="192">
        <f t="shared" si="22"/>
        <v>0</v>
      </c>
    </row>
    <row r="79" spans="1:22" ht="12.75" customHeight="1" x14ac:dyDescent="0.25">
      <c r="A79" s="14"/>
      <c r="B79" s="20" t="s">
        <v>82</v>
      </c>
      <c r="C79" s="268"/>
      <c r="D79" s="268"/>
      <c r="E79" s="268"/>
      <c r="F79" s="268"/>
      <c r="G79" s="268"/>
      <c r="H79" s="268"/>
      <c r="I79" s="268"/>
      <c r="J79" s="268"/>
      <c r="K79" s="268"/>
      <c r="L79" s="591">
        <f t="shared" si="14"/>
        <v>0</v>
      </c>
      <c r="M79" s="591">
        <f t="shared" si="15"/>
        <v>0</v>
      </c>
      <c r="N79" s="591">
        <f t="shared" si="16"/>
        <v>0</v>
      </c>
      <c r="O79" s="268"/>
      <c r="P79" s="81">
        <f t="shared" si="10"/>
        <v>0</v>
      </c>
      <c r="Q79" s="81">
        <f t="shared" si="11"/>
        <v>0</v>
      </c>
      <c r="R79" s="81">
        <f t="shared" si="12"/>
        <v>0</v>
      </c>
      <c r="S79" s="81">
        <f t="shared" si="17"/>
        <v>0</v>
      </c>
      <c r="T79" s="277">
        <f t="shared" si="25"/>
        <v>0</v>
      </c>
      <c r="U79" s="120"/>
      <c r="V79" s="192">
        <f t="shared" si="22"/>
        <v>0</v>
      </c>
    </row>
    <row r="80" spans="1:22" ht="12.75" customHeight="1" x14ac:dyDescent="0.25">
      <c r="A80" s="14" t="s">
        <v>83</v>
      </c>
      <c r="B80" s="20" t="s">
        <v>84</v>
      </c>
      <c r="C80" s="268">
        <v>10000</v>
      </c>
      <c r="D80" s="268">
        <v>10000</v>
      </c>
      <c r="E80" s="268">
        <v>10000</v>
      </c>
      <c r="F80" s="268">
        <v>10000</v>
      </c>
      <c r="G80" s="268"/>
      <c r="H80" s="268">
        <v>593</v>
      </c>
      <c r="I80" s="268">
        <v>2123</v>
      </c>
      <c r="J80" s="268">
        <v>2979</v>
      </c>
      <c r="K80" s="268"/>
      <c r="L80" s="591">
        <f t="shared" si="14"/>
        <v>5.9299999999999999E-2</v>
      </c>
      <c r="M80" s="591">
        <f t="shared" si="15"/>
        <v>0.21229999999999999</v>
      </c>
      <c r="N80" s="591">
        <f t="shared" si="16"/>
        <v>0.2979</v>
      </c>
      <c r="O80" s="268"/>
      <c r="P80" s="81">
        <f t="shared" si="10"/>
        <v>0</v>
      </c>
      <c r="Q80" s="81">
        <f t="shared" si="11"/>
        <v>0</v>
      </c>
      <c r="R80" s="81">
        <f t="shared" si="12"/>
        <v>0</v>
      </c>
      <c r="S80" s="81">
        <f t="shared" si="17"/>
        <v>0</v>
      </c>
      <c r="T80" s="277">
        <f t="shared" si="25"/>
        <v>0</v>
      </c>
      <c r="U80" s="120"/>
      <c r="V80" s="192">
        <f t="shared" si="22"/>
        <v>0</v>
      </c>
    </row>
    <row r="81" spans="1:24" ht="56.25" customHeight="1" x14ac:dyDescent="0.25">
      <c r="A81" s="14"/>
      <c r="B81" s="20" t="s">
        <v>88</v>
      </c>
      <c r="C81" s="268"/>
      <c r="D81" s="268"/>
      <c r="E81" s="268"/>
      <c r="F81" s="268"/>
      <c r="G81" s="268"/>
      <c r="H81" s="268"/>
      <c r="I81" s="268"/>
      <c r="J81" s="268"/>
      <c r="K81" s="268"/>
      <c r="L81" s="591">
        <f t="shared" si="14"/>
        <v>0</v>
      </c>
      <c r="M81" s="591">
        <f t="shared" si="15"/>
        <v>0</v>
      </c>
      <c r="N81" s="591">
        <f t="shared" si="16"/>
        <v>0</v>
      </c>
      <c r="O81" s="268"/>
      <c r="P81" s="81">
        <f t="shared" si="10"/>
        <v>0</v>
      </c>
      <c r="Q81" s="81">
        <f t="shared" si="11"/>
        <v>0</v>
      </c>
      <c r="R81" s="81">
        <f t="shared" si="12"/>
        <v>0</v>
      </c>
      <c r="S81" s="81">
        <f t="shared" si="17"/>
        <v>0</v>
      </c>
      <c r="T81" s="277">
        <f t="shared" si="25"/>
        <v>0</v>
      </c>
      <c r="U81" s="120"/>
      <c r="V81" s="192">
        <f t="shared" si="22"/>
        <v>0</v>
      </c>
    </row>
    <row r="82" spans="1:24" ht="12.75" customHeight="1" x14ac:dyDescent="0.25">
      <c r="A82" s="279"/>
      <c r="B82" s="280"/>
      <c r="C82" s="281"/>
      <c r="D82" s="281"/>
      <c r="E82" s="281"/>
      <c r="F82" s="281"/>
      <c r="G82" s="281"/>
      <c r="H82" s="281"/>
      <c r="I82" s="281"/>
      <c r="J82" s="281"/>
      <c r="K82" s="281"/>
      <c r="L82" s="607">
        <f t="shared" si="14"/>
        <v>0</v>
      </c>
      <c r="M82" s="607">
        <f t="shared" si="15"/>
        <v>0</v>
      </c>
      <c r="N82" s="607">
        <f t="shared" si="16"/>
        <v>0</v>
      </c>
      <c r="O82" s="281"/>
      <c r="P82" s="282"/>
      <c r="Q82" s="282"/>
      <c r="R82" s="282"/>
      <c r="S82" s="282">
        <f t="shared" si="17"/>
        <v>0</v>
      </c>
      <c r="T82" s="283"/>
      <c r="U82" s="284"/>
      <c r="V82" s="192"/>
    </row>
    <row r="83" spans="1:24" s="42" customFormat="1" ht="12.75" customHeight="1" x14ac:dyDescent="0.25">
      <c r="A83" s="4" t="s">
        <v>154</v>
      </c>
      <c r="B83" s="3" t="s">
        <v>155</v>
      </c>
      <c r="C83" s="273">
        <f>SUM(C84:C85)</f>
        <v>300000</v>
      </c>
      <c r="D83" s="273">
        <f>SUM(D84:D85)</f>
        <v>780000</v>
      </c>
      <c r="E83" s="273">
        <f>SUM(E84:E85)</f>
        <v>780000</v>
      </c>
      <c r="F83" s="273">
        <f>SUM(F84:F85)</f>
        <v>850150</v>
      </c>
      <c r="G83" s="273"/>
      <c r="H83" s="273">
        <f>SUM(H84:H85)</f>
        <v>757830</v>
      </c>
      <c r="I83" s="273">
        <f>SUM(I84:I85)</f>
        <v>757830</v>
      </c>
      <c r="J83" s="273">
        <f>SUM(J84:J85)</f>
        <v>802929</v>
      </c>
      <c r="K83" s="273"/>
      <c r="L83" s="588">
        <f t="shared" si="14"/>
        <v>2.5261</v>
      </c>
      <c r="M83" s="588">
        <f t="shared" si="15"/>
        <v>0.97157692307692312</v>
      </c>
      <c r="N83" s="588">
        <f t="shared" si="16"/>
        <v>1.0293961538461538</v>
      </c>
      <c r="O83" s="273"/>
      <c r="P83" s="273">
        <f t="shared" ref="P83:P88" si="26">+(D83-C83)*P$10</f>
        <v>480000</v>
      </c>
      <c r="Q83" s="273">
        <f t="shared" ref="Q83:Q88" si="27">+(E83-D83)*Q$10</f>
        <v>0</v>
      </c>
      <c r="R83" s="273">
        <f t="shared" ref="R83:R88" si="28">+(F83-E83)*R$10</f>
        <v>70150</v>
      </c>
      <c r="S83" s="273">
        <f t="shared" si="17"/>
        <v>550150</v>
      </c>
      <c r="T83" s="278">
        <f t="shared" ref="T83:T88" si="29">IF(C83=0,0,+S83/C83)</f>
        <v>1.8338333333333334</v>
      </c>
      <c r="U83" s="120"/>
      <c r="V83" s="192">
        <f t="shared" ref="V83:V88" si="30">+S83-E83+C83</f>
        <v>70150</v>
      </c>
    </row>
    <row r="84" spans="1:24" ht="12.75" customHeight="1" x14ac:dyDescent="0.25">
      <c r="A84" s="14"/>
      <c r="B84" s="20"/>
      <c r="C84" s="269">
        <v>300000</v>
      </c>
      <c r="D84" s="268">
        <v>780000</v>
      </c>
      <c r="E84" s="268">
        <v>780000</v>
      </c>
      <c r="F84" s="268">
        <v>850150</v>
      </c>
      <c r="G84" s="268"/>
      <c r="H84" s="268">
        <v>757830</v>
      </c>
      <c r="I84" s="296">
        <v>757830</v>
      </c>
      <c r="J84" s="268">
        <v>802929</v>
      </c>
      <c r="K84" s="268"/>
      <c r="L84" s="597">
        <f t="shared" si="14"/>
        <v>2.5261</v>
      </c>
      <c r="M84" s="597">
        <f t="shared" si="15"/>
        <v>0.97157692307692312</v>
      </c>
      <c r="N84" s="597">
        <f t="shared" si="16"/>
        <v>1.0293961538461538</v>
      </c>
      <c r="O84" s="268"/>
      <c r="P84" s="81">
        <f t="shared" si="26"/>
        <v>480000</v>
      </c>
      <c r="Q84" s="81">
        <f t="shared" si="27"/>
        <v>0</v>
      </c>
      <c r="R84" s="81">
        <f t="shared" si="28"/>
        <v>70150</v>
      </c>
      <c r="S84" s="81">
        <f t="shared" si="17"/>
        <v>550150</v>
      </c>
      <c r="T84" s="277">
        <f t="shared" si="29"/>
        <v>1.8338333333333334</v>
      </c>
      <c r="U84" s="120"/>
      <c r="V84" s="192">
        <f t="shared" si="30"/>
        <v>70150</v>
      </c>
    </row>
    <row r="85" spans="1:24" ht="12.75" hidden="1" customHeight="1" x14ac:dyDescent="0.25">
      <c r="A85" s="14"/>
      <c r="B85" s="20"/>
      <c r="C85" s="269"/>
      <c r="D85" s="268"/>
      <c r="E85" s="268"/>
      <c r="F85" s="268"/>
      <c r="G85" s="268"/>
      <c r="H85" s="268"/>
      <c r="I85" s="268"/>
      <c r="J85" s="268"/>
      <c r="K85" s="268"/>
      <c r="L85" s="590">
        <f t="shared" si="14"/>
        <v>0</v>
      </c>
      <c r="M85" s="590">
        <f t="shared" si="15"/>
        <v>0</v>
      </c>
      <c r="N85" s="590">
        <f t="shared" si="16"/>
        <v>0</v>
      </c>
      <c r="O85" s="268"/>
      <c r="P85" s="81">
        <f t="shared" si="26"/>
        <v>0</v>
      </c>
      <c r="Q85" s="81">
        <f t="shared" si="27"/>
        <v>0</v>
      </c>
      <c r="R85" s="81">
        <f t="shared" si="28"/>
        <v>0</v>
      </c>
      <c r="S85" s="81">
        <f t="shared" si="17"/>
        <v>0</v>
      </c>
      <c r="T85" s="277">
        <f t="shared" si="29"/>
        <v>0</v>
      </c>
      <c r="U85" s="120"/>
      <c r="V85" s="192">
        <f t="shared" si="30"/>
        <v>0</v>
      </c>
    </row>
    <row r="86" spans="1:24" s="42" customFormat="1" ht="12.75" customHeight="1" x14ac:dyDescent="0.25">
      <c r="A86" s="4" t="s">
        <v>169</v>
      </c>
      <c r="B86" s="3" t="s">
        <v>170</v>
      </c>
      <c r="C86" s="273">
        <f>SUM(C87:C88)</f>
        <v>0</v>
      </c>
      <c r="D86" s="273">
        <f>SUM(D87:D88)</f>
        <v>0</v>
      </c>
      <c r="E86" s="273">
        <f>SUM(E87:E88)</f>
        <v>0</v>
      </c>
      <c r="F86" s="273">
        <f>SUM(F87:F88)</f>
        <v>0</v>
      </c>
      <c r="G86" s="273"/>
      <c r="H86" s="273">
        <f>SUM(H87:H88)</f>
        <v>0</v>
      </c>
      <c r="I86" s="273">
        <f>SUM(I87:I88)</f>
        <v>0</v>
      </c>
      <c r="J86" s="273">
        <f>SUM(J87:J88)</f>
        <v>0</v>
      </c>
      <c r="K86" s="273"/>
      <c r="L86" s="588">
        <f t="shared" si="14"/>
        <v>0</v>
      </c>
      <c r="M86" s="588">
        <f t="shared" si="15"/>
        <v>0</v>
      </c>
      <c r="N86" s="588">
        <f t="shared" si="16"/>
        <v>0</v>
      </c>
      <c r="O86" s="273"/>
      <c r="P86" s="273">
        <f t="shared" si="26"/>
        <v>0</v>
      </c>
      <c r="Q86" s="273">
        <f t="shared" si="27"/>
        <v>0</v>
      </c>
      <c r="R86" s="273">
        <f t="shared" si="28"/>
        <v>0</v>
      </c>
      <c r="S86" s="273">
        <f t="shared" si="17"/>
        <v>0</v>
      </c>
      <c r="T86" s="278">
        <f t="shared" si="29"/>
        <v>0</v>
      </c>
      <c r="U86" s="120"/>
      <c r="V86" s="192">
        <f t="shared" si="30"/>
        <v>0</v>
      </c>
    </row>
    <row r="87" spans="1:24" ht="12.75" customHeight="1" x14ac:dyDescent="0.25">
      <c r="A87" s="14"/>
      <c r="B87" s="20"/>
      <c r="C87" s="269"/>
      <c r="D87" s="268"/>
      <c r="E87" s="268"/>
      <c r="F87" s="268"/>
      <c r="G87" s="268"/>
      <c r="H87" s="268"/>
      <c r="I87" s="296"/>
      <c r="J87" s="268"/>
      <c r="K87" s="268"/>
      <c r="L87" s="597">
        <f t="shared" si="14"/>
        <v>0</v>
      </c>
      <c r="M87" s="597">
        <f t="shared" si="15"/>
        <v>0</v>
      </c>
      <c r="N87" s="597">
        <f t="shared" si="16"/>
        <v>0</v>
      </c>
      <c r="O87" s="268"/>
      <c r="P87" s="81">
        <f t="shared" si="26"/>
        <v>0</v>
      </c>
      <c r="Q87" s="81">
        <f t="shared" si="27"/>
        <v>0</v>
      </c>
      <c r="R87" s="81">
        <f t="shared" si="28"/>
        <v>0</v>
      </c>
      <c r="S87" s="81">
        <f t="shared" si="17"/>
        <v>0</v>
      </c>
      <c r="T87" s="277">
        <f t="shared" si="29"/>
        <v>0</v>
      </c>
      <c r="U87" s="120"/>
      <c r="V87" s="192">
        <f t="shared" si="30"/>
        <v>0</v>
      </c>
    </row>
    <row r="88" spans="1:24" ht="12.75" hidden="1" customHeight="1" x14ac:dyDescent="0.25">
      <c r="A88" s="14"/>
      <c r="B88" s="20"/>
      <c r="C88" s="269"/>
      <c r="D88" s="268"/>
      <c r="E88" s="268"/>
      <c r="F88" s="268"/>
      <c r="G88" s="268"/>
      <c r="H88" s="268"/>
      <c r="I88" s="268"/>
      <c r="J88" s="268"/>
      <c r="K88" s="268"/>
      <c r="L88" s="590">
        <f t="shared" si="14"/>
        <v>0</v>
      </c>
      <c r="M88" s="590">
        <f t="shared" si="15"/>
        <v>0</v>
      </c>
      <c r="N88" s="590">
        <f t="shared" si="16"/>
        <v>0</v>
      </c>
      <c r="O88" s="268"/>
      <c r="P88" s="81">
        <f t="shared" si="26"/>
        <v>0</v>
      </c>
      <c r="Q88" s="81">
        <f t="shared" si="27"/>
        <v>0</v>
      </c>
      <c r="R88" s="81">
        <f t="shared" si="28"/>
        <v>0</v>
      </c>
      <c r="S88" s="81">
        <f t="shared" si="17"/>
        <v>0</v>
      </c>
      <c r="T88" s="277">
        <f t="shared" si="29"/>
        <v>0</v>
      </c>
      <c r="U88" s="120"/>
      <c r="V88" s="192">
        <f t="shared" si="30"/>
        <v>0</v>
      </c>
    </row>
    <row r="89" spans="1:24" ht="21" customHeight="1" x14ac:dyDescent="0.25">
      <c r="A89" s="478"/>
      <c r="B89" s="468" t="s">
        <v>373</v>
      </c>
      <c r="C89" s="469">
        <f>C13+C29+C32+C83+C86</f>
        <v>65578000</v>
      </c>
      <c r="D89" s="469">
        <f t="shared" ref="D89:J89" si="31">D13+D29+D32+D83+D86</f>
        <v>65578000</v>
      </c>
      <c r="E89" s="469">
        <f t="shared" si="31"/>
        <v>65578000</v>
      </c>
      <c r="F89" s="469">
        <f t="shared" si="31"/>
        <v>64814413</v>
      </c>
      <c r="G89" s="469"/>
      <c r="H89" s="469">
        <f t="shared" si="31"/>
        <v>31656497</v>
      </c>
      <c r="I89" s="469">
        <f t="shared" si="31"/>
        <v>46781710</v>
      </c>
      <c r="J89" s="469">
        <f t="shared" si="31"/>
        <v>62913898</v>
      </c>
      <c r="K89" s="471"/>
      <c r="L89" s="594">
        <f t="shared" si="14"/>
        <v>0.48273044313641772</v>
      </c>
      <c r="M89" s="594">
        <f t="shared" si="15"/>
        <v>0.71337506480831991</v>
      </c>
      <c r="N89" s="594">
        <f t="shared" si="16"/>
        <v>0.95937506480831991</v>
      </c>
      <c r="O89" s="471"/>
      <c r="P89" s="469">
        <f t="shared" si="10"/>
        <v>0</v>
      </c>
      <c r="Q89" s="469">
        <f t="shared" si="11"/>
        <v>0</v>
      </c>
      <c r="R89" s="469">
        <f t="shared" si="12"/>
        <v>-763587</v>
      </c>
      <c r="S89" s="469">
        <f t="shared" si="17"/>
        <v>-763587</v>
      </c>
      <c r="T89" s="472">
        <f t="shared" ref="T89:T102" si="32">IF(C89=0,0,+S89/C89)</f>
        <v>-1.1643950715178871E-2</v>
      </c>
      <c r="U89" s="476"/>
      <c r="V89" s="477">
        <f t="shared" si="22"/>
        <v>-763587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03"/>
      <c r="M90" s="603"/>
      <c r="N90" s="603"/>
      <c r="O90" s="98"/>
      <c r="P90" s="98"/>
      <c r="Q90" s="98"/>
      <c r="R90" s="98"/>
      <c r="S90" s="98"/>
      <c r="T90" s="98"/>
      <c r="U90" s="22"/>
      <c r="V90" s="192">
        <f t="shared" si="22"/>
        <v>0</v>
      </c>
      <c r="W90" s="122"/>
      <c r="X90" s="122"/>
    </row>
    <row r="91" spans="1:24" ht="10.35" customHeight="1" x14ac:dyDescent="0.25">
      <c r="A91" s="463"/>
      <c r="B91" s="463"/>
      <c r="C91" s="464"/>
      <c r="D91" s="465"/>
      <c r="E91" s="465"/>
      <c r="F91" s="465"/>
      <c r="G91" s="465"/>
      <c r="H91" s="465"/>
      <c r="I91" s="465"/>
      <c r="J91" s="465"/>
      <c r="K91" s="465"/>
      <c r="L91" s="604"/>
      <c r="M91" s="604"/>
      <c r="N91" s="604"/>
      <c r="O91" s="465"/>
      <c r="P91" s="465"/>
      <c r="Q91" s="465"/>
      <c r="R91" s="465"/>
      <c r="S91" s="465"/>
      <c r="T91" s="465"/>
      <c r="U91" s="466"/>
      <c r="V91" s="467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03"/>
      <c r="M92" s="603"/>
      <c r="N92" s="603"/>
      <c r="O92" s="98"/>
      <c r="P92" s="98"/>
      <c r="Q92" s="98"/>
      <c r="R92" s="98"/>
      <c r="S92" s="98"/>
      <c r="T92" s="98"/>
      <c r="U92" s="22"/>
      <c r="V92" s="192"/>
      <c r="W92" s="122"/>
      <c r="X92" s="122"/>
    </row>
    <row r="93" spans="1:24" s="42" customFormat="1" ht="12.75" customHeight="1" x14ac:dyDescent="0.25">
      <c r="A93" s="4" t="s">
        <v>237</v>
      </c>
      <c r="B93" s="3" t="s">
        <v>238</v>
      </c>
      <c r="C93" s="273">
        <f>SUM(C94:C94)</f>
        <v>0</v>
      </c>
      <c r="D93" s="273">
        <f>SUM(D94:D94)</f>
        <v>0</v>
      </c>
      <c r="E93" s="273">
        <f>SUM(E94:E94)</f>
        <v>0</v>
      </c>
      <c r="F93" s="273">
        <f>SUM(F94:F94)</f>
        <v>0</v>
      </c>
      <c r="G93" s="273"/>
      <c r="H93" s="273">
        <f>SUM(H94:H94)</f>
        <v>0</v>
      </c>
      <c r="I93" s="273">
        <f>SUM(I94:I94)</f>
        <v>0</v>
      </c>
      <c r="J93" s="273">
        <f>SUM(J94:J94)</f>
        <v>0</v>
      </c>
      <c r="K93" s="273"/>
      <c r="L93" s="588">
        <f t="shared" ref="L93:L102" si="33">IF(H93&gt;0,H93/C93,0)</f>
        <v>0</v>
      </c>
      <c r="M93" s="588">
        <f t="shared" ref="M93:M102" si="34">IF(I93&gt;0,I93/D93,0)</f>
        <v>0</v>
      </c>
      <c r="N93" s="588">
        <f t="shared" ref="N93:N102" si="35">IF(J93&gt;0,J93/E93,0)</f>
        <v>0</v>
      </c>
      <c r="O93" s="273"/>
      <c r="P93" s="273">
        <f t="shared" ref="P93:R94" si="36">+(D93-C93)*P$10</f>
        <v>0</v>
      </c>
      <c r="Q93" s="273">
        <f t="shared" si="36"/>
        <v>0</v>
      </c>
      <c r="R93" s="273">
        <f t="shared" si="36"/>
        <v>0</v>
      </c>
      <c r="S93" s="273">
        <f t="shared" ref="S93:S102" si="37">+P93*P$10+Q93*Q$10+R93*R$10</f>
        <v>0</v>
      </c>
      <c r="T93" s="278">
        <f>IF(C93=0,0,+S93/C93)</f>
        <v>0</v>
      </c>
      <c r="U93" s="120"/>
      <c r="V93" s="192">
        <f>+S93-E93+C93</f>
        <v>0</v>
      </c>
    </row>
    <row r="94" spans="1:24" ht="12.75" customHeight="1" x14ac:dyDescent="0.25">
      <c r="A94" s="14"/>
      <c r="B94" s="20"/>
      <c r="C94" s="269"/>
      <c r="D94" s="268"/>
      <c r="E94" s="268"/>
      <c r="F94" s="268"/>
      <c r="G94" s="268"/>
      <c r="H94" s="268"/>
      <c r="I94" s="296"/>
      <c r="J94" s="268"/>
      <c r="K94" s="268"/>
      <c r="L94" s="597">
        <f t="shared" si="33"/>
        <v>0</v>
      </c>
      <c r="M94" s="597">
        <f t="shared" si="34"/>
        <v>0</v>
      </c>
      <c r="N94" s="597">
        <f t="shared" si="35"/>
        <v>0</v>
      </c>
      <c r="O94" s="268"/>
      <c r="P94" s="81">
        <f t="shared" si="36"/>
        <v>0</v>
      </c>
      <c r="Q94" s="81">
        <f t="shared" si="36"/>
        <v>0</v>
      </c>
      <c r="R94" s="81">
        <f t="shared" si="36"/>
        <v>0</v>
      </c>
      <c r="S94" s="81">
        <f t="shared" si="37"/>
        <v>0</v>
      </c>
      <c r="T94" s="277">
        <f>IF(C94=0,0,+S94/C94)</f>
        <v>0</v>
      </c>
      <c r="U94" s="120"/>
      <c r="V94" s="192">
        <f>+S94-E94+C94</f>
        <v>0</v>
      </c>
    </row>
    <row r="95" spans="1:24" s="42" customFormat="1" ht="12.75" customHeight="1" x14ac:dyDescent="0.25">
      <c r="A95" s="4" t="s">
        <v>280</v>
      </c>
      <c r="B95" s="3" t="s">
        <v>281</v>
      </c>
      <c r="C95" s="273">
        <f>SUM(C96:C98)</f>
        <v>3610000</v>
      </c>
      <c r="D95" s="273">
        <f>SUM(D96:D98)</f>
        <v>3610000</v>
      </c>
      <c r="E95" s="273">
        <f>SUM(E96:E98)</f>
        <v>3610000</v>
      </c>
      <c r="F95" s="273">
        <f>SUM(F96:F98)</f>
        <v>3610000</v>
      </c>
      <c r="G95" s="273"/>
      <c r="H95" s="273">
        <f>SUM(H96:H98)</f>
        <v>1730005</v>
      </c>
      <c r="I95" s="273">
        <f>+I96+I97+I98</f>
        <v>2811829</v>
      </c>
      <c r="J95" s="273">
        <f>+J96+J97+J98</f>
        <v>4043485</v>
      </c>
      <c r="K95" s="273"/>
      <c r="L95" s="588">
        <f t="shared" si="33"/>
        <v>0.4792257617728532</v>
      </c>
      <c r="M95" s="588">
        <f t="shared" si="34"/>
        <v>0.77890000000000004</v>
      </c>
      <c r="N95" s="588">
        <f t="shared" si="35"/>
        <v>1.120078947368421</v>
      </c>
      <c r="O95" s="273"/>
      <c r="P95" s="273">
        <f t="shared" si="10"/>
        <v>0</v>
      </c>
      <c r="Q95" s="273">
        <f t="shared" si="11"/>
        <v>0</v>
      </c>
      <c r="R95" s="273">
        <f t="shared" si="12"/>
        <v>0</v>
      </c>
      <c r="S95" s="273">
        <f t="shared" si="37"/>
        <v>0</v>
      </c>
      <c r="T95" s="278">
        <f t="shared" si="32"/>
        <v>0</v>
      </c>
      <c r="U95" s="120"/>
      <c r="V95" s="192">
        <f t="shared" si="22"/>
        <v>0</v>
      </c>
    </row>
    <row r="96" spans="1:24" ht="27" customHeight="1" x14ac:dyDescent="0.25">
      <c r="A96" s="479" t="s">
        <v>482</v>
      </c>
      <c r="B96" s="20" t="s">
        <v>292</v>
      </c>
      <c r="C96" s="269">
        <f>300000+3000000</f>
        <v>3300000</v>
      </c>
      <c r="D96" s="269">
        <f>300000+3000000</f>
        <v>3300000</v>
      </c>
      <c r="E96" s="269">
        <v>3300000</v>
      </c>
      <c r="F96" s="269">
        <v>3300000</v>
      </c>
      <c r="G96" s="269"/>
      <c r="H96" s="268">
        <f>10000+1545106</f>
        <v>1555106</v>
      </c>
      <c r="I96" s="268">
        <f>46000+2516974</f>
        <v>2562974</v>
      </c>
      <c r="J96" s="268">
        <f>195000+3535346</f>
        <v>3730346</v>
      </c>
      <c r="K96" s="269"/>
      <c r="L96" s="597">
        <f t="shared" si="33"/>
        <v>0.4712442424242424</v>
      </c>
      <c r="M96" s="597">
        <f t="shared" si="34"/>
        <v>0.77665878787878784</v>
      </c>
      <c r="N96" s="597">
        <f t="shared" si="35"/>
        <v>1.1304078787878789</v>
      </c>
      <c r="O96" s="269"/>
      <c r="P96" s="81">
        <f t="shared" si="10"/>
        <v>0</v>
      </c>
      <c r="Q96" s="81">
        <f t="shared" si="11"/>
        <v>0</v>
      </c>
      <c r="R96" s="81">
        <f t="shared" si="12"/>
        <v>0</v>
      </c>
      <c r="S96" s="81">
        <f t="shared" si="37"/>
        <v>0</v>
      </c>
      <c r="T96" s="277">
        <f t="shared" si="32"/>
        <v>0</v>
      </c>
      <c r="U96" s="120"/>
      <c r="V96" s="192">
        <f t="shared" si="22"/>
        <v>0</v>
      </c>
    </row>
    <row r="97" spans="1:22" ht="12.75" customHeight="1" x14ac:dyDescent="0.25">
      <c r="A97" s="14" t="s">
        <v>294</v>
      </c>
      <c r="B97" s="20" t="s">
        <v>295</v>
      </c>
      <c r="C97" s="269">
        <v>300000</v>
      </c>
      <c r="D97" s="269">
        <v>300000</v>
      </c>
      <c r="E97" s="269">
        <v>300000</v>
      </c>
      <c r="F97" s="269">
        <v>300000</v>
      </c>
      <c r="G97" s="269"/>
      <c r="H97" s="268">
        <v>172249</v>
      </c>
      <c r="I97" s="268">
        <v>245649</v>
      </c>
      <c r="J97" s="268">
        <v>309307</v>
      </c>
      <c r="K97" s="269"/>
      <c r="L97" s="597">
        <f t="shared" si="33"/>
        <v>0.57416333333333336</v>
      </c>
      <c r="M97" s="597">
        <f t="shared" si="34"/>
        <v>0.81882999999999995</v>
      </c>
      <c r="N97" s="597">
        <f t="shared" si="35"/>
        <v>1.0310233333333334</v>
      </c>
      <c r="O97" s="269"/>
      <c r="P97" s="81">
        <f t="shared" si="10"/>
        <v>0</v>
      </c>
      <c r="Q97" s="81">
        <f t="shared" si="11"/>
        <v>0</v>
      </c>
      <c r="R97" s="81">
        <f t="shared" si="12"/>
        <v>0</v>
      </c>
      <c r="S97" s="81">
        <f t="shared" si="37"/>
        <v>0</v>
      </c>
      <c r="T97" s="277">
        <f t="shared" si="32"/>
        <v>0</v>
      </c>
      <c r="U97" s="120"/>
      <c r="V97" s="192">
        <f t="shared" si="22"/>
        <v>0</v>
      </c>
    </row>
    <row r="98" spans="1:22" ht="26.4" customHeight="1" x14ac:dyDescent="0.25">
      <c r="A98" s="479" t="s">
        <v>480</v>
      </c>
      <c r="B98" s="479" t="s">
        <v>460</v>
      </c>
      <c r="C98" s="269">
        <v>10000</v>
      </c>
      <c r="D98" s="269">
        <v>10000</v>
      </c>
      <c r="E98" s="269">
        <v>10000</v>
      </c>
      <c r="F98" s="269">
        <f>5000+5000</f>
        <v>10000</v>
      </c>
      <c r="G98" s="269"/>
      <c r="H98" s="268">
        <f>81+2569</f>
        <v>2650</v>
      </c>
      <c r="I98" s="268">
        <f>185+3021</f>
        <v>3206</v>
      </c>
      <c r="J98" s="268">
        <f>217+3615</f>
        <v>3832</v>
      </c>
      <c r="K98" s="269"/>
      <c r="L98" s="597">
        <f t="shared" si="33"/>
        <v>0.26500000000000001</v>
      </c>
      <c r="M98" s="597">
        <f t="shared" si="34"/>
        <v>0.3206</v>
      </c>
      <c r="N98" s="597">
        <f t="shared" si="35"/>
        <v>0.38319999999999999</v>
      </c>
      <c r="O98" s="269"/>
      <c r="P98" s="81">
        <f t="shared" si="10"/>
        <v>0</v>
      </c>
      <c r="Q98" s="81">
        <f t="shared" si="11"/>
        <v>0</v>
      </c>
      <c r="R98" s="81">
        <f t="shared" si="12"/>
        <v>0</v>
      </c>
      <c r="S98" s="81">
        <f t="shared" si="37"/>
        <v>0</v>
      </c>
      <c r="T98" s="277">
        <f t="shared" si="32"/>
        <v>0</v>
      </c>
      <c r="U98" s="120"/>
      <c r="V98" s="192">
        <f t="shared" si="22"/>
        <v>0</v>
      </c>
    </row>
    <row r="99" spans="1:22" s="42" customFormat="1" ht="12.75" customHeight="1" x14ac:dyDescent="0.25">
      <c r="A99" s="4" t="s">
        <v>329</v>
      </c>
      <c r="B99" s="3" t="s">
        <v>330</v>
      </c>
      <c r="C99" s="273">
        <f>SUM(C100:C101)</f>
        <v>61968000</v>
      </c>
      <c r="D99" s="273">
        <f t="shared" ref="D99:J99" si="38">SUM(D100:D101)</f>
        <v>61968000</v>
      </c>
      <c r="E99" s="273">
        <f t="shared" si="38"/>
        <v>61968000</v>
      </c>
      <c r="F99" s="273">
        <f t="shared" si="38"/>
        <v>61204413</v>
      </c>
      <c r="G99" s="273"/>
      <c r="H99" s="273">
        <f t="shared" si="38"/>
        <v>35861075</v>
      </c>
      <c r="I99" s="273">
        <f t="shared" si="38"/>
        <v>48347425</v>
      </c>
      <c r="J99" s="273">
        <f t="shared" si="38"/>
        <v>61204413</v>
      </c>
      <c r="K99" s="273"/>
      <c r="L99" s="588">
        <f t="shared" si="33"/>
        <v>0.57870312096565968</v>
      </c>
      <c r="M99" s="588">
        <f t="shared" si="34"/>
        <v>0.78019986121869356</v>
      </c>
      <c r="N99" s="588">
        <f t="shared" si="35"/>
        <v>0.98767772075910143</v>
      </c>
      <c r="O99" s="273"/>
      <c r="P99" s="273">
        <f t="shared" si="10"/>
        <v>0</v>
      </c>
      <c r="Q99" s="273">
        <f t="shared" si="11"/>
        <v>0</v>
      </c>
      <c r="R99" s="273">
        <f t="shared" si="12"/>
        <v>-763587</v>
      </c>
      <c r="S99" s="273">
        <f t="shared" si="37"/>
        <v>-763587</v>
      </c>
      <c r="T99" s="278">
        <f t="shared" si="32"/>
        <v>-1.2322279240898529E-2</v>
      </c>
      <c r="U99" s="120"/>
      <c r="V99" s="192">
        <f t="shared" si="22"/>
        <v>-763587</v>
      </c>
    </row>
    <row r="100" spans="1:22" ht="12.75" customHeight="1" x14ac:dyDescent="0.25">
      <c r="A100" s="14" t="s">
        <v>355</v>
      </c>
      <c r="B100" s="20" t="s">
        <v>382</v>
      </c>
      <c r="C100" s="269">
        <f>+C105</f>
        <v>59311639</v>
      </c>
      <c r="D100" s="269">
        <v>59311639</v>
      </c>
      <c r="E100" s="269">
        <v>59311639</v>
      </c>
      <c r="F100" s="268">
        <v>58548052</v>
      </c>
      <c r="G100" s="268"/>
      <c r="H100" s="268">
        <v>33204714</v>
      </c>
      <c r="I100" s="296">
        <v>45691064</v>
      </c>
      <c r="J100" s="268">
        <v>58548052</v>
      </c>
      <c r="K100" s="268"/>
      <c r="L100" s="597">
        <f t="shared" si="33"/>
        <v>0.55983470630444054</v>
      </c>
      <c r="M100" s="597">
        <f t="shared" si="34"/>
        <v>0.7703557812657984</v>
      </c>
      <c r="N100" s="597">
        <f t="shared" si="35"/>
        <v>0.98712584894172284</v>
      </c>
      <c r="O100" s="268"/>
      <c r="P100" s="81">
        <f t="shared" si="10"/>
        <v>0</v>
      </c>
      <c r="Q100" s="81">
        <f t="shared" si="11"/>
        <v>0</v>
      </c>
      <c r="R100" s="81">
        <f t="shared" si="12"/>
        <v>-763587</v>
      </c>
      <c r="S100" s="81">
        <f t="shared" si="37"/>
        <v>-763587</v>
      </c>
      <c r="T100" s="277">
        <f t="shared" si="32"/>
        <v>-1.2874151058277111E-2</v>
      </c>
      <c r="U100" s="120"/>
      <c r="V100" s="192">
        <f t="shared" si="22"/>
        <v>-763587</v>
      </c>
    </row>
    <row r="101" spans="1:22" ht="12.75" customHeight="1" x14ac:dyDescent="0.25">
      <c r="A101" s="14" t="s">
        <v>343</v>
      </c>
      <c r="B101" s="20" t="s">
        <v>344</v>
      </c>
      <c r="C101" s="562">
        <v>2656361</v>
      </c>
      <c r="D101" s="562">
        <v>2656361</v>
      </c>
      <c r="E101" s="562">
        <v>2656361</v>
      </c>
      <c r="F101" s="268">
        <v>2656361</v>
      </c>
      <c r="G101" s="268"/>
      <c r="H101" s="562">
        <v>2656361</v>
      </c>
      <c r="I101" s="562">
        <v>2656361</v>
      </c>
      <c r="J101" s="268">
        <v>2656361</v>
      </c>
      <c r="K101" s="268"/>
      <c r="L101" s="590">
        <f t="shared" si="33"/>
        <v>1</v>
      </c>
      <c r="M101" s="590">
        <f t="shared" si="34"/>
        <v>1</v>
      </c>
      <c r="N101" s="590">
        <f t="shared" si="35"/>
        <v>1</v>
      </c>
      <c r="O101" s="268"/>
      <c r="P101" s="81">
        <f t="shared" si="10"/>
        <v>0</v>
      </c>
      <c r="Q101" s="81">
        <f t="shared" si="11"/>
        <v>0</v>
      </c>
      <c r="R101" s="81">
        <f t="shared" si="12"/>
        <v>0</v>
      </c>
      <c r="S101" s="81">
        <f t="shared" si="37"/>
        <v>0</v>
      </c>
      <c r="T101" s="277">
        <f t="shared" si="32"/>
        <v>0</v>
      </c>
      <c r="U101" s="120"/>
      <c r="V101" s="192">
        <f t="shared" si="22"/>
        <v>0</v>
      </c>
    </row>
    <row r="102" spans="1:22" ht="20.25" customHeight="1" x14ac:dyDescent="0.25">
      <c r="A102" s="470"/>
      <c r="B102" s="468" t="s">
        <v>372</v>
      </c>
      <c r="C102" s="469">
        <f>+C95+C99+C93</f>
        <v>65578000</v>
      </c>
      <c r="D102" s="469">
        <f>+D95+D99+D93</f>
        <v>65578000</v>
      </c>
      <c r="E102" s="469">
        <f>+E95+E99+E93</f>
        <v>65578000</v>
      </c>
      <c r="F102" s="469">
        <f>+F95+F99+F93</f>
        <v>64814413</v>
      </c>
      <c r="G102" s="469"/>
      <c r="H102" s="469">
        <f>+H95+H99+H93</f>
        <v>37591080</v>
      </c>
      <c r="I102" s="469">
        <f>+I95+I99+I93</f>
        <v>51159254</v>
      </c>
      <c r="J102" s="469">
        <f>+J95+J99+J93</f>
        <v>65247898</v>
      </c>
      <c r="K102" s="471"/>
      <c r="L102" s="594">
        <f t="shared" si="33"/>
        <v>0.5732269968587026</v>
      </c>
      <c r="M102" s="594">
        <f t="shared" si="34"/>
        <v>0.78012830522431298</v>
      </c>
      <c r="N102" s="594">
        <f t="shared" si="35"/>
        <v>0.99496626917563813</v>
      </c>
      <c r="O102" s="471"/>
      <c r="P102" s="475">
        <f>+(D102-C102)*P$10</f>
        <v>0</v>
      </c>
      <c r="Q102" s="475">
        <f>+(E102-D102)*Q$10</f>
        <v>0</v>
      </c>
      <c r="R102" s="475">
        <f>+(F102-E102)*R$10</f>
        <v>-763587</v>
      </c>
      <c r="S102" s="475">
        <f t="shared" si="37"/>
        <v>-763587</v>
      </c>
      <c r="T102" s="472">
        <f t="shared" si="32"/>
        <v>-1.1643950715178871E-2</v>
      </c>
      <c r="U102" s="473"/>
      <c r="V102" s="474">
        <f t="shared" si="22"/>
        <v>-763587</v>
      </c>
    </row>
    <row r="103" spans="1:22" ht="12.75" customHeight="1" x14ac:dyDescent="0.25">
      <c r="C103" s="272"/>
      <c r="D103" s="272"/>
      <c r="E103" s="272"/>
      <c r="F103" s="272"/>
      <c r="G103" s="272"/>
      <c r="H103" s="272"/>
      <c r="I103" s="272"/>
      <c r="J103" s="272"/>
      <c r="K103" s="272"/>
      <c r="L103" s="608"/>
      <c r="M103" s="608"/>
      <c r="N103" s="608"/>
      <c r="O103" s="272"/>
      <c r="P103" s="276"/>
      <c r="Q103" s="276"/>
      <c r="R103" s="276"/>
      <c r="S103" s="276"/>
    </row>
    <row r="104" spans="1:22" ht="12.75" customHeight="1" x14ac:dyDescent="0.25">
      <c r="C104" s="272"/>
      <c r="D104" s="272"/>
      <c r="E104" s="272"/>
      <c r="F104" s="272"/>
      <c r="G104" s="272"/>
      <c r="H104" s="272"/>
      <c r="I104" s="272"/>
      <c r="J104" s="272"/>
      <c r="K104" s="272"/>
      <c r="L104" s="603"/>
      <c r="M104" s="603"/>
      <c r="N104" s="603"/>
      <c r="O104" s="272"/>
      <c r="P104" s="276"/>
      <c r="Q104" s="276"/>
      <c r="R104" s="276"/>
      <c r="S104" s="276"/>
    </row>
    <row r="105" spans="1:22" ht="12.75" customHeight="1" x14ac:dyDescent="0.25">
      <c r="C105" s="272">
        <f>+C89-C95-C101</f>
        <v>59311639</v>
      </c>
      <c r="D105" s="272"/>
      <c r="E105" s="272"/>
      <c r="F105" s="272"/>
      <c r="G105" s="272"/>
      <c r="H105" s="272"/>
      <c r="I105" s="272"/>
      <c r="J105" s="272"/>
      <c r="K105" s="272"/>
      <c r="L105" s="603"/>
      <c r="M105" s="603"/>
      <c r="N105" s="603"/>
      <c r="O105" s="272"/>
      <c r="P105" s="276"/>
      <c r="Q105" s="276"/>
      <c r="R105" s="276"/>
      <c r="S105" s="276"/>
    </row>
    <row r="106" spans="1:22" ht="12.75" customHeight="1" x14ac:dyDescent="0.25">
      <c r="C106" s="272"/>
      <c r="D106" s="272"/>
      <c r="E106" s="272"/>
      <c r="F106" s="272"/>
      <c r="G106" s="272"/>
      <c r="H106" s="272"/>
      <c r="I106" s="272"/>
      <c r="J106" s="272"/>
      <c r="K106" s="272"/>
      <c r="L106" s="603"/>
      <c r="M106" s="603"/>
      <c r="N106" s="603"/>
      <c r="O106" s="272"/>
      <c r="P106" s="276"/>
      <c r="Q106" s="276"/>
      <c r="R106" s="276"/>
      <c r="S106" s="276"/>
    </row>
    <row r="107" spans="1:22" ht="12.75" customHeight="1" x14ac:dyDescent="0.25">
      <c r="A107" s="59"/>
      <c r="B107" s="59" t="s">
        <v>468</v>
      </c>
      <c r="C107" s="272">
        <f>8838000+14965000+8398000</f>
        <v>32201000</v>
      </c>
      <c r="D107" s="272"/>
      <c r="E107" s="272"/>
      <c r="F107" s="272"/>
      <c r="G107" s="272"/>
      <c r="H107" s="272"/>
      <c r="I107" s="272"/>
      <c r="J107" s="272"/>
      <c r="K107" s="272"/>
      <c r="L107" s="603"/>
      <c r="M107" s="603"/>
      <c r="N107" s="603"/>
      <c r="O107" s="272"/>
      <c r="P107" s="98"/>
      <c r="Q107" s="98"/>
      <c r="R107" s="98"/>
      <c r="S107" s="98"/>
    </row>
    <row r="108" spans="1:22" ht="12.75" customHeight="1" x14ac:dyDescent="0.25">
      <c r="C108" s="98"/>
      <c r="D108" s="98"/>
      <c r="E108" s="98"/>
      <c r="F108" s="98"/>
      <c r="G108" s="98"/>
      <c r="H108" s="98"/>
      <c r="I108" s="98"/>
      <c r="J108" s="98"/>
      <c r="K108" s="98"/>
      <c r="O108" s="98"/>
      <c r="P108" s="98"/>
      <c r="Q108" s="98"/>
      <c r="R108" s="98"/>
      <c r="S108" s="98"/>
    </row>
  </sheetData>
  <mergeCells count="6">
    <mergeCell ref="C9:F9"/>
    <mergeCell ref="H9:N9"/>
    <mergeCell ref="P9:T9"/>
    <mergeCell ref="H10:J10"/>
    <mergeCell ref="L10:N10"/>
    <mergeCell ref="C10:F10"/>
  </mergeCells>
  <phoneticPr fontId="2" type="noConversion"/>
  <printOptions horizontalCentered="1"/>
  <pageMargins left="0" right="0" top="0.59055118110236227" bottom="0" header="0.51181102362204722" footer="0.51181102362204722"/>
  <pageSetup paperSize="9" scale="56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14</vt:i4>
      </vt:variant>
    </vt:vector>
  </HeadingPairs>
  <TitlesOfParts>
    <vt:vector size="47" baseType="lpstr">
      <vt:lpstr>kiadási segédtábla</vt:lpstr>
      <vt:lpstr>bevételi segédtábla</vt:lpstr>
      <vt:lpstr>egységenkénti segédtábla</vt:lpstr>
      <vt:lpstr>1. Sülysáp összesen</vt:lpstr>
      <vt:lpstr>2. Önk. Bevételek</vt:lpstr>
      <vt:lpstr>3. Önk. Kiadások</vt:lpstr>
      <vt:lpstr>4. Dr Gáspár HSZK</vt:lpstr>
      <vt:lpstr>5. Csicsergő</vt:lpstr>
      <vt:lpstr>6. Gólyahír</vt:lpstr>
      <vt:lpstr>7. Polg.Hiv.</vt:lpstr>
      <vt:lpstr>8. WAMKK</vt:lpstr>
      <vt:lpstr>9. Közp. Konyha</vt:lpstr>
      <vt:lpstr>10.Tám kieg és kötött felh</vt:lpstr>
      <vt:lpstr>11.Tám. szoc., ált., köznev.</vt:lpstr>
      <vt:lpstr>12. Mérleg Önk.</vt:lpstr>
      <vt:lpstr>13. Konsz. mérleg</vt:lpstr>
      <vt:lpstr>14. Eszközváltozás kimutatás</vt:lpstr>
      <vt:lpstr>15. Vagyonkimutatás Konsz</vt:lpstr>
      <vt:lpstr>16. Eredménykimutatás Önk</vt:lpstr>
      <vt:lpstr>17. Konsz. eredménykim.</vt:lpstr>
      <vt:lpstr>18.Konsz. maradványkimutat</vt:lpstr>
      <vt:lpstr>19. Kölcsön és hiteláll.</vt:lpstr>
      <vt:lpstr>20_Adósságáll</vt:lpstr>
      <vt:lpstr>21_Pénzeszközök változása</vt:lpstr>
      <vt:lpstr>22_Működési mérleg</vt:lpstr>
      <vt:lpstr>23_Felhalm. mérleg</vt:lpstr>
      <vt:lpstr>24_Beruházások és felújítások</vt:lpstr>
      <vt:lpstr>25. Közvetett támogatások</vt:lpstr>
      <vt:lpstr>26. Uniós projektek</vt:lpstr>
      <vt:lpstr>27. Intézményi létszámadatok</vt:lpstr>
      <vt:lpstr>28_Részesedések</vt:lpstr>
      <vt:lpstr>29. Köt. és önként fel. I.</vt:lpstr>
      <vt:lpstr>30. Köt, önként fel. II.</vt:lpstr>
      <vt:lpstr>'egységenkénti segédtábla'!Nyomtatási_cím</vt:lpstr>
      <vt:lpstr>'1. Sülysáp összesen'!Nyomtatási_terület</vt:lpstr>
      <vt:lpstr>'2. Önk. Bevételek'!Nyomtatási_terület</vt:lpstr>
      <vt:lpstr>'21_Pénzeszközök változása'!Nyomtatási_terület</vt:lpstr>
      <vt:lpstr>'3. Önk. Kiadások'!Nyomtatási_terület</vt:lpstr>
      <vt:lpstr>'4. Dr Gáspár HSZK'!Nyomtatási_terület</vt:lpstr>
      <vt:lpstr>'5. Csicsergő'!Nyomtatási_terület</vt:lpstr>
      <vt:lpstr>'6. Gólyahír'!Nyomtatási_terület</vt:lpstr>
      <vt:lpstr>'7. Polg.Hiv.'!Nyomtatási_terület</vt:lpstr>
      <vt:lpstr>'8. WAMKK'!Nyomtatási_terület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Jegyzo</cp:lastModifiedBy>
  <cp:lastPrinted>2020-06-26T10:36:20Z</cp:lastPrinted>
  <dcterms:created xsi:type="dcterms:W3CDTF">2014-01-15T07:36:54Z</dcterms:created>
  <dcterms:modified xsi:type="dcterms:W3CDTF">2020-07-02T17:17:03Z</dcterms:modified>
</cp:coreProperties>
</file>